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5.vml" ContentType="application/vnd.openxmlformats-officedocument.vmlDrawing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NCAISSEMENT " sheetId="1" state="visible" r:id="rId2"/>
    <sheet name="Flux de trésorerie - REEL BP" sheetId="2" state="visible" r:id="rId3"/>
    <sheet name="01-2022 " sheetId="3" state="visible" r:id="rId4"/>
    <sheet name="02-2022" sheetId="4" state="visible" r:id="rId5"/>
    <sheet name="03-2022" sheetId="5" state="visible" r:id="rId6"/>
    <sheet name="04-2022" sheetId="6" state="visible" r:id="rId7"/>
    <sheet name="05-2022 " sheetId="7" state="visible" r:id="rId8"/>
    <sheet name="06-2022" sheetId="8" state="visible" r:id="rId9"/>
    <sheet name="07-2022" sheetId="9" state="visible" r:id="rId10"/>
    <sheet name="08-2022" sheetId="10" state="visible" r:id="rId11"/>
    <sheet name="09-2022" sheetId="11" state="visible" r:id="rId12"/>
  </sheets>
  <definedNames>
    <definedName function="false" hidden="false" localSheetId="2" name="_xlnm.Print_Area" vbProcedure="false">'01-2022 '!$A$1:$H$90</definedName>
    <definedName function="false" hidden="false" localSheetId="2" name="_xlnm.Print_Titles" vbProcedure="false">'01-2022 '!$A:$C</definedName>
    <definedName function="false" hidden="false" localSheetId="3" name="_xlnm.Print_Area" vbProcedure="false">'02-2022'!$A$1:$H$95</definedName>
    <definedName function="false" hidden="false" localSheetId="3" name="_xlnm.Print_Titles" vbProcedure="false">'02-2022'!$A:$B</definedName>
    <definedName function="false" hidden="false" localSheetId="4" name="_xlnm.Print_Area" vbProcedure="false">'03-2022'!$A$1:$I$114</definedName>
    <definedName function="false" hidden="false" localSheetId="4" name="_xlnm.Print_Titles" vbProcedure="false">'03-2022'!$A:$B</definedName>
    <definedName function="false" hidden="false" localSheetId="5" name="_xlnm.Print_Area" vbProcedure="false">'04-2022'!$A$1:$I$107</definedName>
    <definedName function="false" hidden="false" localSheetId="5" name="_xlnm.Print_Titles" vbProcedure="false">'04-2022'!$A:$B</definedName>
    <definedName function="false" hidden="false" localSheetId="6" name="_xlnm.Print_Area" vbProcedure="false">'05-2022 '!$A$1:$I$100</definedName>
    <definedName function="false" hidden="false" localSheetId="6" name="_xlnm.Print_Titles" vbProcedure="false">'05-2022 '!$A:$B</definedName>
    <definedName function="false" hidden="false" localSheetId="7" name="_xlnm.Print_Area" vbProcedure="false">'06-2022'!$A$1:$I$97</definedName>
    <definedName function="false" hidden="false" localSheetId="7" name="_xlnm.Print_Titles" vbProcedure="false">'06-2022'!$A:$B</definedName>
    <definedName function="false" hidden="false" localSheetId="8" name="_xlnm.Print_Area" vbProcedure="false">'07-2022'!$A$1:$I$106</definedName>
    <definedName function="false" hidden="false" localSheetId="8" name="_xlnm.Print_Titles" vbProcedure="false">'07-2022'!$A:$B</definedName>
    <definedName function="false" hidden="false" localSheetId="9" name="_xlnm.Print_Area" vbProcedure="false">'08-2022'!$A$1:$I$99</definedName>
    <definedName function="false" hidden="false" localSheetId="9" name="_xlnm.Print_Titles" vbProcedure="false">'08-2022'!$A:$B</definedName>
    <definedName function="false" hidden="false" localSheetId="10" name="_xlnm.Print_Area" vbProcedure="false">'09-2022'!$A$1:$I$99</definedName>
    <definedName function="false" hidden="false" localSheetId="10" name="_xlnm.Print_Titles" vbProcedure="false">'09-2022'!$A:$B</definedName>
    <definedName function="false" hidden="false" localSheetId="0" name="_xlnm.Print_Area" vbProcedure="false">'ENCAISSEMENT '!$A$1:$G$28</definedName>
    <definedName function="false" hidden="false" localSheetId="0" name="_xlnm.Print_Titles" vbProcedure="false">'ENCAISSEMENT '!$A:$A</definedName>
    <definedName function="false" hidden="false" name="Débutexercicecomptable" vbProcedure="false">#REF!</definedName>
    <definedName function="false" hidden="false" name="Terminé" vbProcedure="false">#REF!,#REF!,#REF!,#REF!,#REF!,#REF!,#REF!,#REF!,#REF!,#REF!,#REF!,#REF!</definedName>
    <definedName function="false" hidden="false" name="Terminé_Aoû" vbProcedure="false">#REF!</definedName>
    <definedName function="false" hidden="false" name="Terminé_Avr" vbProcedure="false">#REF!</definedName>
    <definedName function="false" hidden="false" name="Terminé_Déc" vbProcedure="false">#REF!</definedName>
    <definedName function="false" hidden="false" name="Terminé_Fév" vbProcedure="false">#REF!</definedName>
    <definedName function="false" hidden="false" name="Terminé_Jan" vbProcedure="false">#REF!</definedName>
    <definedName function="false" hidden="false" name="Terminé_Juin" vbProcedure="false">#REF!</definedName>
    <definedName function="false" hidden="false" name="Terminé_Jull" vbProcedure="false">#REF!</definedName>
    <definedName function="false" hidden="false" name="Terminé_Mai" vbProcedure="false">#REF!</definedName>
    <definedName function="false" hidden="false" name="Terminé_Mar" vbProcedure="false">#REF!</definedName>
    <definedName function="false" hidden="false" name="Terminé_Nov" vbProcedure="false">#REF!</definedName>
    <definedName function="false" hidden="false" name="Terminé_Oct" vbProcedure="false">#REF!</definedName>
    <definedName function="false" hidden="false" name="Terminé_Sep" vbProcedure="false">#REF!</definedName>
    <definedName function="false" hidden="false" localSheetId="0" name="Terminé" vbProcedure="false">'encaissement '!#ref!,'encaissement '!#ref!,'encaissement '!#ref!,'encaissement '!#ref!,'encaissement '!#ref!,'encaissement '!#ref!,'encaissement '!#ref!,'encaissement '!#ref!,'encaissement '!#ref!,'encaissement '!#ref!,'encaissement '!#ref!,'encaissement '!#ref!</definedName>
    <definedName function="false" hidden="false" localSheetId="0" name="Terminé_Aoû" vbProcedure="false">'encaissement '!#ref!</definedName>
    <definedName function="false" hidden="false" localSheetId="0" name="Terminé_Avr" vbProcedure="false">'encaissement '!#ref!</definedName>
    <definedName function="false" hidden="false" localSheetId="0" name="Terminé_Déc" vbProcedure="false">'encaissement '!#ref!</definedName>
    <definedName function="false" hidden="false" localSheetId="0" name="Terminé_Fév" vbProcedure="false">'encaissement '!#ref!</definedName>
    <definedName function="false" hidden="false" localSheetId="0" name="Terminé_Jan" vbProcedure="false">'encaissement '!#ref!</definedName>
    <definedName function="false" hidden="false" localSheetId="0" name="Terminé_Juin" vbProcedure="false">'encaissement '!#ref!</definedName>
    <definedName function="false" hidden="false" localSheetId="0" name="Terminé_Jull" vbProcedure="false">'encaissement '!#ref!</definedName>
    <definedName function="false" hidden="false" localSheetId="0" name="Terminé_Mai" vbProcedure="false">'encaissement '!#ref!</definedName>
    <definedName function="false" hidden="false" localSheetId="0" name="Terminé_Mar" vbProcedure="false">'encaissement '!#ref!</definedName>
    <definedName function="false" hidden="false" localSheetId="0" name="Terminé_Nov" vbProcedure="false">'encaissement '!#ref!</definedName>
    <definedName function="false" hidden="false" localSheetId="0" name="Terminé_Oct" vbProcedure="false">'encaissement '!#ref!</definedName>
    <definedName function="false" hidden="false" localSheetId="0" name="Terminé_Sep" vbProcedure="false">'encaissement '!#ref!</definedName>
    <definedName function="false" hidden="false" localSheetId="1" name="Débutexercicecomptable" vbProcedure="false">'Flux de trésorerie - REEL BP'!$B$2</definedName>
    <definedName function="false" hidden="false" localSheetId="2" name="Terminé" vbProcedure="false">'01-2022 '!#ref!,'01-2022 '!#ref!,'01-2022 '!#ref!,'01-2022 '!$H$2:$H$90,'01-2022 '!#ref!,'01-2022 '!#ref!,'01-2022 '!#ref!,'01-2022 '!#ref!,'01-2022 '!#ref!,'01-2022 '!#ref!,'01-2022 '!#ref!,'01-2022 '!#ref!</definedName>
    <definedName function="false" hidden="false" localSheetId="2" name="Terminé_Aoû" vbProcedure="false">'01-2022 '!#ref!</definedName>
    <definedName function="false" hidden="false" localSheetId="2" name="Terminé_Avr" vbProcedure="false">'01-2022 '!$H$2:$H$90</definedName>
    <definedName function="false" hidden="false" localSheetId="2" name="Terminé_Déc" vbProcedure="false">'01-2022 '!#ref!</definedName>
    <definedName function="false" hidden="false" localSheetId="2" name="Terminé_Fév" vbProcedure="false">'01-2022 '!#ref!</definedName>
    <definedName function="false" hidden="false" localSheetId="2" name="Terminé_Jan" vbProcedure="false">'01-2022 '!#ref!</definedName>
    <definedName function="false" hidden="false" localSheetId="2" name="Terminé_Juin" vbProcedure="false">'01-2022 '!#ref!</definedName>
    <definedName function="false" hidden="false" localSheetId="2" name="Terminé_Jull" vbProcedure="false">'01-2022 '!#ref!</definedName>
    <definedName function="false" hidden="false" localSheetId="2" name="Terminé_Mai" vbProcedure="false">'01-2022 '!#ref!</definedName>
    <definedName function="false" hidden="false" localSheetId="2" name="Terminé_Mar" vbProcedure="false">'01-2022 '!#ref!</definedName>
    <definedName function="false" hidden="false" localSheetId="2" name="Terminé_Nov" vbProcedure="false">'01-2022 '!#ref!</definedName>
    <definedName function="false" hidden="false" localSheetId="2" name="Terminé_Oct" vbProcedure="false">'01-2022 '!#ref!</definedName>
    <definedName function="false" hidden="false" localSheetId="2" name="Terminé_Sep" vbProcedure="false">'01-2022 '!#ref!</definedName>
    <definedName function="false" hidden="false" localSheetId="3" name="Terminé" vbProcedure="false">'02-2022'!#ref!,'02-2022'!#ref!,'02-2022'!#ref!,'02-2022'!#ref!,'02-2022'!$H$2:$H$96,'02-2022'!#ref!,'02-2022'!#ref!,'02-2022'!#ref!,'02-2022'!#ref!,'02-2022'!#ref!,'02-2022'!#ref!,'02-2022'!#ref!</definedName>
    <definedName function="false" hidden="false" localSheetId="3" name="Terminé_Aoû" vbProcedure="false">'02-2022'!#ref!</definedName>
    <definedName function="false" hidden="false" localSheetId="3" name="Terminé_Avr" vbProcedure="false">'02-2022'!#ref!</definedName>
    <definedName function="false" hidden="false" localSheetId="3" name="Terminé_Déc" vbProcedure="false">'02-2022'!#ref!</definedName>
    <definedName function="false" hidden="false" localSheetId="3" name="Terminé_Fév" vbProcedure="false">'02-2022'!#ref!</definedName>
    <definedName function="false" hidden="false" localSheetId="3" name="Terminé_Jan" vbProcedure="false">'02-2022'!#ref!</definedName>
    <definedName function="false" hidden="false" localSheetId="3" name="Terminé_Juin" vbProcedure="false">'02-2022'!#ref!</definedName>
    <definedName function="false" hidden="false" localSheetId="3" name="Terminé_Jull" vbProcedure="false">'02-2022'!#ref!</definedName>
    <definedName function="false" hidden="false" localSheetId="3" name="Terminé_Mai" vbProcedure="false">'02-2022'!$H$2:$H$96</definedName>
    <definedName function="false" hidden="false" localSheetId="3" name="Terminé_Mar" vbProcedure="false">'02-2022'!#ref!</definedName>
    <definedName function="false" hidden="false" localSheetId="3" name="Terminé_Nov" vbProcedure="false">'02-2022'!#ref!</definedName>
    <definedName function="false" hidden="false" localSheetId="3" name="Terminé_Oct" vbProcedure="false">'02-2022'!#ref!</definedName>
    <definedName function="false" hidden="false" localSheetId="3" name="Terminé_Sep" vbProcedure="false">'02-2022'!#ref!</definedName>
    <definedName function="false" hidden="false" localSheetId="4" name="Terminé" vbProcedure="false">'03-2022'!#ref!,'03-2022'!#ref!,'03-2022'!#ref!,'03-2022'!#ref!,'03-2022'!$I$2:$I$114,'03-2022'!#ref!,'03-2022'!#ref!,'03-2022'!#ref!,'03-2022'!#ref!,'03-2022'!#ref!,'03-2022'!#ref!,'03-2022'!#ref!</definedName>
    <definedName function="false" hidden="false" localSheetId="4" name="Terminé_Aoû" vbProcedure="false">'03-2022'!#ref!</definedName>
    <definedName function="false" hidden="false" localSheetId="4" name="Terminé_Avr" vbProcedure="false">'03-2022'!#ref!</definedName>
    <definedName function="false" hidden="false" localSheetId="4" name="Terminé_Déc" vbProcedure="false">'03-2022'!#ref!</definedName>
    <definedName function="false" hidden="false" localSheetId="4" name="Terminé_Fév" vbProcedure="false">'03-2022'!#ref!</definedName>
    <definedName function="false" hidden="false" localSheetId="4" name="Terminé_Jan" vbProcedure="false">'03-2022'!#ref!</definedName>
    <definedName function="false" hidden="false" localSheetId="4" name="Terminé_Juin" vbProcedure="false">'03-2022'!#ref!</definedName>
    <definedName function="false" hidden="false" localSheetId="4" name="Terminé_Jull" vbProcedure="false">'03-2022'!#ref!</definedName>
    <definedName function="false" hidden="false" localSheetId="4" name="Terminé_Mai" vbProcedure="false">'03-2022'!$I$2:$I$114</definedName>
    <definedName function="false" hidden="false" localSheetId="4" name="Terminé_Mar" vbProcedure="false">'03-2022'!#ref!</definedName>
    <definedName function="false" hidden="false" localSheetId="4" name="Terminé_Nov" vbProcedure="false">'03-2022'!#ref!</definedName>
    <definedName function="false" hidden="false" localSheetId="4" name="Terminé_Oct" vbProcedure="false">'03-2022'!#ref!</definedName>
    <definedName function="false" hidden="false" localSheetId="4" name="Terminé_Sep" vbProcedure="false">'03-2022'!#ref!</definedName>
    <definedName function="false" hidden="false" localSheetId="5" name="Terminé" vbProcedure="false">'04-2022'!#ref!,'04-2022'!#ref!,'04-2022'!#ref!,'04-2022'!#ref!,'04-2022'!$I$2:$I$109,'04-2022'!#ref!,'04-2022'!#ref!,'04-2022'!#ref!,'04-2022'!#ref!,'04-2022'!#ref!,'04-2022'!#ref!,'04-2022'!#ref!</definedName>
    <definedName function="false" hidden="false" localSheetId="5" name="Terminé_Aoû" vbProcedure="false">'04-2022'!#ref!</definedName>
    <definedName function="false" hidden="false" localSheetId="5" name="Terminé_Avr" vbProcedure="false">'04-2022'!#ref!</definedName>
    <definedName function="false" hidden="false" localSheetId="5" name="Terminé_Déc" vbProcedure="false">'04-2022'!#ref!</definedName>
    <definedName function="false" hidden="false" localSheetId="5" name="Terminé_Fév" vbProcedure="false">'04-2022'!#ref!</definedName>
    <definedName function="false" hidden="false" localSheetId="5" name="Terminé_Jan" vbProcedure="false">'04-2022'!#ref!</definedName>
    <definedName function="false" hidden="false" localSheetId="5" name="Terminé_Juin" vbProcedure="false">'04-2022'!#ref!</definedName>
    <definedName function="false" hidden="false" localSheetId="5" name="Terminé_Jull" vbProcedure="false">'04-2022'!#ref!</definedName>
    <definedName function="false" hidden="false" localSheetId="5" name="Terminé_Mai" vbProcedure="false">'04-2022'!$I$2:$I$109</definedName>
    <definedName function="false" hidden="false" localSheetId="5" name="Terminé_Mar" vbProcedure="false">'04-2022'!#ref!</definedName>
    <definedName function="false" hidden="false" localSheetId="5" name="Terminé_Nov" vbProcedure="false">'04-2022'!#ref!</definedName>
    <definedName function="false" hidden="false" localSheetId="5" name="Terminé_Oct" vbProcedure="false">'04-2022'!#ref!</definedName>
    <definedName function="false" hidden="false" localSheetId="5" name="Terminé_Sep" vbProcedure="false">'04-2022'!#ref!</definedName>
    <definedName function="false" hidden="false" localSheetId="6" name="Terminé" vbProcedure="false">'05-2022 '!#ref!,'05-2022 '!#ref!,'05-2022 '!#ref!,'05-2022 '!#ref!,'05-2022 '!$I$2:$I$100,'05-2022 '!#ref!,'05-2022 '!#ref!,'05-2022 '!#ref!,'05-2022 '!#ref!,'05-2022 '!#ref!,'05-2022 '!#ref!,'05-2022 '!#ref!</definedName>
    <definedName function="false" hidden="false" localSheetId="6" name="Terminé_Aoû" vbProcedure="false">'05-2022 '!#ref!</definedName>
    <definedName function="false" hidden="false" localSheetId="6" name="Terminé_Avr" vbProcedure="false">'05-2022 '!#ref!</definedName>
    <definedName function="false" hidden="false" localSheetId="6" name="Terminé_Déc" vbProcedure="false">'05-2022 '!#ref!</definedName>
    <definedName function="false" hidden="false" localSheetId="6" name="Terminé_Fév" vbProcedure="false">'05-2022 '!#ref!</definedName>
    <definedName function="false" hidden="false" localSheetId="6" name="Terminé_Jan" vbProcedure="false">'05-2022 '!#ref!</definedName>
    <definedName function="false" hidden="false" localSheetId="6" name="Terminé_Juin" vbProcedure="false">'05-2022 '!#ref!</definedName>
    <definedName function="false" hidden="false" localSheetId="6" name="Terminé_Jull" vbProcedure="false">'05-2022 '!#ref!</definedName>
    <definedName function="false" hidden="false" localSheetId="6" name="Terminé_Mai" vbProcedure="false">'05-2022 '!$I$2:$I$100</definedName>
    <definedName function="false" hidden="false" localSheetId="6" name="Terminé_Mar" vbProcedure="false">'05-2022 '!#ref!</definedName>
    <definedName function="false" hidden="false" localSheetId="6" name="Terminé_Nov" vbProcedure="false">'05-2022 '!#ref!</definedName>
    <definedName function="false" hidden="false" localSheetId="6" name="Terminé_Oct" vbProcedure="false">'05-2022 '!#ref!</definedName>
    <definedName function="false" hidden="false" localSheetId="6" name="Terminé_Sep" vbProcedure="false">'05-2022 '!#ref!</definedName>
    <definedName function="false" hidden="false" localSheetId="7" name="Terminé" vbProcedure="false">'06-2022'!#ref!,'06-2022'!#ref!,'06-2022'!#ref!,'06-2022'!#ref!,'06-2022'!$I$2:$I$97,'06-2022'!#ref!,'06-2022'!#ref!,'06-2022'!#ref!,'06-2022'!#ref!,'06-2022'!#ref!,'06-2022'!#ref!,'06-2022'!#ref!</definedName>
    <definedName function="false" hidden="false" localSheetId="7" name="Terminé_Aoû" vbProcedure="false">'06-2022'!#ref!</definedName>
    <definedName function="false" hidden="false" localSheetId="7" name="Terminé_Avr" vbProcedure="false">'06-2022'!#ref!</definedName>
    <definedName function="false" hidden="false" localSheetId="7" name="Terminé_Déc" vbProcedure="false">'06-2022'!#ref!</definedName>
    <definedName function="false" hidden="false" localSheetId="7" name="Terminé_Fév" vbProcedure="false">'06-2022'!#ref!</definedName>
    <definedName function="false" hidden="false" localSheetId="7" name="Terminé_Jan" vbProcedure="false">'06-2022'!#ref!</definedName>
    <definedName function="false" hidden="false" localSheetId="7" name="Terminé_Juin" vbProcedure="false">'06-2022'!#ref!</definedName>
    <definedName function="false" hidden="false" localSheetId="7" name="Terminé_Jull" vbProcedure="false">'06-2022'!#ref!</definedName>
    <definedName function="false" hidden="false" localSheetId="7" name="Terminé_Mai" vbProcedure="false">'06-2022'!$I$2:$I$97</definedName>
    <definedName function="false" hidden="false" localSheetId="7" name="Terminé_Mar" vbProcedure="false">'06-2022'!#ref!</definedName>
    <definedName function="false" hidden="false" localSheetId="7" name="Terminé_Nov" vbProcedure="false">'06-2022'!#ref!</definedName>
    <definedName function="false" hidden="false" localSheetId="7" name="Terminé_Oct" vbProcedure="false">'06-2022'!#ref!</definedName>
    <definedName function="false" hidden="false" localSheetId="7" name="Terminé_Sep" vbProcedure="false">'06-2022'!#ref!</definedName>
    <definedName function="false" hidden="false" localSheetId="8" name="Terminé" vbProcedure="false">'07-2022'!#ref!,'07-2022'!#ref!,'07-2022'!#ref!,'07-2022'!#ref!,'07-2022'!$I$2:$I$106,'07-2022'!#ref!,'07-2022'!#ref!,'07-2022'!#ref!,'07-2022'!#ref!,'07-2022'!#ref!,'07-2022'!#ref!,'07-2022'!#ref!</definedName>
    <definedName function="false" hidden="false" localSheetId="8" name="Terminé_Aoû" vbProcedure="false">'07-2022'!#ref!</definedName>
    <definedName function="false" hidden="false" localSheetId="8" name="Terminé_Avr" vbProcedure="false">'07-2022'!#ref!</definedName>
    <definedName function="false" hidden="false" localSheetId="8" name="Terminé_Déc" vbProcedure="false">'07-2022'!#ref!</definedName>
    <definedName function="false" hidden="false" localSheetId="8" name="Terminé_Fév" vbProcedure="false">'07-2022'!#ref!</definedName>
    <definedName function="false" hidden="false" localSheetId="8" name="Terminé_Jan" vbProcedure="false">'07-2022'!#ref!</definedName>
    <definedName function="false" hidden="false" localSheetId="8" name="Terminé_Juin" vbProcedure="false">'07-2022'!#ref!</definedName>
    <definedName function="false" hidden="false" localSheetId="8" name="Terminé_Jull" vbProcedure="false">'07-2022'!#ref!</definedName>
    <definedName function="false" hidden="false" localSheetId="8" name="Terminé_Mai" vbProcedure="false">'07-2022'!$I$2:$I$106</definedName>
    <definedName function="false" hidden="false" localSheetId="8" name="Terminé_Mar" vbProcedure="false">'07-2022'!#ref!</definedName>
    <definedName function="false" hidden="false" localSheetId="8" name="Terminé_Nov" vbProcedure="false">'07-2022'!#ref!</definedName>
    <definedName function="false" hidden="false" localSheetId="8" name="Terminé_Oct" vbProcedure="false">'07-2022'!#ref!</definedName>
    <definedName function="false" hidden="false" localSheetId="8" name="Terminé_Sep" vbProcedure="false">'07-2022'!#ref!</definedName>
    <definedName function="false" hidden="false" localSheetId="9" name="Terminé" vbProcedure="false">'08-2022'!#ref!,'08-2022'!#ref!,'08-2022'!#ref!,'08-2022'!#ref!,'08-2022'!$I$2:$I$99,'08-2022'!#ref!,'08-2022'!#ref!,'08-2022'!#ref!,'08-2022'!#ref!,'08-2022'!#ref!,'08-2022'!#ref!,'08-2022'!#ref!</definedName>
    <definedName function="false" hidden="false" localSheetId="9" name="Terminé_Aoû" vbProcedure="false">'08-2022'!#ref!</definedName>
    <definedName function="false" hidden="false" localSheetId="9" name="Terminé_Avr" vbProcedure="false">'08-2022'!#ref!</definedName>
    <definedName function="false" hidden="false" localSheetId="9" name="Terminé_Déc" vbProcedure="false">'08-2022'!#ref!</definedName>
    <definedName function="false" hidden="false" localSheetId="9" name="Terminé_Fév" vbProcedure="false">'08-2022'!#ref!</definedName>
    <definedName function="false" hidden="false" localSheetId="9" name="Terminé_Jan" vbProcedure="false">'08-2022'!#ref!</definedName>
    <definedName function="false" hidden="false" localSheetId="9" name="Terminé_Juin" vbProcedure="false">'08-2022'!#ref!</definedName>
    <definedName function="false" hidden="false" localSheetId="9" name="Terminé_Jull" vbProcedure="false">'08-2022'!#ref!</definedName>
    <definedName function="false" hidden="false" localSheetId="9" name="Terminé_Mai" vbProcedure="false">'08-2022'!$I$2:$I$99</definedName>
    <definedName function="false" hidden="false" localSheetId="9" name="Terminé_Mar" vbProcedure="false">'08-2022'!#ref!</definedName>
    <definedName function="false" hidden="false" localSheetId="9" name="Terminé_Nov" vbProcedure="false">'08-2022'!#ref!</definedName>
    <definedName function="false" hidden="false" localSheetId="9" name="Terminé_Oct" vbProcedure="false">'08-2022'!#ref!</definedName>
    <definedName function="false" hidden="false" localSheetId="9" name="Terminé_Sep" vbProcedure="false">'08-2022'!#ref!</definedName>
    <definedName function="false" hidden="false" localSheetId="10" name="Terminé" vbProcedure="false">'09-2022'!#ref!,'09-2022'!#ref!,'09-2022'!#ref!,'09-2022'!#ref!,'09-2022'!$I$2:$I$99,'09-2022'!#ref!,'09-2022'!#ref!,'09-2022'!#ref!,'09-2022'!#ref!,'09-2022'!#ref!,'09-2022'!#ref!,'09-2022'!#ref!</definedName>
    <definedName function="false" hidden="false" localSheetId="10" name="Terminé_Aoû" vbProcedure="false">'09-2022'!#ref!</definedName>
    <definedName function="false" hidden="false" localSheetId="10" name="Terminé_Avr" vbProcedure="false">'09-2022'!#ref!</definedName>
    <definedName function="false" hidden="false" localSheetId="10" name="Terminé_Déc" vbProcedure="false">'09-2022'!#ref!</definedName>
    <definedName function="false" hidden="false" localSheetId="10" name="Terminé_Fév" vbProcedure="false">'09-2022'!#ref!</definedName>
    <definedName function="false" hidden="false" localSheetId="10" name="Terminé_Jan" vbProcedure="false">'09-2022'!#ref!</definedName>
    <definedName function="false" hidden="false" localSheetId="10" name="Terminé_Juin" vbProcedure="false">'09-2022'!#ref!</definedName>
    <definedName function="false" hidden="false" localSheetId="10" name="Terminé_Jull" vbProcedure="false">'09-2022'!#ref!</definedName>
    <definedName function="false" hidden="false" localSheetId="10" name="Terminé_Mai" vbProcedure="false">'09-2022'!$I$2:$I$99</definedName>
    <definedName function="false" hidden="false" localSheetId="10" name="Terminé_Mar" vbProcedure="false">'09-2022'!#ref!</definedName>
    <definedName function="false" hidden="false" localSheetId="10" name="Terminé_Nov" vbProcedure="false">'09-2022'!#ref!</definedName>
    <definedName function="false" hidden="false" localSheetId="10" name="Terminé_Oct" vbProcedure="false">'09-2022'!#ref!</definedName>
    <definedName function="false" hidden="false" localSheetId="10" name="Terminé_Sep" vbProcedure="false">'09-2022'!#ref!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9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645 : urssaf caisses mutuelles
631 : impot 
taxe et versement assimilé sur remunération 
</t>
        </r>
      </text>
    </comment>
    <comment ref="B64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conbustiles
produit entretien 
Fournitures de magasin</t>
        </r>
      </text>
    </comment>
    <comment ref="B93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conbustiles
produit entretien 
Fournitures de magasin</t>
        </r>
      </text>
    </comment>
    <comment ref="B113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compte - 6211</t>
        </r>
      </text>
    </comment>
    <comment ref="E8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juritravail
</t>
        </r>
      </text>
    </comment>
    <comment ref="E8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we transfert</t>
        </r>
      </text>
    </comment>
    <comment ref="E96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8200 pena pavage</t>
        </r>
      </text>
    </comment>
    <comment ref="E136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CARRELAGE SG lilinni
</t>
        </r>
      </text>
    </comment>
    <comment ref="E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chq 2000€ ???
600€ LEE rosebay
410,54 PLOMBERIE</t>
        </r>
      </text>
    </comment>
    <comment ref="E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31,15€DMTP
280,01€ IZ SOLUTY
86,4 JAUFFRET
CHQ 2200 ???
CHQ 1560 ???
</t>
        </r>
      </text>
    </comment>
    <comment ref="F1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0,50 en moin d ecart </t>
        </r>
      </text>
    </comment>
    <comment ref="F5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TAXE D APPRENTISSAGE
</t>
        </r>
      </text>
    </comment>
    <comment ref="F12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jauffret : 381,78
</t>
        </r>
      </text>
    </comment>
    <comment ref="F142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bricoman : 13,55
</t>
        </r>
      </text>
    </comment>
    <comment ref="F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machine café : 40,66
dlm : 1393,52
mano mano : 457,05
BLP CONCEPT : 1380
</t>
        </r>
      </text>
    </comment>
    <comment ref="F180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declerck menage : 144,96
</t>
        </r>
      </text>
    </comment>
    <comment ref="F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ztl soluty : 280,01
1596 : sefab
240 : TOPO CENTER</t>
        </r>
      </text>
    </comment>
    <comment ref="G1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remboursement MANO MANO</t>
        </r>
      </text>
    </comment>
    <comment ref="G5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TAXE D APPRENTISSAGE</t>
        </r>
      </text>
    </comment>
    <comment ref="G8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AUTODESK : 480
MIVROSOFT :99
</t>
        </r>
      </text>
    </comment>
    <comment ref="G12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JEAUFFRET :886</t>
        </r>
      </text>
    </comment>
    <comment ref="G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PUM :213,61
</t>
        </r>
      </text>
    </comment>
    <comment ref="G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EOGEO : 3960
</t>
        </r>
      </text>
    </comment>
    <comment ref="H1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1226,46=rembousement bnp lease
186 = annulation frais bancaire
le reste remboursement secu</t>
        </r>
      </text>
    </comment>
    <comment ref="H12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1202,5 = jauffret
</t>
        </r>
      </text>
    </comment>
    <comment ref="H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61,08 = dmtp</t>
        </r>
      </text>
    </comment>
    <comment ref="I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360 sasu multi travaux </t>
        </r>
      </text>
    </comment>
    <comment ref="J1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2*30 000€ remboursement tva
13711 €
remboursement azur metal</t>
        </r>
      </text>
    </comment>
    <comment ref="J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vir GMF : degat voiture villa d auree</t>
        </r>
      </text>
    </comment>
    <comment ref="J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CARF = 2000€
CARTE VISITE = 577,8
3000€ CHQ INCONNU
CHQ 3250€ ?????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0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PAIEMENT EN PLUSIEURS FOIS,
KAMAL DOIT ANNULER CETTE LCR , A VERIFIER</t>
        </r>
      </text>
    </comment>
    <comment ref="D7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ATTENTION AVOIR DE 825,62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UN AVOIR DE CE MONTANT SERA ENVOYE POUR FACTURE D AVRIL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DERNIER PRELEVEMENT</t>
        </r>
      </text>
    </comment>
    <comment ref="D92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10000€ DÉJÀ REGLE A K RENOV</t>
        </r>
      </text>
    </comment>
  </commentList>
</comments>
</file>

<file path=xl/sharedStrings.xml><?xml version="1.0" encoding="utf-8"?>
<sst xmlns="http://schemas.openxmlformats.org/spreadsheetml/2006/main" count="2337" uniqueCount="929">
  <si>
    <t xml:space="preserve">CLIENT </t>
  </si>
  <si>
    <t xml:space="preserve">N°FACTURE</t>
  </si>
  <si>
    <t xml:space="preserve">MONTANT </t>
  </si>
  <si>
    <t xml:space="preserve">Chantier</t>
  </si>
  <si>
    <t xml:space="preserve">Date d’échéance</t>
  </si>
  <si>
    <t xml:space="preserve">Règlement </t>
  </si>
  <si>
    <t xml:space="preserve">Restant dû</t>
  </si>
  <si>
    <t xml:space="preserve">MILAAN </t>
  </si>
  <si>
    <t xml:space="preserve">ROSEBAY </t>
  </si>
  <si>
    <t xml:space="preserve">LILLINI</t>
  </si>
  <si>
    <t xml:space="preserve">307</t>
  </si>
  <si>
    <t xml:space="preserve">SEQUIER </t>
  </si>
  <si>
    <t xml:space="preserve">333</t>
  </si>
  <si>
    <t xml:space="preserve">SCI SIRENE </t>
  </si>
  <si>
    <t xml:space="preserve">358</t>
  </si>
  <si>
    <t xml:space="preserve">VILLA D'AUREE -  GO </t>
  </si>
  <si>
    <t xml:space="preserve">359</t>
  </si>
  <si>
    <t xml:space="preserve">VILLA D'AUREE - CARRELAGE </t>
  </si>
  <si>
    <t xml:space="preserve">LES BASTIDES </t>
  </si>
  <si>
    <t xml:space="preserve">361</t>
  </si>
  <si>
    <t xml:space="preserve">MMB </t>
  </si>
  <si>
    <t xml:space="preserve">352</t>
  </si>
  <si>
    <t xml:space="preserve">353</t>
  </si>
  <si>
    <t xml:space="preserve">GARAFFA</t>
  </si>
  <si>
    <t xml:space="preserve">167</t>
  </si>
  <si>
    <t xml:space="preserve">CDC IMMO</t>
  </si>
  <si>
    <t xml:space="preserve">257</t>
  </si>
  <si>
    <t xml:space="preserve">HOTEL CASSIS </t>
  </si>
  <si>
    <t xml:space="preserve">COQUARD </t>
  </si>
  <si>
    <t xml:space="preserve">132</t>
  </si>
  <si>
    <t xml:space="preserve">136</t>
  </si>
  <si>
    <t xml:space="preserve">177</t>
  </si>
  <si>
    <t xml:space="preserve">178</t>
  </si>
  <si>
    <t xml:space="preserve">179</t>
  </si>
  <si>
    <t xml:space="preserve">189</t>
  </si>
  <si>
    <t xml:space="preserve">TOTAL</t>
  </si>
  <si>
    <t xml:space="preserve">Début exercice comptable :</t>
  </si>
  <si>
    <t xml:space="preserve">(Pré) démarrage</t>
  </si>
  <si>
    <t xml:space="preserve">Total</t>
  </si>
  <si>
    <t xml:space="preserve">Estimation</t>
  </si>
  <si>
    <t xml:space="preserve">Estimation des éléments</t>
  </si>
  <si>
    <t xml:space="preserve">Trésorerie disponible  BP </t>
  </si>
  <si>
    <t xml:space="preserve">Trésorerie TOTAL disponible  </t>
  </si>
  <si>
    <t xml:space="preserve">Encaissements</t>
  </si>
  <si>
    <t xml:space="preserve">Virement tréso</t>
  </si>
  <si>
    <t xml:space="preserve">Clients </t>
  </si>
  <si>
    <t xml:space="preserve">Prêt/Autres apports de trésorerie</t>
  </si>
  <si>
    <t xml:space="preserve">Total de trésorerie disponible (avant décaissement)</t>
  </si>
  <si>
    <t xml:space="preserve">Décaissements</t>
  </si>
  <si>
    <t xml:space="preserve">CHARGES FIXES</t>
  </si>
  <si>
    <t xml:space="preserve">PRÊT </t>
  </si>
  <si>
    <t xml:space="preserve">Echeance </t>
  </si>
  <si>
    <t xml:space="preserve">Frais bancaire</t>
  </si>
  <si>
    <t xml:space="preserve">Comptabilité et juridique</t>
  </si>
  <si>
    <t xml:space="preserve">LOCATIONS</t>
  </si>
  <si>
    <t xml:space="preserve">Location - Appart cagnes sur mer </t>
  </si>
  <si>
    <t xml:space="preserve">Location - Appart Fréjus  ( marchal )</t>
  </si>
  <si>
    <t xml:space="preserve">Location - Depot </t>
  </si>
  <si>
    <t xml:space="preserve">Location - Terrain stockage MOKRANE</t>
  </si>
  <si>
    <t xml:space="preserve">Location - Terrain stockage ( PACANIER )</t>
  </si>
  <si>
    <t xml:space="preserve">Location - Terrain stockage (la croix)</t>
  </si>
  <si>
    <t xml:space="preserve">Location - Bureau (SCI DYLAN )</t>
  </si>
  <si>
    <t xml:space="preserve">Location-materiel  supp LOCAM  INFO BURO</t>
  </si>
  <si>
    <t xml:space="preserve">INFO BURO ( de lage leasing )</t>
  </si>
  <si>
    <t xml:space="preserve">Location -  Matériel informatique </t>
  </si>
  <si>
    <t xml:space="preserve">Location - SCI OFFICE 2 M </t>
  </si>
  <si>
    <t xml:space="preserve">ASSURANCES </t>
  </si>
  <si>
    <t xml:space="preserve">Decennale &amp; RC </t>
  </si>
  <si>
    <r>
      <rPr>
        <sz val="14"/>
        <color rgb="FF7C7C7C"/>
        <rFont val="Calibri"/>
        <family val="2"/>
        <charset val="1"/>
      </rPr>
      <t xml:space="preserve">Véhicule - Peugeot  Boxer -BC-402-         </t>
    </r>
    <r>
      <rPr>
        <b val="true"/>
        <sz val="14"/>
        <color rgb="FF7C7C7C"/>
        <rFont val="Calibri"/>
        <family val="2"/>
        <charset val="1"/>
      </rPr>
      <t xml:space="preserve">  </t>
    </r>
    <r>
      <rPr>
        <b val="true"/>
        <sz val="14"/>
        <color rgb="FF70AD47"/>
        <rFont val="Calibri"/>
        <family val="2"/>
        <charset val="1"/>
      </rPr>
      <t xml:space="preserve">AT063431</t>
    </r>
  </si>
  <si>
    <r>
      <rPr>
        <sz val="14"/>
        <color rgb="FF7C7C7C"/>
        <rFont val="Calibri"/>
        <family val="2"/>
        <charset val="1"/>
      </rPr>
      <t xml:space="preserve">Véhicule - Fiat DUCATO - CC-426-RW-     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AR600632</t>
    </r>
  </si>
  <si>
    <r>
      <rPr>
        <sz val="14"/>
        <color rgb="FF7C7C7C"/>
        <rFont val="Calibri"/>
        <family val="2"/>
        <charset val="1"/>
      </rPr>
      <t xml:space="preserve">Véhicule - Berlingo- BB-579-WE -    </t>
    </r>
    <r>
      <rPr>
        <sz val="14"/>
        <color rgb="FF70AD47"/>
        <rFont val="Calibri"/>
        <family val="2"/>
        <charset val="1"/>
      </rPr>
      <t xml:space="preserve">AR600631</t>
    </r>
  </si>
  <si>
    <r>
      <rPr>
        <sz val="14"/>
        <color rgb="FF7C7C7C"/>
        <rFont val="Calibri"/>
        <family val="2"/>
        <charset val="1"/>
      </rPr>
      <t xml:space="preserve">Véhicule - Iveco Benne - BV-943-RZ -</t>
    </r>
    <r>
      <rPr>
        <sz val="14"/>
        <color rgb="FF70AD47"/>
        <rFont val="Calibri"/>
        <family val="2"/>
        <charset val="1"/>
      </rPr>
      <t xml:space="preserve">       </t>
    </r>
    <r>
      <rPr>
        <b val="true"/>
        <sz val="14"/>
        <color rgb="FF70AD47"/>
        <rFont val="Calibri"/>
        <family val="2"/>
        <charset val="1"/>
      </rPr>
      <t xml:space="preserve">AR601510</t>
    </r>
  </si>
  <si>
    <r>
      <rPr>
        <sz val="14"/>
        <color rgb="FF7C7C7C"/>
        <rFont val="Calibri"/>
        <family val="2"/>
        <charset val="1"/>
      </rPr>
      <t xml:space="preserve">Véhicule - Renault CLIO - FL-481-PA -     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AR743728</t>
    </r>
  </si>
  <si>
    <r>
      <rPr>
        <sz val="14"/>
        <color rgb="FF7C7C7C"/>
        <rFont val="Calibri"/>
        <family val="2"/>
        <charset val="1"/>
      </rPr>
      <t xml:space="preserve">Generali  - </t>
    </r>
    <r>
      <rPr>
        <b val="true"/>
        <sz val="14"/>
        <color rgb="FF70AD47"/>
        <rFont val="Calibri"/>
        <family val="2"/>
        <charset val="1"/>
      </rPr>
      <t xml:space="preserve">AT096205</t>
    </r>
  </si>
  <si>
    <r>
      <rPr>
        <sz val="14"/>
        <color rgb="FF7C7C7C"/>
        <rFont val="Calibri"/>
        <family val="2"/>
        <charset val="1"/>
      </rPr>
      <t xml:space="preserve">Generali -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AR935830</t>
    </r>
  </si>
  <si>
    <r>
      <rPr>
        <sz val="14"/>
        <color rgb="FF7C7C7C"/>
        <rFont val="Calibri"/>
        <family val="2"/>
        <charset val="1"/>
      </rPr>
      <t xml:space="preserve">Generali  -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AT 028 447</t>
    </r>
    <r>
      <rPr>
        <sz val="14"/>
        <color rgb="FF70AD47"/>
        <rFont val="Calibri"/>
        <family val="2"/>
        <charset val="1"/>
      </rPr>
      <t xml:space="preserve"> - BUREAU PUGET </t>
    </r>
  </si>
  <si>
    <t xml:space="preserve">Téléphone - iphone 11 pro max - CHUBB EUROPEEN</t>
  </si>
  <si>
    <r>
      <rPr>
        <sz val="14"/>
        <color rgb="FF7C7C7C"/>
        <rFont val="Calibri"/>
        <family val="2"/>
        <charset val="1"/>
      </rPr>
      <t xml:space="preserve">Assurance annuel bureau  - </t>
    </r>
    <r>
      <rPr>
        <b val="true"/>
        <sz val="14"/>
        <color rgb="FF70AD47"/>
        <rFont val="Calibri"/>
        <family val="2"/>
        <charset val="1"/>
      </rPr>
      <t xml:space="preserve">AR903785</t>
    </r>
  </si>
  <si>
    <t xml:space="preserve">Identicar</t>
  </si>
  <si>
    <t xml:space="preserve">Cotis rythmo- Cotis platinum</t>
  </si>
  <si>
    <t xml:space="preserve">CHARGES VARIABLES </t>
  </si>
  <si>
    <t xml:space="preserve">Personnel 641 - 645 -631 </t>
  </si>
  <si>
    <t xml:space="preserve">Salaires Net Versés</t>
  </si>
  <si>
    <t xml:space="preserve">STATONNEMENT </t>
  </si>
  <si>
    <t xml:space="preserve">Cotis platinium</t>
  </si>
  <si>
    <t xml:space="preserve">Carte Pro Btp</t>
  </si>
  <si>
    <t xml:space="preserve">Charges sociales - PROBTP Retraite </t>
  </si>
  <si>
    <t xml:space="preserve">Charges sociales - PROBTP CNRO</t>
  </si>
  <si>
    <t xml:space="preserve">Charges sociales - PROBTP -ADP-PRO</t>
  </si>
  <si>
    <t xml:space="preserve">Charges sociales - PROBTP Prévoyance </t>
  </si>
  <si>
    <t xml:space="preserve">Charges sociales - PROBTP  Formation</t>
  </si>
  <si>
    <t xml:space="preserve">Charges sociales - URSSAF</t>
  </si>
  <si>
    <t xml:space="preserve">APRIL </t>
  </si>
  <si>
    <t xml:space="preserve">CIBTP</t>
  </si>
  <si>
    <t xml:space="preserve">Impot</t>
  </si>
  <si>
    <t xml:space="preserve">DGFIP</t>
  </si>
  <si>
    <t xml:space="preserve">Achat de consommables 602</t>
  </si>
  <si>
    <t xml:space="preserve">EDF - Jean jaurès</t>
  </si>
  <si>
    <t xml:space="preserve">EDF - Bureau</t>
  </si>
  <si>
    <t xml:space="preserve">EDF - Cagnes</t>
  </si>
  <si>
    <t xml:space="preserve">CMESE</t>
  </si>
  <si>
    <t xml:space="preserve">Téléphone - FIXE SFR </t>
  </si>
  <si>
    <t xml:space="preserve">Télephone - Mobile </t>
  </si>
  <si>
    <t xml:space="preserve">Infoburo</t>
  </si>
  <si>
    <t xml:space="preserve">Fournitures - Provence Bureautique - Calipage</t>
  </si>
  <si>
    <t xml:space="preserve">Fournitures Bureau - Cadrillage </t>
  </si>
  <si>
    <t xml:space="preserve">Bureau vallée</t>
  </si>
  <si>
    <t xml:space="preserve">Réparations et entretien</t>
  </si>
  <si>
    <t xml:space="preserve">Peage - Ulyss - Escota </t>
  </si>
  <si>
    <t xml:space="preserve">Gasoil - Total </t>
  </si>
  <si>
    <t xml:space="preserve">Onyx mediterranée - MAT ILD</t>
  </si>
  <si>
    <t xml:space="preserve">Transport</t>
  </si>
  <si>
    <t xml:space="preserve">Achat de marchandises - 607</t>
  </si>
  <si>
    <t xml:space="preserve">Infogreffe</t>
  </si>
  <si>
    <t xml:space="preserve">OSS FACADE</t>
  </si>
  <si>
    <t xml:space="preserve">logiciel informatique </t>
  </si>
  <si>
    <t xml:space="preserve">Boulanger </t>
  </si>
  <si>
    <t xml:space="preserve">Veolia</t>
  </si>
  <si>
    <t xml:space="preserve">Bouygue</t>
  </si>
  <si>
    <t xml:space="preserve">AIST</t>
  </si>
  <si>
    <t xml:space="preserve">Adobe</t>
  </si>
  <si>
    <t xml:space="preserve">Frais virement internet</t>
  </si>
  <si>
    <t xml:space="preserve">LA POSTE </t>
  </si>
  <si>
    <t xml:space="preserve">Materiaux</t>
  </si>
  <si>
    <t xml:space="preserve">Sous-traitant 604 </t>
  </si>
  <si>
    <t xml:space="preserve">WILLIAM CLOISON</t>
  </si>
  <si>
    <t xml:space="preserve">AYAZ BAT </t>
  </si>
  <si>
    <t xml:space="preserve">BH TERRA</t>
  </si>
  <si>
    <t xml:space="preserve">KB DESIGN</t>
  </si>
  <si>
    <t xml:space="preserve">LUXURY</t>
  </si>
  <si>
    <t xml:space="preserve">DM FACADE</t>
  </si>
  <si>
    <t xml:space="preserve">REA BAT</t>
  </si>
  <si>
    <t xml:space="preserve">LOPES EDMILSON</t>
  </si>
  <si>
    <t xml:space="preserve">ALLEMAND</t>
  </si>
  <si>
    <t xml:space="preserve">PENAPAVAGE</t>
  </si>
  <si>
    <t xml:space="preserve">SPE - Echaff </t>
  </si>
  <si>
    <t xml:space="preserve">TOTAL DCR</t>
  </si>
  <si>
    <t xml:space="preserve">IDEAL</t>
  </si>
  <si>
    <t xml:space="preserve">IL BAT</t>
  </si>
  <si>
    <t xml:space="preserve">FFN</t>
  </si>
  <si>
    <t xml:space="preserve">ADI</t>
  </si>
  <si>
    <t xml:space="preserve">SAS SG</t>
  </si>
  <si>
    <t xml:space="preserve">INGENIERIE 84</t>
  </si>
  <si>
    <t xml:space="preserve">Autres services extérieurs - 621 </t>
  </si>
  <si>
    <t xml:space="preserve">VAR INTERIM </t>
  </si>
  <si>
    <t xml:space="preserve">Matière première  601</t>
  </si>
  <si>
    <t xml:space="preserve">Spurgin</t>
  </si>
  <si>
    <t xml:space="preserve">KP1</t>
  </si>
  <si>
    <t xml:space="preserve">PACA CERAM</t>
  </si>
  <si>
    <t xml:space="preserve">RG Matériaux </t>
  </si>
  <si>
    <t xml:space="preserve">Prefa 2000</t>
  </si>
  <si>
    <t xml:space="preserve">Azur Plomberie</t>
  </si>
  <si>
    <t xml:space="preserve">SAS PRO G MAT</t>
  </si>
  <si>
    <t xml:space="preserve">Lafarge Béton </t>
  </si>
  <si>
    <t xml:space="preserve">Lafarge granulat</t>
  </si>
  <si>
    <t xml:space="preserve">Champeau</t>
  </si>
  <si>
    <t xml:space="preserve">UR CERAM</t>
  </si>
  <si>
    <t xml:space="preserve">Delta azur</t>
  </si>
  <si>
    <t xml:space="preserve">Balitrand</t>
  </si>
  <si>
    <t xml:space="preserve">Ciffreo </t>
  </si>
  <si>
    <t xml:space="preserve">Prolians</t>
  </si>
  <si>
    <t xml:space="preserve">Vicat </t>
  </si>
  <si>
    <t xml:space="preserve">Chausson</t>
  </si>
  <si>
    <t xml:space="preserve">Point P</t>
  </si>
  <si>
    <t xml:space="preserve">PUM</t>
  </si>
  <si>
    <t xml:space="preserve">Zolpan</t>
  </si>
  <si>
    <t xml:space="preserve">CPA</t>
  </si>
  <si>
    <t xml:space="preserve">K RO Ceramique</t>
  </si>
  <si>
    <t xml:space="preserve">Districlos var</t>
  </si>
  <si>
    <t xml:space="preserve">Reso</t>
  </si>
  <si>
    <t xml:space="preserve">Azur metal</t>
  </si>
  <si>
    <t xml:space="preserve">Cap couleur</t>
  </si>
  <si>
    <t xml:space="preserve">Pic</t>
  </si>
  <si>
    <t xml:space="preserve">Castorama</t>
  </si>
  <si>
    <t xml:space="preserve">Var Materiaux</t>
  </si>
  <si>
    <t xml:space="preserve">Weldom</t>
  </si>
  <si>
    <t xml:space="preserve">Electro depot</t>
  </si>
  <si>
    <t xml:space="preserve">Leroy Merlin</t>
  </si>
  <si>
    <t xml:space="preserve">Cemex</t>
  </si>
  <si>
    <t xml:space="preserve">CCA</t>
  </si>
  <si>
    <t xml:space="preserve">Marsiglia</t>
  </si>
  <si>
    <t xml:space="preserve">SIGMA</t>
  </si>
  <si>
    <t xml:space="preserve">Rexel</t>
  </si>
  <si>
    <t xml:space="preserve">Europavage</t>
  </si>
  <si>
    <t xml:space="preserve">Location Immo 6132</t>
  </si>
  <si>
    <t xml:space="preserve">Loc'Outillage</t>
  </si>
  <si>
    <t xml:space="preserve">ALTRAD</t>
  </si>
  <si>
    <t xml:space="preserve">DEL PISTOIA</t>
  </si>
  <si>
    <t xml:space="preserve">AMG LOCATION</t>
  </si>
  <si>
    <t xml:space="preserve">Kiloutou </t>
  </si>
  <si>
    <t xml:space="preserve">Gaia Location </t>
  </si>
  <si>
    <t xml:space="preserve">JC MAT</t>
  </si>
  <si>
    <t xml:space="preserve">Mediaco</t>
  </si>
  <si>
    <t xml:space="preserve">Easy Mat</t>
  </si>
  <si>
    <t xml:space="preserve">ALLO MAT</t>
  </si>
  <si>
    <t xml:space="preserve">Manu utilitaire</t>
  </si>
  <si>
    <t xml:space="preserve">DLM</t>
  </si>
  <si>
    <t xml:space="preserve">KP 1</t>
  </si>
  <si>
    <t xml:space="preserve">C C A</t>
  </si>
  <si>
    <t xml:space="preserve">Divers </t>
  </si>
  <si>
    <t xml:space="preserve">Achat prestation service  &amp; étude 604</t>
  </si>
  <si>
    <t xml:space="preserve">Mairie CASSIS</t>
  </si>
  <si>
    <t xml:space="preserve">Evo nett</t>
  </si>
  <si>
    <t xml:space="preserve">Lopez tirage</t>
  </si>
  <si>
    <t xml:space="preserve">Bureau études</t>
  </si>
  <si>
    <t xml:space="preserve">Formation </t>
  </si>
  <si>
    <t xml:space="preserve">Terca</t>
  </si>
  <si>
    <t xml:space="preserve">Ingenieurie et Structure</t>
  </si>
  <si>
    <t xml:space="preserve">Cofraloc</t>
  </si>
  <si>
    <t xml:space="preserve">STJL transport</t>
  </si>
  <si>
    <t xml:space="preserve">APAVE </t>
  </si>
  <si>
    <t xml:space="preserve">INTER SERVICES VAROIS </t>
  </si>
  <si>
    <t xml:space="preserve">Armaconcept - Kharroubi </t>
  </si>
  <si>
    <t xml:space="preserve">Cavem</t>
  </si>
  <si>
    <t xml:space="preserve">Nettoy vit - Rosebay </t>
  </si>
  <si>
    <t xml:space="preserve">Sofovar</t>
  </si>
  <si>
    <t xml:space="preserve">Locapeint </t>
  </si>
  <si>
    <t xml:space="preserve">Rent</t>
  </si>
  <si>
    <t xml:space="preserve">DIVERS </t>
  </si>
  <si>
    <t xml:space="preserve">Huissier</t>
  </si>
  <si>
    <t xml:space="preserve">Avocat</t>
  </si>
  <si>
    <t xml:space="preserve">Juritravfail</t>
  </si>
  <si>
    <t xml:space="preserve">Amende</t>
  </si>
  <si>
    <t xml:space="preserve">Courses </t>
  </si>
  <si>
    <t xml:space="preserve">Carrefour </t>
  </si>
  <si>
    <t xml:space="preserve">Action/Gifi</t>
  </si>
  <si>
    <t xml:space="preserve">Turkish Market /Golf Orient/ Atlas</t>
  </si>
  <si>
    <t xml:space="preserve">LIDL</t>
  </si>
  <si>
    <t xml:space="preserve">Restaurant</t>
  </si>
  <si>
    <t xml:space="preserve">Photomaton</t>
  </si>
  <si>
    <t xml:space="preserve">Ouest harmonie</t>
  </si>
  <si>
    <t xml:space="preserve">Azur market </t>
  </si>
  <si>
    <t xml:space="preserve">Boulangerie</t>
  </si>
  <si>
    <t xml:space="preserve">Conforama</t>
  </si>
  <si>
    <t xml:space="preserve">Korda </t>
  </si>
  <si>
    <t xml:space="preserve">Publicité 623 </t>
  </si>
  <si>
    <t xml:space="preserve">Star Graffic</t>
  </si>
  <si>
    <t xml:space="preserve">Décaissements (hors compte de résultat)</t>
  </si>
  <si>
    <t xml:space="preserve">Total des décaissements</t>
  </si>
  <si>
    <t xml:space="preserve">Position de trésorerie (fin de mois)</t>
  </si>
  <si>
    <t xml:space="preserve">Catégorie</t>
  </si>
  <si>
    <t xml:space="preserve">FOURNISSEUR</t>
  </si>
  <si>
    <t xml:space="preserve">N° Facture</t>
  </si>
  <si>
    <t xml:space="preserve">Montant</t>
  </si>
  <si>
    <t xml:space="preserve">CHANTIER</t>
  </si>
  <si>
    <t xml:space="preserve">Date d'échéance</t>
  </si>
  <si>
    <t xml:space="preserve">Date de paiement </t>
  </si>
  <si>
    <t xml:space="preserve">Terminé</t>
  </si>
  <si>
    <t xml:space="preserve">LCR </t>
  </si>
  <si>
    <t xml:space="preserve">VAR MAT</t>
  </si>
  <si>
    <t xml:space="preserve">18009808</t>
  </si>
  <si>
    <t xml:space="preserve">JC MAT </t>
  </si>
  <si>
    <t xml:space="preserve">00110139L</t>
  </si>
  <si>
    <t xml:space="preserve">VILLA D AUREE</t>
  </si>
  <si>
    <t xml:space="preserve">OK</t>
  </si>
  <si>
    <t xml:space="preserve">CALIPAGE</t>
  </si>
  <si>
    <t xml:space="preserve">211200052</t>
  </si>
  <si>
    <t xml:space="preserve">0828540</t>
  </si>
  <si>
    <t xml:space="preserve">VILLA D'AUREE </t>
  </si>
  <si>
    <t xml:space="preserve">0828129</t>
  </si>
  <si>
    <t xml:space="preserve">0825140</t>
  </si>
  <si>
    <t xml:space="preserve">SIGMA BETON</t>
  </si>
  <si>
    <t xml:space="preserve">121025987</t>
  </si>
  <si>
    <t xml:space="preserve">VILLA DOREE</t>
  </si>
  <si>
    <t xml:space="preserve">POINT P </t>
  </si>
  <si>
    <t xml:space="preserve">301C1002316084</t>
  </si>
  <si>
    <t xml:space="preserve">AUPS</t>
  </si>
  <si>
    <t xml:space="preserve">301C1002316643</t>
  </si>
  <si>
    <t xml:space="preserve">CASSIS</t>
  </si>
  <si>
    <t xml:space="preserve">301C1002325559</t>
  </si>
  <si>
    <t xml:space="preserve">MAILLET-VION</t>
  </si>
  <si>
    <t xml:space="preserve">PROLIANS</t>
  </si>
  <si>
    <t xml:space="preserve">160844</t>
  </si>
  <si>
    <t xml:space="preserve">POINT S</t>
  </si>
  <si>
    <t xml:space="preserve">899100799</t>
  </si>
  <si>
    <t xml:space="preserve">LAFARGE BETON</t>
  </si>
  <si>
    <t xml:space="preserve">211215660</t>
  </si>
  <si>
    <t xml:space="preserve">211215661</t>
  </si>
  <si>
    <t xml:space="preserve">VALLIER</t>
  </si>
  <si>
    <t xml:space="preserve">211215662</t>
  </si>
  <si>
    <t xml:space="preserve">MAILLET</t>
  </si>
  <si>
    <t xml:space="preserve">211215663</t>
  </si>
  <si>
    <t xml:space="preserve">211215664</t>
  </si>
  <si>
    <t xml:space="preserve">ST AYGULF</t>
  </si>
  <si>
    <t xml:space="preserve">VICAT</t>
  </si>
  <si>
    <t xml:space="preserve">0504830446</t>
  </si>
  <si>
    <t xml:space="preserve">BONGINI</t>
  </si>
  <si>
    <t xml:space="preserve">CIFFREO BONA </t>
  </si>
  <si>
    <t xml:space="preserve">406,333/12</t>
  </si>
  <si>
    <t xml:space="preserve">CIFREO BONA</t>
  </si>
  <si>
    <t xml:space="preserve">409,333/12</t>
  </si>
  <si>
    <t xml:space="preserve">BALITRAND</t>
  </si>
  <si>
    <t xml:space="preserve">11264075</t>
  </si>
  <si>
    <t xml:space="preserve">11264076</t>
  </si>
  <si>
    <t xml:space="preserve">STOCK</t>
  </si>
  <si>
    <t xml:space="preserve">11264077</t>
  </si>
  <si>
    <t xml:space="preserve">11264078</t>
  </si>
  <si>
    <t xml:space="preserve">EASYMAT</t>
  </si>
  <si>
    <t xml:space="preserve">N°21120137</t>
  </si>
  <si>
    <t xml:space="preserve">PRELEVEMENT </t>
  </si>
  <si>
    <t xml:space="preserve">GENERALI</t>
  </si>
  <si>
    <t xml:space="preserve">AT 063 421</t>
  </si>
  <si>
    <t xml:space="preserve">AUTOMOBILE</t>
  </si>
  <si>
    <t xml:space="preserve">AT 096 205</t>
  </si>
  <si>
    <t xml:space="preserve">AR 601 510 </t>
  </si>
  <si>
    <t xml:space="preserve">AR 600 632 </t>
  </si>
  <si>
    <t xml:space="preserve">AR 743 728</t>
  </si>
  <si>
    <t xml:space="preserve">AR 600 631 </t>
  </si>
  <si>
    <t xml:space="preserve">AXA</t>
  </si>
  <si>
    <t xml:space="preserve">BAT N°10769141904 </t>
  </si>
  <si>
    <t xml:space="preserve">AXA - DECENNALE </t>
  </si>
  <si>
    <t xml:space="preserve">EDF </t>
  </si>
  <si>
    <t xml:space="preserve">N° 101 409 343 78 </t>
  </si>
  <si>
    <t xml:space="preserve">25 VALLON DES VAUX </t>
  </si>
  <si>
    <t xml:space="preserve">SFR</t>
  </si>
  <si>
    <t xml:space="preserve">CONTRAT 99-NA2L5Q</t>
  </si>
  <si>
    <t xml:space="preserve">IDENTICAR </t>
  </si>
  <si>
    <t xml:space="preserve">N°</t>
  </si>
  <si>
    <t xml:space="preserve">VOITURE SKODA</t>
  </si>
  <si>
    <t xml:space="preserve">F2116513</t>
  </si>
  <si>
    <t xml:space="preserve">AT 028 447 </t>
  </si>
  <si>
    <t xml:space="preserve">HABITATION</t>
  </si>
  <si>
    <t xml:space="preserve">URSSAF</t>
  </si>
  <si>
    <t xml:space="preserve">DECEMBRE 2021</t>
  </si>
  <si>
    <t xml:space="preserve">AR 935 830 </t>
  </si>
  <si>
    <t xml:space="preserve">1660332281</t>
  </si>
  <si>
    <t xml:space="preserve">1-1AOLFZ1P4</t>
  </si>
  <si>
    <t xml:space="preserve">CIBTP </t>
  </si>
  <si>
    <t xml:space="preserve">OCTOBRE 2021</t>
  </si>
  <si>
    <t xml:space="preserve">BTP PREVOYANCE</t>
  </si>
  <si>
    <t xml:space="preserve">ALPHA PRINT</t>
  </si>
  <si>
    <t xml:space="preserve">83125</t>
  </si>
  <si>
    <t xml:space="preserve">COPIE PHOTOCOPIEUSE</t>
  </si>
  <si>
    <t xml:space="preserve">N° 10142067557</t>
  </si>
  <si>
    <t xml:space="preserve">JEAN JAURES - FREJUS </t>
  </si>
  <si>
    <t xml:space="preserve">GECECA </t>
  </si>
  <si>
    <t xml:space="preserve">2021/12-000167</t>
  </si>
  <si>
    <t xml:space="preserve">PRO BTP</t>
  </si>
  <si>
    <t xml:space="preserve">PGE </t>
  </si>
  <si>
    <t xml:space="preserve">N°12 </t>
  </si>
  <si>
    <t xml:space="preserve">F2305720</t>
  </si>
  <si>
    <t xml:space="preserve">A PAYER </t>
  </si>
  <si>
    <t xml:space="preserve">SEFAB</t>
  </si>
  <si>
    <t xml:space="preserve">N°FA 560 -21 </t>
  </si>
  <si>
    <t xml:space="preserve">N°SA2111L108</t>
  </si>
  <si>
    <t xml:space="preserve">FA00011</t>
  </si>
  <si>
    <t xml:space="preserve">SPURGIN</t>
  </si>
  <si>
    <t xml:space="preserve">U0621110060</t>
  </si>
  <si>
    <t xml:space="preserve">FC-U0621110090</t>
  </si>
  <si>
    <t xml:space="preserve">AZUR METAL</t>
  </si>
  <si>
    <t xml:space="preserve">21 11- 055</t>
  </si>
  <si>
    <t xml:space="preserve">2112-046</t>
  </si>
  <si>
    <t xml:space="preserve">MAILLET </t>
  </si>
  <si>
    <t xml:space="preserve">2112-061</t>
  </si>
  <si>
    <t xml:space="preserve">VALLIER </t>
  </si>
  <si>
    <t xml:space="preserve">2112-029</t>
  </si>
  <si>
    <t xml:space="preserve">2112-069</t>
  </si>
  <si>
    <t xml:space="preserve">471</t>
  </si>
  <si>
    <t xml:space="preserve">25/01/20222</t>
  </si>
  <si>
    <t xml:space="preserve">2101774</t>
  </si>
  <si>
    <t xml:space="preserve">2101747</t>
  </si>
  <si>
    <t xml:space="preserve">MINERVE</t>
  </si>
  <si>
    <t xml:space="preserve">85</t>
  </si>
  <si>
    <t xml:space="preserve">90</t>
  </si>
  <si>
    <t xml:space="preserve">A REGLER </t>
  </si>
  <si>
    <t xml:space="preserve">91</t>
  </si>
  <si>
    <t xml:space="preserve">N°2101761</t>
  </si>
  <si>
    <t xml:space="preserve">DEL PISTOLA</t>
  </si>
  <si>
    <t xml:space="preserve">12/055</t>
  </si>
  <si>
    <t xml:space="preserve">LOGIC ETUDE EXPERTISE</t>
  </si>
  <si>
    <t xml:space="preserve">2018 LEE 126/12-103</t>
  </si>
  <si>
    <t xml:space="preserve">ROSEBAY</t>
  </si>
  <si>
    <t xml:space="preserve">COFRASUD</t>
  </si>
  <si>
    <t xml:space="preserve">N° 148983</t>
  </si>
  <si>
    <t xml:space="preserve">N°148894</t>
  </si>
  <si>
    <t xml:space="preserve">SCI JBM</t>
  </si>
  <si>
    <t xml:space="preserve">CAGNES</t>
  </si>
  <si>
    <t xml:space="preserve">DE LAGE LANDEN</t>
  </si>
  <si>
    <t xml:space="preserve">850 1 22 0000238</t>
  </si>
  <si>
    <t xml:space="preserve">INFO BURO</t>
  </si>
  <si>
    <t xml:space="preserve">27/01</t>
  </si>
  <si>
    <t xml:space="preserve">25/01/2022</t>
  </si>
  <si>
    <t xml:space="preserve">TERCA</t>
  </si>
  <si>
    <t xml:space="preserve">2022024</t>
  </si>
  <si>
    <t xml:space="preserve">21/01</t>
  </si>
  <si>
    <t xml:space="preserve">RG MATRIAUX </t>
  </si>
  <si>
    <t xml:space="preserve">000302</t>
  </si>
  <si>
    <t xml:space="preserve">000320</t>
  </si>
  <si>
    <t xml:space="preserve">TOTAL </t>
  </si>
  <si>
    <t xml:space="preserve">FOURNISSEURS </t>
  </si>
  <si>
    <t xml:space="preserve">Date de paiement</t>
  </si>
  <si>
    <t xml:space="preserve">0831660</t>
  </si>
  <si>
    <t xml:space="preserve">0837780</t>
  </si>
  <si>
    <t xml:space="preserve">0835730</t>
  </si>
  <si>
    <t xml:space="preserve">KILOUTOU</t>
  </si>
  <si>
    <t xml:space="preserve">28584242</t>
  </si>
  <si>
    <t xml:space="preserve">-</t>
  </si>
  <si>
    <t xml:space="preserve">POINT P</t>
  </si>
  <si>
    <t xml:space="preserve">301C1002369228</t>
  </si>
  <si>
    <t xml:space="preserve">301C1002368593</t>
  </si>
  <si>
    <t xml:space="preserve">0504831009</t>
  </si>
  <si>
    <t xml:space="preserve">28626967</t>
  </si>
  <si>
    <t xml:space="preserve">111295V</t>
  </si>
  <si>
    <t xml:space="preserve">110552L</t>
  </si>
  <si>
    <t xml:space="preserve">110968L</t>
  </si>
  <si>
    <t xml:space="preserve">899100808</t>
  </si>
  <si>
    <t xml:space="preserve">220110857</t>
  </si>
  <si>
    <t xml:space="preserve">VION</t>
  </si>
  <si>
    <t xml:space="preserve">220110856</t>
  </si>
  <si>
    <t xml:space="preserve">COLLINE DE LA TOUR</t>
  </si>
  <si>
    <t xml:space="preserve">220110855</t>
  </si>
  <si>
    <t xml:space="preserve">220110854</t>
  </si>
  <si>
    <t xml:space="preserve">20174902</t>
  </si>
  <si>
    <t xml:space="preserve">LA TOUR DE MARE</t>
  </si>
  <si>
    <t xml:space="preserve">20174903</t>
  </si>
  <si>
    <t xml:space="preserve">20174904</t>
  </si>
  <si>
    <t xml:space="preserve">20174905</t>
  </si>
  <si>
    <t xml:space="preserve">LES ISSAMBRES</t>
  </si>
  <si>
    <t xml:space="preserve">20174906</t>
  </si>
  <si>
    <t xml:space="preserve">PHONING</t>
  </si>
  <si>
    <t xml:space="preserve">20174907</t>
  </si>
  <si>
    <t xml:space="preserve">CYRILLE GEOFFREY</t>
  </si>
  <si>
    <t xml:space="preserve">CIFFREO BONA</t>
  </si>
  <si>
    <t xml:space="preserve">411,787</t>
  </si>
  <si>
    <t xml:space="preserve">411,788</t>
  </si>
  <si>
    <t xml:space="preserve">TOUR DE MARE</t>
  </si>
  <si>
    <t xml:space="preserve">411,789</t>
  </si>
  <si>
    <t xml:space="preserve">417,342</t>
  </si>
  <si>
    <t xml:space="preserve">AGAY</t>
  </si>
  <si>
    <t xml:space="preserve">417,343</t>
  </si>
  <si>
    <t xml:space="preserve">MANDELIEU</t>
  </si>
  <si>
    <t xml:space="preserve">411,223</t>
  </si>
  <si>
    <t xml:space="preserve">411,224</t>
  </si>
  <si>
    <t xml:space="preserve">272E620,22,18000272</t>
  </si>
  <si>
    <t xml:space="preserve">432,631/03</t>
  </si>
  <si>
    <t xml:space="preserve">AVOIR</t>
  </si>
  <si>
    <t xml:space="preserve">PS 7238</t>
  </si>
  <si>
    <t xml:space="preserve">EDF</t>
  </si>
  <si>
    <t xml:space="preserve">10142735389</t>
  </si>
  <si>
    <t xml:space="preserve">ASSURANCE DECENALE </t>
  </si>
  <si>
    <t xml:space="preserve">10142970680</t>
  </si>
  <si>
    <t xml:space="preserve">PUGET</t>
  </si>
  <si>
    <t xml:space="preserve">F2404374</t>
  </si>
  <si>
    <t xml:space="preserve">EASY MAT </t>
  </si>
  <si>
    <t xml:space="preserve">22010122</t>
  </si>
  <si>
    <t xml:space="preserve">ULYS</t>
  </si>
  <si>
    <t xml:space="preserve">IA00216477</t>
  </si>
  <si>
    <t xml:space="preserve">21/02/202</t>
  </si>
  <si>
    <t xml:space="preserve">GECECA</t>
  </si>
  <si>
    <t xml:space="preserve">2022/02-000170</t>
  </si>
  <si>
    <t xml:space="preserve">COMPTABLE</t>
  </si>
  <si>
    <t xml:space="preserve">1667336958</t>
  </si>
  <si>
    <t xml:space="preserve">1-HCXV2G79</t>
  </si>
  <si>
    <t xml:space="preserve">F2602461</t>
  </si>
  <si>
    <t xml:space="preserve">MAT ILD</t>
  </si>
  <si>
    <t xml:space="preserve">F186C940,22,18001593</t>
  </si>
  <si>
    <t xml:space="preserve">MAT ILD </t>
  </si>
  <si>
    <t xml:space="preserve">F186C940,18001592</t>
  </si>
  <si>
    <t xml:space="preserve">CAVEM</t>
  </si>
  <si>
    <t xml:space="preserve">202200044</t>
  </si>
  <si>
    <t xml:space="preserve">LOYER ARMAND</t>
  </si>
  <si>
    <t xml:space="preserve">02.2022</t>
  </si>
  <si>
    <t xml:space="preserve">TERRAIN</t>
  </si>
  <si>
    <t xml:space="preserve">PACANIER</t>
  </si>
  <si>
    <t xml:space="preserve">10</t>
  </si>
  <si>
    <t xml:space="preserve">LOYER TERRAIN DE STOCKAGE </t>
  </si>
  <si>
    <t xml:space="preserve">U0621120042</t>
  </si>
  <si>
    <t xml:space="preserve">BH TERRASSEMENT</t>
  </si>
  <si>
    <t xml:space="preserve">2022/01/007</t>
  </si>
  <si>
    <t xml:space="preserve">INTER SERVICE VAROIS </t>
  </si>
  <si>
    <t xml:space="preserve">2022/01/00111</t>
  </si>
  <si>
    <t xml:space="preserve">ACOMPTE DE 472- villa rouge</t>
  </si>
  <si>
    <t xml:space="preserve">AZUR METAL </t>
  </si>
  <si>
    <t xml:space="preserve">2201091</t>
  </si>
  <si>
    <t xml:space="preserve">SA2112L103</t>
  </si>
  <si>
    <t xml:space="preserve">CCA </t>
  </si>
  <si>
    <t xml:space="preserve">2200048</t>
  </si>
  <si>
    <t xml:space="preserve">106</t>
  </si>
  <si>
    <t xml:space="preserve">THIERRY - VILLA D AUREE</t>
  </si>
  <si>
    <t xml:space="preserve">105</t>
  </si>
  <si>
    <t xml:space="preserve">98</t>
  </si>
  <si>
    <t xml:space="preserve">97</t>
  </si>
  <si>
    <t xml:space="preserve">EO GEO</t>
  </si>
  <si>
    <t xml:space="preserve">22-1375</t>
  </si>
  <si>
    <t xml:space="preserve">01/055</t>
  </si>
  <si>
    <t xml:space="preserve">02/405</t>
  </si>
  <si>
    <t xml:space="preserve">AVOIR -1500 VILLA D AUREE</t>
  </si>
  <si>
    <t xml:space="preserve">LOYER 02.2022</t>
  </si>
  <si>
    <t xml:space="preserve">CAGNES SUR MER</t>
  </si>
  <si>
    <t xml:space="preserve">RG MATERIAUX </t>
  </si>
  <si>
    <t xml:space="preserve">31/12/2021</t>
  </si>
  <si>
    <t xml:space="preserve">DIVERS CHANTIERS</t>
  </si>
  <si>
    <t xml:space="preserve">MARCHAL</t>
  </si>
  <si>
    <t xml:space="preserve">LOYER APPRT FREJUS </t>
  </si>
  <si>
    <t xml:space="preserve">SCI OFFICE 2 M</t>
  </si>
  <si>
    <t xml:space="preserve">LOYER NUREAU FREJUS</t>
  </si>
  <si>
    <t xml:space="preserve">Achats divers </t>
  </si>
  <si>
    <t xml:space="preserve">0843467</t>
  </si>
  <si>
    <t xml:space="preserve">AVOIR </t>
  </si>
  <si>
    <t xml:space="preserve">0846552</t>
  </si>
  <si>
    <t xml:space="preserve">0840416</t>
  </si>
  <si>
    <t xml:space="preserve">DM FAÇADE </t>
  </si>
  <si>
    <t xml:space="preserve">28842156</t>
  </si>
  <si>
    <t xml:space="preserve">REPARATION</t>
  </si>
  <si>
    <t xml:space="preserve">28790980</t>
  </si>
  <si>
    <t xml:space="preserve">28779960</t>
  </si>
  <si>
    <t xml:space="preserve">RESTE A PAYER </t>
  </si>
  <si>
    <t xml:space="preserve">28862884</t>
  </si>
  <si>
    <t xml:space="preserve">121027380</t>
  </si>
  <si>
    <t xml:space="preserve">301C1002414966</t>
  </si>
  <si>
    <t xml:space="preserve">VION-MAILLET</t>
  </si>
  <si>
    <t xml:space="preserve">301C1002410255</t>
  </si>
  <si>
    <t xml:space="preserve">RESTE LCR </t>
  </si>
  <si>
    <t xml:space="preserve">899100841</t>
  </si>
  <si>
    <t xml:space="preserve">422899/02</t>
  </si>
  <si>
    <t xml:space="preserve">CARRE DES VIGNES</t>
  </si>
  <si>
    <t xml:space="preserve">424637/02</t>
  </si>
  <si>
    <t xml:space="preserve">RESTE PRELEVEMENT</t>
  </si>
  <si>
    <t xml:space="preserve">418202/02</t>
  </si>
  <si>
    <t xml:space="preserve">418841/02</t>
  </si>
  <si>
    <t xml:space="preserve">424112/02</t>
  </si>
  <si>
    <t xml:space="preserve">TOTAL RESTANT DU </t>
  </si>
  <si>
    <t xml:space="preserve">419678/02</t>
  </si>
  <si>
    <t xml:space="preserve">418838/02</t>
  </si>
  <si>
    <t xml:space="preserve">418839/02</t>
  </si>
  <si>
    <t xml:space="preserve">418840/02</t>
  </si>
  <si>
    <t xml:space="preserve">418842/02</t>
  </si>
  <si>
    <t xml:space="preserve">30144352 / 30171061</t>
  </si>
  <si>
    <t xml:space="preserve">20285858</t>
  </si>
  <si>
    <t xml:space="preserve">20285859</t>
  </si>
  <si>
    <t xml:space="preserve">20285860</t>
  </si>
  <si>
    <t xml:space="preserve">20285861</t>
  </si>
  <si>
    <t xml:space="preserve">20285862</t>
  </si>
  <si>
    <t xml:space="preserve">20285863</t>
  </si>
  <si>
    <t xml:space="preserve">20285864</t>
  </si>
  <si>
    <t xml:space="preserve">220214894</t>
  </si>
  <si>
    <t xml:space="preserve">220214896</t>
  </si>
  <si>
    <t xml:space="preserve">220214891</t>
  </si>
  <si>
    <t xml:space="preserve">220214897</t>
  </si>
  <si>
    <t xml:space="preserve">220214895</t>
  </si>
  <si>
    <t xml:space="preserve">ROQUEBRUNE - BOULEVARD</t>
  </si>
  <si>
    <t xml:space="preserve">220214892</t>
  </si>
  <si>
    <t xml:space="preserve">220214893</t>
  </si>
  <si>
    <t xml:space="preserve">00111973L</t>
  </si>
  <si>
    <t xml:space="preserve">00112544L</t>
  </si>
  <si>
    <t xml:space="preserve">30066627</t>
  </si>
  <si>
    <t xml:space="preserve">STOCK </t>
  </si>
  <si>
    <t xml:space="preserve">DLL </t>
  </si>
  <si>
    <t xml:space="preserve">850 1 22 0002847</t>
  </si>
  <si>
    <t xml:space="preserve">LOCATION MATERIEL INFO</t>
  </si>
  <si>
    <t xml:space="preserve">XZ33</t>
  </si>
  <si>
    <t xml:space="preserve">JURITRAVAIL</t>
  </si>
  <si>
    <t xml:space="preserve">HUBERT </t>
  </si>
  <si>
    <t xml:space="preserve">LOYER FREJUS </t>
  </si>
  <si>
    <t xml:space="preserve">SCI DYLAN ETHAN</t>
  </si>
  <si>
    <t xml:space="preserve">LOYER PUGET </t>
  </si>
  <si>
    <t xml:space="preserve">INFO BURO </t>
  </si>
  <si>
    <t xml:space="preserve">BUREAUTIQUE </t>
  </si>
  <si>
    <t xml:space="preserve">SCI PACANIER </t>
  </si>
  <si>
    <t xml:space="preserve">ARMAND </t>
  </si>
  <si>
    <t xml:space="preserve">F2677726</t>
  </si>
  <si>
    <t xml:space="preserve">CHUBB EUROPEAN </t>
  </si>
  <si>
    <t xml:space="preserve">ASSURANCE TEL</t>
  </si>
  <si>
    <t xml:space="preserve">2202000131</t>
  </si>
  <si>
    <t xml:space="preserve">10144716571</t>
  </si>
  <si>
    <t xml:space="preserve">LES MEISSUGUES</t>
  </si>
  <si>
    <t xml:space="preserve">ALLOMAT </t>
  </si>
  <si>
    <t xml:space="preserve">523840</t>
  </si>
  <si>
    <t xml:space="preserve">RELEVE FEVRIER </t>
  </si>
  <si>
    <t xml:space="preserve">MATI'ILD</t>
  </si>
  <si>
    <t xml:space="preserve">F186C940,22,18000750</t>
  </si>
  <si>
    <t xml:space="preserve">F183C940,22,18000751</t>
  </si>
  <si>
    <t xml:space="preserve">F2869514</t>
  </si>
  <si>
    <t xml:space="preserve">AIST </t>
  </si>
  <si>
    <t xml:space="preserve">5078137</t>
  </si>
  <si>
    <t xml:space="preserve">LA CAVEM </t>
  </si>
  <si>
    <t xml:space="preserve">20220127</t>
  </si>
  <si>
    <t xml:space="preserve">MATILD</t>
  </si>
  <si>
    <t xml:space="preserve">F186C940.22.18000366</t>
  </si>
  <si>
    <t xml:space="preserve">2201061</t>
  </si>
  <si>
    <t xml:space="preserve">2201060</t>
  </si>
  <si>
    <t xml:space="preserve">2202074</t>
  </si>
  <si>
    <t xml:space="preserve">2202076</t>
  </si>
  <si>
    <t xml:space="preserve">2202075</t>
  </si>
  <si>
    <t xml:space="preserve">SCI SIRENE VILLA  LES AGASSES - ST RAPH</t>
  </si>
  <si>
    <t xml:space="preserve">02/055</t>
  </si>
  <si>
    <t xml:space="preserve">064</t>
  </si>
  <si>
    <t xml:space="preserve">INTER SERVICE</t>
  </si>
  <si>
    <t xml:space="preserve">2022/01/00289</t>
  </si>
  <si>
    <t xml:space="preserve">RG MATERIAUX</t>
  </si>
  <si>
    <t xml:space="preserve">2022/03/011</t>
  </si>
  <si>
    <t xml:space="preserve">KRO CERAMIQUE </t>
  </si>
  <si>
    <t xml:space="preserve">008837</t>
  </si>
  <si>
    <t xml:space="preserve">VILLA ROUGE </t>
  </si>
  <si>
    <t xml:space="preserve">114</t>
  </si>
  <si>
    <t xml:space="preserve">THIERRY- VILLA D AUREE</t>
  </si>
  <si>
    <t xml:space="preserve">113</t>
  </si>
  <si>
    <t xml:space="preserve">120</t>
  </si>
  <si>
    <t xml:space="preserve">119</t>
  </si>
  <si>
    <t xml:space="preserve">LOCAPEINT</t>
  </si>
  <si>
    <t xml:space="preserve">20128989</t>
  </si>
  <si>
    <t xml:space="preserve">DOS SANTOS</t>
  </si>
  <si>
    <t xml:space="preserve">27</t>
  </si>
  <si>
    <t xml:space="preserve">2022099</t>
  </si>
  <si>
    <t xml:space="preserve">VILLA DAUREE</t>
  </si>
  <si>
    <t xml:space="preserve">LOPEZ </t>
  </si>
  <si>
    <t xml:space="preserve">AMG LOCATION </t>
  </si>
  <si>
    <t xml:space="preserve">FA 000164 </t>
  </si>
  <si>
    <t xml:space="preserve">GRUE MAILLET </t>
  </si>
  <si>
    <t xml:space="preserve">MB </t>
  </si>
  <si>
    <t xml:space="preserve">2021-011-</t>
  </si>
  <si>
    <t xml:space="preserve">VILLA AGATHA</t>
  </si>
  <si>
    <t xml:space="preserve">05855802</t>
  </si>
  <si>
    <t xml:space="preserve">0853827</t>
  </si>
  <si>
    <t xml:space="preserve">28939102</t>
  </si>
  <si>
    <t xml:space="preserve">28905632</t>
  </si>
  <si>
    <t xml:space="preserve">28939080</t>
  </si>
  <si>
    <t xml:space="preserve">28939093</t>
  </si>
  <si>
    <t xml:space="preserve">29058201</t>
  </si>
  <si>
    <t xml:space="preserve">29011642</t>
  </si>
  <si>
    <t xml:space="preserve">JCMAT</t>
  </si>
  <si>
    <t xml:space="preserve">00113876L</t>
  </si>
  <si>
    <t xml:space="preserve">00113691L</t>
  </si>
  <si>
    <t xml:space="preserve">899100865</t>
  </si>
  <si>
    <t xml:space="preserve">0504831852</t>
  </si>
  <si>
    <t xml:space="preserve">SEQUIER</t>
  </si>
  <si>
    <t xml:space="preserve">0504831851</t>
  </si>
  <si>
    <t xml:space="preserve">426,258</t>
  </si>
  <si>
    <t xml:space="preserve">429,726</t>
  </si>
  <si>
    <t xml:space="preserve">426,260</t>
  </si>
  <si>
    <t xml:space="preserve">BESSE</t>
  </si>
  <si>
    <t xml:space="preserve">426,259</t>
  </si>
  <si>
    <t xml:space="preserve">425,579</t>
  </si>
  <si>
    <t xml:space="preserve">VILLA ROUGE</t>
  </si>
  <si>
    <t xml:space="preserve">3006910</t>
  </si>
  <si>
    <t xml:space="preserve">3006909</t>
  </si>
  <si>
    <t xml:space="preserve">20397841</t>
  </si>
  <si>
    <t xml:space="preserve">20397842</t>
  </si>
  <si>
    <t xml:space="preserve">20397843</t>
  </si>
  <si>
    <t xml:space="preserve">20397844</t>
  </si>
  <si>
    <t xml:space="preserve">20397845</t>
  </si>
  <si>
    <t xml:space="preserve">ST RAPH</t>
  </si>
  <si>
    <t xml:space="preserve">20397846</t>
  </si>
  <si>
    <t xml:space="preserve">LES TERRES DE CLAVIERS</t>
  </si>
  <si>
    <t xml:space="preserve">LAFARGE</t>
  </si>
  <si>
    <t xml:space="preserve">220316682</t>
  </si>
  <si>
    <t xml:space="preserve">RUE DU ROCHER PUGET </t>
  </si>
  <si>
    <t xml:space="preserve">220316683</t>
  </si>
  <si>
    <t xml:space="preserve">220316684</t>
  </si>
  <si>
    <t xml:space="preserve">220316685</t>
  </si>
  <si>
    <t xml:space="preserve">220316686</t>
  </si>
  <si>
    <t xml:space="preserve">220316687</t>
  </si>
  <si>
    <t xml:space="preserve">220316688</t>
  </si>
  <si>
    <t xml:space="preserve">CHEMIN DES ALLIES</t>
  </si>
  <si>
    <t xml:space="preserve">220316689</t>
  </si>
  <si>
    <t xml:space="preserve">CHEMIN DE CLAVIER</t>
  </si>
  <si>
    <t xml:space="preserve">220316690</t>
  </si>
  <si>
    <t xml:space="preserve">ALLES DES PINS PARASOLE JUANS LES PÏNS</t>
  </si>
  <si>
    <t xml:space="preserve">DE LAGE </t>
  </si>
  <si>
    <t xml:space="preserve">850 1 22 00006649</t>
  </si>
  <si>
    <t xml:space="preserve">F2A45549</t>
  </si>
  <si>
    <t xml:space="preserve">SKODA </t>
  </si>
  <si>
    <t xml:space="preserve">1TRM 2022</t>
  </si>
  <si>
    <t xml:space="preserve">83194</t>
  </si>
  <si>
    <t xml:space="preserve">COPIE</t>
  </si>
  <si>
    <t xml:space="preserve">COTISATION NOUVEAUX SALARIES</t>
  </si>
  <si>
    <t xml:space="preserve">CAISSE DES CONGES </t>
  </si>
  <si>
    <t xml:space="preserve">RETRAITE </t>
  </si>
  <si>
    <t xml:space="preserve">SFR FIXE ADSL </t>
  </si>
  <si>
    <t xml:space="preserve">1-1A0LF</t>
  </si>
  <si>
    <t xml:space="preserve">FIXE BUREAU FREJUS </t>
  </si>
  <si>
    <t xml:space="preserve">10147610617</t>
  </si>
  <si>
    <t xml:space="preserve">J JAURES</t>
  </si>
  <si>
    <t xml:space="preserve">22030152</t>
  </si>
  <si>
    <t xml:space="preserve">RECONDITIONNEMENT BUNGALOW</t>
  </si>
  <si>
    <t xml:space="preserve">22030153</t>
  </si>
  <si>
    <t xml:space="preserve">22030154</t>
  </si>
  <si>
    <t xml:space="preserve">LOCATION MARS 2022</t>
  </si>
  <si>
    <t xml:space="preserve">MATIL'D</t>
  </si>
  <si>
    <t xml:space="preserve">22,18001592</t>
  </si>
  <si>
    <t xml:space="preserve">22.18001593</t>
  </si>
  <si>
    <t xml:space="preserve">526847</t>
  </si>
  <si>
    <t xml:space="preserve">PEAGE </t>
  </si>
  <si>
    <t xml:space="preserve">CHAMPEAU </t>
  </si>
  <si>
    <t xml:space="preserve">100FAC-22031371</t>
  </si>
  <si>
    <t xml:space="preserve">LA TRINITE </t>
  </si>
  <si>
    <t xml:space="preserve">OFFICE 2 M </t>
  </si>
  <si>
    <t xml:space="preserve">ECH 04/04/2022</t>
  </si>
  <si>
    <t xml:space="preserve">BUREAU FREJUS</t>
  </si>
  <si>
    <t xml:space="preserve">INTERSERVICE </t>
  </si>
  <si>
    <t xml:space="preserve">2022/01/00315</t>
  </si>
  <si>
    <t xml:space="preserve">MULTI-TRAVAUX </t>
  </si>
  <si>
    <t xml:space="preserve">2022-0013</t>
  </si>
  <si>
    <t xml:space="preserve">NETTOYAGE APPRT CAGNES SUR MER</t>
  </si>
  <si>
    <t xml:space="preserve">151002191</t>
  </si>
  <si>
    <t xml:space="preserve">LOCATION CAMION</t>
  </si>
  <si>
    <t xml:space="preserve">ECH 28/02</t>
  </si>
  <si>
    <t xml:space="preserve">CHANTIERS</t>
  </si>
  <si>
    <t xml:space="preserve">MINERVE </t>
  </si>
  <si>
    <t xml:space="preserve">129</t>
  </si>
  <si>
    <t xml:space="preserve">130</t>
  </si>
  <si>
    <t xml:space="preserve">148</t>
  </si>
  <si>
    <t xml:space="preserve">VILLA D'AUREE  - THIERRY</t>
  </si>
  <si>
    <t xml:space="preserve">147</t>
  </si>
  <si>
    <t xml:space="preserve">2200284</t>
  </si>
  <si>
    <t xml:space="preserve">2200349</t>
  </si>
  <si>
    <t xml:space="preserve">2200365</t>
  </si>
  <si>
    <t xml:space="preserve">2200179</t>
  </si>
  <si>
    <t xml:space="preserve">COFRASUD </t>
  </si>
  <si>
    <t xml:space="preserve">150501</t>
  </si>
  <si>
    <t xml:space="preserve">DEL PISTOLA </t>
  </si>
  <si>
    <t xml:space="preserve">03/55</t>
  </si>
  <si>
    <t xml:space="preserve">PENAPAVAGE </t>
  </si>
  <si>
    <t xml:space="preserve">2022-0097</t>
  </si>
  <si>
    <t xml:space="preserve">2203061</t>
  </si>
  <si>
    <t xml:space="preserve">2203060</t>
  </si>
  <si>
    <t xml:space="preserve">116</t>
  </si>
  <si>
    <t xml:space="preserve">OUI</t>
  </si>
  <si>
    <t xml:space="preserve">AZESD</t>
  </si>
  <si>
    <t xml:space="preserve">QS</t>
  </si>
  <si>
    <t xml:space="preserve">31/04/2023</t>
  </si>
  <si>
    <t xml:space="preserve">LCR</t>
  </si>
  <si>
    <t xml:space="preserve">0862838</t>
  </si>
  <si>
    <t xml:space="preserve">0865929</t>
  </si>
  <si>
    <t xml:space="preserve">121028999</t>
  </si>
  <si>
    <t xml:space="preserve">301C1002514694</t>
  </si>
  <si>
    <t xml:space="preserve">301C1002519299</t>
  </si>
  <si>
    <t xml:space="preserve">301C1002459997</t>
  </si>
  <si>
    <t xml:space="preserve">30510430</t>
  </si>
  <si>
    <t xml:space="preserve">899100886</t>
  </si>
  <si>
    <t xml:space="preserve">0504832344</t>
  </si>
  <si>
    <t xml:space="preserve">0504832343</t>
  </si>
  <si>
    <t xml:space="preserve">20409440</t>
  </si>
  <si>
    <t xml:space="preserve">20409441</t>
  </si>
  <si>
    <t xml:space="preserve">20409442</t>
  </si>
  <si>
    <t xml:space="preserve">20409443</t>
  </si>
  <si>
    <t xml:space="preserve">114453L</t>
  </si>
  <si>
    <t xml:space="preserve">114869L</t>
  </si>
  <si>
    <t xml:space="preserve">220423324</t>
  </si>
  <si>
    <t xml:space="preserve">220423325</t>
  </si>
  <si>
    <t xml:space="preserve">220423326</t>
  </si>
  <si>
    <t xml:space="preserve">220423327</t>
  </si>
  <si>
    <t xml:space="preserve">3007206</t>
  </si>
  <si>
    <t xml:space="preserve">433 474</t>
  </si>
  <si>
    <t xml:space="preserve">433 475</t>
  </si>
  <si>
    <t xml:space="preserve">433 476</t>
  </si>
  <si>
    <t xml:space="preserve">434 980</t>
  </si>
  <si>
    <t xml:space="preserve">437 376</t>
  </si>
  <si>
    <t xml:space="preserve">GARY   MIMET</t>
  </si>
  <si>
    <t xml:space="preserve">425,577</t>
  </si>
  <si>
    <t xml:space="preserve">432.631/03</t>
  </si>
  <si>
    <t xml:space="preserve">DIVERS</t>
  </si>
  <si>
    <t xml:space="preserve">18002409</t>
  </si>
  <si>
    <t xml:space="preserve">P S 49969</t>
  </si>
  <si>
    <t xml:space="preserve">ADOBE </t>
  </si>
  <si>
    <t xml:space="preserve">ADOBE READER </t>
  </si>
  <si>
    <t xml:space="preserve">QUAI LES MEISSUGUES </t>
  </si>
  <si>
    <t xml:space="preserve">151002345</t>
  </si>
  <si>
    <t xml:space="preserve">IVECO BENNE</t>
  </si>
  <si>
    <t xml:space="preserve">10148559524</t>
  </si>
  <si>
    <t xml:space="preserve">JEAN JAURES</t>
  </si>
  <si>
    <t xml:space="preserve">1280037</t>
  </si>
  <si>
    <t xml:space="preserve">AVOIR AIST</t>
  </si>
  <si>
    <t xml:space="preserve">1282351</t>
  </si>
  <si>
    <t xml:space="preserve">NOUVEAU SALARIE</t>
  </si>
  <si>
    <t xml:space="preserve">PRO BTP PREVOYANCE</t>
  </si>
  <si>
    <t xml:space="preserve">BTP RETRAITE </t>
  </si>
  <si>
    <t xml:space="preserve">EASY MAT</t>
  </si>
  <si>
    <t xml:space="preserve">AVOIR 22040014</t>
  </si>
  <si>
    <t xml:space="preserve">22040143</t>
  </si>
  <si>
    <t xml:space="preserve">14269</t>
  </si>
  <si>
    <t xml:space="preserve">COMPTEUR PHOTOCOPIE</t>
  </si>
  <si>
    <t xml:space="preserve">SCI PACANIER</t>
  </si>
  <si>
    <t xml:space="preserve">TERRAIN STOCKAGE</t>
  </si>
  <si>
    <t xml:space="preserve">157</t>
  </si>
  <si>
    <t xml:space="preserve">VILLA D AUREE - THIERRY</t>
  </si>
  <si>
    <t xml:space="preserve">156</t>
  </si>
  <si>
    <t xml:space="preserve">VILLA D'AUREE</t>
  </si>
  <si>
    <t xml:space="preserve">170</t>
  </si>
  <si>
    <t xml:space="preserve">169</t>
  </si>
  <si>
    <t xml:space="preserve">VILLA D AUREE </t>
  </si>
  <si>
    <t xml:space="preserve">04/055</t>
  </si>
  <si>
    <t xml:space="preserve">INTER SERVICES VAROIS</t>
  </si>
  <si>
    <t xml:space="preserve">2022/01/00450</t>
  </si>
  <si>
    <t xml:space="preserve">FA161</t>
  </si>
  <si>
    <t xml:space="preserve">22-04- 053</t>
  </si>
  <si>
    <t xml:space="preserve">VILLA CHARASSE</t>
  </si>
  <si>
    <t xml:space="preserve">FA000303</t>
  </si>
  <si>
    <t xml:space="preserve">CITYLINK </t>
  </si>
  <si>
    <t xml:space="preserve">FAC N° 2022290 </t>
  </si>
  <si>
    <t xml:space="preserve">CARTE VISITE </t>
  </si>
  <si>
    <t xml:space="preserve">31/03/2022</t>
  </si>
  <si>
    <t xml:space="preserve">115782L</t>
  </si>
  <si>
    <t xml:space="preserve">899100908</t>
  </si>
  <si>
    <t xml:space="preserve">18003334</t>
  </si>
  <si>
    <t xml:space="preserve">18003335</t>
  </si>
  <si>
    <t xml:space="preserve">3007517</t>
  </si>
  <si>
    <t xml:space="preserve">3007152</t>
  </si>
  <si>
    <t xml:space="preserve">0504832842</t>
  </si>
  <si>
    <t xml:space="preserve">0504832843</t>
  </si>
  <si>
    <t xml:space="preserve">CHARASSE</t>
  </si>
  <si>
    <t xml:space="preserve">CIFFREO</t>
  </si>
  <si>
    <t xml:space="preserve">447,711</t>
  </si>
  <si>
    <t xml:space="preserve">440,886</t>
  </si>
  <si>
    <t xml:space="preserve">441,509</t>
  </si>
  <si>
    <t xml:space="preserve">441,510</t>
  </si>
  <si>
    <t xml:space="preserve">442,446</t>
  </si>
  <si>
    <t xml:space="preserve">20520964</t>
  </si>
  <si>
    <t xml:space="preserve">20520965</t>
  </si>
  <si>
    <t xml:space="preserve">CHAUSSURE</t>
  </si>
  <si>
    <t xml:space="preserve">20520966</t>
  </si>
  <si>
    <t xml:space="preserve">20520967</t>
  </si>
  <si>
    <t xml:space="preserve">SEQUIET</t>
  </si>
  <si>
    <t xml:space="preserve">20520968</t>
  </si>
  <si>
    <t xml:space="preserve">20520969</t>
  </si>
  <si>
    <t xml:space="preserve">COFFRET</t>
  </si>
  <si>
    <t xml:space="preserve">220518695</t>
  </si>
  <si>
    <t xml:space="preserve">220518696</t>
  </si>
  <si>
    <t xml:space="preserve">220518697</t>
  </si>
  <si>
    <t xml:space="preserve">220518698</t>
  </si>
  <si>
    <t xml:space="preserve">VION </t>
  </si>
  <si>
    <t xml:space="preserve">220518699</t>
  </si>
  <si>
    <t xml:space="preserve">220518700</t>
  </si>
  <si>
    <t xml:space="preserve">850 1 22 00010235</t>
  </si>
  <si>
    <t xml:space="preserve">F2677726 </t>
  </si>
  <si>
    <t xml:space="preserve">MATIL'D </t>
  </si>
  <si>
    <t xml:space="preserve">N° 18002634</t>
  </si>
  <si>
    <t xml:space="preserve">N°18002633</t>
  </si>
  <si>
    <t xml:space="preserve">1700285942</t>
  </si>
  <si>
    <t xml:space="preserve">FIXZ BUREAU PUGET</t>
  </si>
  <si>
    <t xml:space="preserve">PREVOYANCE </t>
  </si>
  <si>
    <t xml:space="preserve">IE00213689</t>
  </si>
  <si>
    <t xml:space="preserve">1701555478</t>
  </si>
  <si>
    <t xml:space="preserve">GMF </t>
  </si>
  <si>
    <t xml:space="preserve">006.249.595P</t>
  </si>
  <si>
    <t xml:space="preserve">VILLA D'AUREE  - MERCEDEZ </t>
  </si>
  <si>
    <t xml:space="preserve">544</t>
  </si>
  <si>
    <t xml:space="preserve">SG CARRELAGE </t>
  </si>
  <si>
    <t xml:space="preserve">2022-</t>
  </si>
  <si>
    <t xml:space="preserve">SOUS TRAITANCE CARRELAGE </t>
  </si>
  <si>
    <t xml:space="preserve">2205-057</t>
  </si>
  <si>
    <t xml:space="preserve">SARL CIN </t>
  </si>
  <si>
    <t xml:space="preserve">2205-056</t>
  </si>
  <si>
    <t xml:space="preserve">FA204</t>
  </si>
  <si>
    <t xml:space="preserve">AMENDE </t>
  </si>
  <si>
    <t xml:space="preserve">EG-937-WX</t>
  </si>
  <si>
    <t xml:space="preserve">511</t>
  </si>
  <si>
    <t xml:space="preserve">512 </t>
  </si>
  <si>
    <t xml:space="preserve">05/055</t>
  </si>
  <si>
    <t xml:space="preserve">175</t>
  </si>
  <si>
    <t xml:space="preserve">176</t>
  </si>
  <si>
    <t xml:space="preserve">195</t>
  </si>
  <si>
    <t xml:space="preserve">196</t>
  </si>
  <si>
    <t xml:space="preserve">K.RENOV</t>
  </si>
  <si>
    <t xml:space="preserve">2207076</t>
  </si>
  <si>
    <t xml:space="preserve">JA HOLDING</t>
  </si>
  <si>
    <t xml:space="preserve">2022-32</t>
  </si>
  <si>
    <t xml:space="preserve">2022-33</t>
  </si>
  <si>
    <t xml:space="preserve">CARCES</t>
  </si>
  <si>
    <t xml:space="preserve">2022-35</t>
  </si>
  <si>
    <t xml:space="preserve">18004036</t>
  </si>
  <si>
    <t xml:space="preserve">18004037</t>
  </si>
  <si>
    <t xml:space="preserve">0504833584</t>
  </si>
  <si>
    <t xml:space="preserve">899100928</t>
  </si>
  <si>
    <t xml:space="preserve">3007794</t>
  </si>
  <si>
    <t xml:space="preserve">453,029</t>
  </si>
  <si>
    <t xml:space="preserve">32630</t>
  </si>
  <si>
    <t xml:space="preserve">32631</t>
  </si>
  <si>
    <t xml:space="preserve">32632</t>
  </si>
  <si>
    <t xml:space="preserve">32633</t>
  </si>
  <si>
    <t xml:space="preserve">32634</t>
  </si>
  <si>
    <t xml:space="preserve">32635</t>
  </si>
  <si>
    <t xml:space="preserve">450,185</t>
  </si>
  <si>
    <t xml:space="preserve">449,189</t>
  </si>
  <si>
    <t xml:space="preserve">449,188</t>
  </si>
  <si>
    <t xml:space="preserve">449,187</t>
  </si>
  <si>
    <t xml:space="preserve">449,186</t>
  </si>
  <si>
    <t xml:space="preserve">449,185</t>
  </si>
  <si>
    <t xml:space="preserve">449,184</t>
  </si>
  <si>
    <t xml:space="preserve">448,546</t>
  </si>
  <si>
    <t xml:space="preserve">00117437L</t>
  </si>
  <si>
    <t xml:space="preserve">220623041</t>
  </si>
  <si>
    <t xml:space="preserve">220623042</t>
  </si>
  <si>
    <t xml:space="preserve">220623043</t>
  </si>
  <si>
    <t xml:space="preserve">ROBERT</t>
  </si>
  <si>
    <t xml:space="preserve">220623044</t>
  </si>
  <si>
    <t xml:space="preserve">220623045</t>
  </si>
  <si>
    <t xml:space="preserve">220623046</t>
  </si>
  <si>
    <t xml:space="preserve">COTE </t>
  </si>
  <si>
    <t xml:space="preserve">10151464034</t>
  </si>
  <si>
    <t xml:space="preserve">PEREZ</t>
  </si>
  <si>
    <t xml:space="preserve">85012200014369</t>
  </si>
  <si>
    <t xml:space="preserve">AT 063 431</t>
  </si>
  <si>
    <t xml:space="preserve">10151976995</t>
  </si>
  <si>
    <t xml:space="preserve">BUREAU PUGET </t>
  </si>
  <si>
    <t xml:space="preserve">2206000134</t>
  </si>
  <si>
    <t xml:space="preserve">F2C46534</t>
  </si>
  <si>
    <t xml:space="preserve">GAZOIL</t>
  </si>
  <si>
    <t xml:space="preserve">25/04/2022</t>
  </si>
  <si>
    <t xml:space="preserve">IF00213074</t>
  </si>
  <si>
    <t xml:space="preserve">30751147</t>
  </si>
  <si>
    <t xml:space="preserve">DLM </t>
  </si>
  <si>
    <t xml:space="preserve">22060162</t>
  </si>
  <si>
    <t xml:space="preserve">FA000483</t>
  </si>
  <si>
    <t xml:space="preserve">MAILLET - GRUE </t>
  </si>
  <si>
    <t xml:space="preserve">ECH 31/05 </t>
  </si>
  <si>
    <t xml:space="preserve">CHANTIERS </t>
  </si>
  <si>
    <t xml:space="preserve">2022-39</t>
  </si>
  <si>
    <t xml:space="preserve">2022-40</t>
  </si>
  <si>
    <t xml:space="preserve">INTERSERVICES</t>
  </si>
  <si>
    <t xml:space="preserve">664</t>
  </si>
  <si>
    <t xml:space="preserve">MENAGE VILLA D AUREE</t>
  </si>
  <si>
    <t xml:space="preserve">IDEAL FACADE</t>
  </si>
  <si>
    <t xml:space="preserve">1-116</t>
  </si>
  <si>
    <t xml:space="preserve">FACADE VILLA D AUREE</t>
  </si>
  <si>
    <t xml:space="preserve">BOUGADOUHA</t>
  </si>
  <si>
    <t xml:space="preserve">60005</t>
  </si>
  <si>
    <t xml:space="preserve">DECHET MANDELIEU </t>
  </si>
  <si>
    <t xml:space="preserve">06/202</t>
  </si>
  <si>
    <t xml:space="preserve">212</t>
  </si>
  <si>
    <t xml:space="preserve">287</t>
  </si>
  <si>
    <t xml:space="preserve">2121/1007</t>
  </si>
  <si>
    <t xml:space="preserve">CARRELAGE VILLA D AUREE</t>
  </si>
  <si>
    <t xml:space="preserve">PRO G MAT </t>
  </si>
  <si>
    <t xml:space="preserve">14363</t>
  </si>
  <si>
    <t xml:space="preserve">2206067</t>
  </si>
  <si>
    <t xml:space="preserve">2206068</t>
  </si>
  <si>
    <t xml:space="preserve">SALAIRE </t>
  </si>
  <si>
    <t xml:space="preserve">1289820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</si>
</sst>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"/>
    <numFmt numFmtId="166" formatCode="0_);\-0_)"/>
    <numFmt numFmtId="167" formatCode="#,##0.00&quot; €&quot;"/>
    <numFmt numFmtId="168" formatCode="@"/>
    <numFmt numFmtId="169" formatCode="_-* #,##0.00&quot; €&quot;_-;\-* #,##0.00&quot; €&quot;_-;_-* \-??&quot; €&quot;_-;_-@_-"/>
    <numFmt numFmtId="170" formatCode="dd/mm/yyyy"/>
    <numFmt numFmtId="171" formatCode="_-* #,##0.00_-;\-* #,##0.00_-;_-* \-??_-;_-@_-"/>
    <numFmt numFmtId="172" formatCode="_-* #,##0.0_-;\-* #,##0.0_-;_-* \-??_-;_-@_-"/>
    <numFmt numFmtId="173" formatCode="#,##0.00&quot; €&quot;;[RED]\-#,##0.00&quot; €&quot;"/>
    <numFmt numFmtId="174" formatCode="mmm\-yy"/>
  </numFmts>
  <fonts count="98">
    <font>
      <sz val="10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262626"/>
      <name val="Calibri Light"/>
      <family val="2"/>
      <charset val="1"/>
    </font>
    <font>
      <sz val="10"/>
      <color rgb="FF2F5597"/>
      <name val="Corbel"/>
      <family val="2"/>
      <charset val="1"/>
    </font>
    <font>
      <b val="true"/>
      <sz val="12"/>
      <color rgb="FFFFFFFF"/>
      <name val="Calibri Light"/>
      <family val="4"/>
      <charset val="1"/>
    </font>
    <font>
      <b val="true"/>
      <sz val="12"/>
      <color rgb="FFFFFFFF"/>
      <name val="Calibri"/>
      <family val="2"/>
      <charset val="238"/>
    </font>
    <font>
      <b val="true"/>
      <sz val="10"/>
      <color rgb="FF2F5597"/>
      <name val="Book Antiqua"/>
      <family val="1"/>
      <charset val="1"/>
    </font>
    <font>
      <b val="true"/>
      <sz val="10"/>
      <color rgb="FFED7D31"/>
      <name val="Book Antiqua"/>
      <family val="1"/>
      <charset val="1"/>
    </font>
    <font>
      <sz val="10"/>
      <color rgb="FF2F5597"/>
      <name val="Book Antiqua"/>
      <family val="1"/>
      <charset val="1"/>
    </font>
    <font>
      <b val="true"/>
      <sz val="12"/>
      <color rgb="FFFFFFFF"/>
      <name val="Book Antiqua"/>
      <family val="1"/>
      <charset val="1"/>
    </font>
    <font>
      <b val="true"/>
      <sz val="12"/>
      <color rgb="FFED7D31"/>
      <name val="Book Antiqua"/>
      <family val="1"/>
      <charset val="1"/>
    </font>
    <font>
      <sz val="12"/>
      <color rgb="FF2F5597"/>
      <name val="Book Antiqua"/>
      <family val="1"/>
      <charset val="1"/>
    </font>
    <font>
      <b val="true"/>
      <sz val="12"/>
      <color rgb="FF2F5597"/>
      <name val="Book Antiqua"/>
      <family val="1"/>
      <charset val="1"/>
    </font>
    <font>
      <b val="true"/>
      <sz val="14"/>
      <color rgb="FFFF0000"/>
      <name val="Book Antiqua"/>
      <family val="1"/>
      <charset val="1"/>
    </font>
    <font>
      <sz val="10"/>
      <color rgb="FF44546A"/>
      <name val="Book Antiqua"/>
      <family val="1"/>
      <charset val="1"/>
    </font>
    <font>
      <sz val="12"/>
      <name val="Book Antiqua"/>
      <family val="1"/>
      <charset val="1"/>
    </font>
    <font>
      <b val="true"/>
      <sz val="12"/>
      <color rgb="FFC55A11"/>
      <name val="Book Antiqua"/>
      <family val="1"/>
      <charset val="1"/>
    </font>
    <font>
      <b val="true"/>
      <sz val="15"/>
      <color rgb="FFFF0000"/>
      <name val="Book Antiqua"/>
      <family val="1"/>
      <charset val="1"/>
    </font>
    <font>
      <b val="true"/>
      <sz val="15"/>
      <color rgb="FF2F5597"/>
      <name val="Book Antiqua"/>
      <family val="1"/>
      <charset val="1"/>
    </font>
    <font>
      <b val="true"/>
      <sz val="16"/>
      <color rgb="FFFF0000"/>
      <name val="Book Antiqua"/>
      <family val="1"/>
      <charset val="1"/>
    </font>
    <font>
      <b val="true"/>
      <sz val="16"/>
      <color rgb="FF548235"/>
      <name val="Book Antiqua"/>
      <family val="1"/>
      <charset val="1"/>
    </font>
    <font>
      <b val="true"/>
      <sz val="15"/>
      <color rgb="FFED7D31"/>
      <name val="Book Antiqua"/>
      <family val="1"/>
      <charset val="1"/>
    </font>
    <font>
      <b val="true"/>
      <sz val="18"/>
      <color rgb="FF2F5597"/>
      <name val="Book Antiqua"/>
      <family val="1"/>
      <charset val="1"/>
    </font>
    <font>
      <sz val="14"/>
      <color rgb="FF262626"/>
      <name val="Calibri"/>
      <family val="2"/>
      <charset val="1"/>
    </font>
    <font>
      <sz val="14"/>
      <color rgb="FF262626"/>
      <name val="Calibri Light"/>
      <family val="2"/>
      <charset val="1"/>
    </font>
    <font>
      <sz val="9"/>
      <color rgb="FF262626"/>
      <name val="Calibri"/>
      <family val="2"/>
      <charset val="1"/>
    </font>
    <font>
      <b val="true"/>
      <sz val="12"/>
      <color rgb="FF262626"/>
      <name val="Calibri Light"/>
      <family val="2"/>
      <charset val="1"/>
    </font>
    <font>
      <b val="true"/>
      <sz val="12"/>
      <color rgb="FF262626"/>
      <name val="Calibri"/>
      <family val="2"/>
      <charset val="1"/>
    </font>
    <font>
      <sz val="10"/>
      <color rgb="FFC55A11"/>
      <name val="Calibri"/>
      <family val="2"/>
      <charset val="1"/>
    </font>
    <font>
      <b val="true"/>
      <sz val="11"/>
      <color rgb="FF2F5597"/>
      <name val="Calibri"/>
      <family val="2"/>
      <charset val="1"/>
    </font>
    <font>
      <sz val="14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outline val="true"/>
      <shadow val="true"/>
      <sz val="14"/>
      <color rgb="FF4472C4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trike val="true"/>
      <outline val="true"/>
      <shadow val="true"/>
      <sz val="10"/>
      <color rgb="FF262626"/>
      <name val="Calibri"/>
      <family val="2"/>
      <charset val="1"/>
    </font>
    <font>
      <b val="true"/>
      <outline val="true"/>
      <shadow val="true"/>
      <sz val="14"/>
      <color rgb="FF7C7C7C"/>
      <name val="Calibri"/>
      <family val="2"/>
      <charset val="1"/>
    </font>
    <font>
      <sz val="10"/>
      <color rgb="FF7C7C7C"/>
      <name val="Calibri"/>
      <family val="2"/>
      <charset val="1"/>
    </font>
    <font>
      <b val="true"/>
      <i val="true"/>
      <strike val="true"/>
      <outline val="true"/>
      <shadow val="true"/>
      <sz val="10"/>
      <color rgb="FF7C7C7C"/>
      <name val="Calibri"/>
      <family val="2"/>
      <charset val="1"/>
    </font>
    <font>
      <sz val="14"/>
      <color rgb="FF7C7C7C"/>
      <name val="Calibri"/>
      <family val="2"/>
      <charset val="1"/>
    </font>
    <font>
      <sz val="14"/>
      <color rgb="FFC55A11"/>
      <name val="Calibri"/>
      <family val="2"/>
      <charset val="1"/>
    </font>
    <font>
      <sz val="10"/>
      <color rgb="FF767171"/>
      <name val="Calibri"/>
      <family val="2"/>
      <charset val="1"/>
    </font>
    <font>
      <b val="true"/>
      <i val="true"/>
      <strike val="true"/>
      <outline val="true"/>
      <shadow val="true"/>
      <sz val="10"/>
      <color rgb="FFC55A11"/>
      <name val="Calibri"/>
      <family val="2"/>
      <charset val="1"/>
    </font>
    <font>
      <u val="single"/>
      <sz val="10"/>
      <color rgb="FFC55A11"/>
      <name val="Calibri"/>
      <family val="2"/>
      <charset val="1"/>
    </font>
    <font>
      <sz val="10"/>
      <color rgb="FFED7D31"/>
      <name val="Calibri"/>
      <family val="2"/>
      <charset val="1"/>
    </font>
    <font>
      <b val="true"/>
      <sz val="14"/>
      <color rgb="FF7C7C7C"/>
      <name val="Calibri"/>
      <family val="2"/>
      <charset val="1"/>
    </font>
    <font>
      <b val="true"/>
      <sz val="14"/>
      <color rgb="FF70AD47"/>
      <name val="Calibri"/>
      <family val="2"/>
      <charset val="1"/>
    </font>
    <font>
      <sz val="14"/>
      <color rgb="FF70AD47"/>
      <name val="Calibri"/>
      <family val="2"/>
      <charset val="1"/>
    </font>
    <font>
      <b val="true"/>
      <outline val="true"/>
      <shadow val="true"/>
      <sz val="14"/>
      <color rgb="FFED7D31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C55A11"/>
      <name val="Calibri"/>
      <family val="2"/>
      <charset val="1"/>
    </font>
    <font>
      <sz val="14"/>
      <color rgb="FF535353"/>
      <name val="Calibri"/>
      <family val="2"/>
      <charset val="1"/>
    </font>
    <font>
      <sz val="14"/>
      <color rgb="FFA5A5A5"/>
      <name val="Calibri"/>
      <family val="2"/>
      <charset val="1"/>
    </font>
    <font>
      <sz val="10"/>
      <color rgb="FF00B05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b val="true"/>
      <sz val="36"/>
      <name val="Book Antiqua"/>
      <family val="1"/>
      <charset val="1"/>
    </font>
    <font>
      <b val="true"/>
      <sz val="12"/>
      <name val="Book Antiqua"/>
      <family val="1"/>
      <charset val="1"/>
    </font>
    <font>
      <sz val="10"/>
      <name val="Book Antiqua"/>
      <family val="1"/>
      <charset val="1"/>
    </font>
    <font>
      <sz val="14"/>
      <name val="Book Antiqua"/>
      <family val="1"/>
      <charset val="1"/>
    </font>
    <font>
      <sz val="14"/>
      <color rgb="FFFF0000"/>
      <name val="Book Antiqua"/>
      <family val="1"/>
      <charset val="1"/>
    </font>
    <font>
      <b val="true"/>
      <sz val="12"/>
      <color rgb="FF548235"/>
      <name val="Book Antiqua"/>
      <family val="1"/>
      <charset val="1"/>
    </font>
    <font>
      <sz val="12"/>
      <color rgb="FF548235"/>
      <name val="Book Antiqua"/>
      <family val="1"/>
      <charset val="1"/>
    </font>
    <font>
      <sz val="12"/>
      <color rgb="FFFF0000"/>
      <name val="Book Antiqua"/>
      <family val="1"/>
      <charset val="1"/>
    </font>
    <font>
      <b val="true"/>
      <sz val="18"/>
      <name val="Book Antiqua"/>
      <family val="1"/>
      <charset val="1"/>
    </font>
    <font>
      <b val="true"/>
      <sz val="12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b val="true"/>
      <sz val="16"/>
      <color rgb="FF4472C4"/>
      <name val="Book Antiqua"/>
      <family val="1"/>
      <charset val="1"/>
    </font>
    <font>
      <sz val="16"/>
      <color rgb="FF4472C4"/>
      <name val="Book Antiqua"/>
      <family val="1"/>
      <charset val="1"/>
    </font>
    <font>
      <b val="true"/>
      <sz val="10"/>
      <color rgb="FF222A35"/>
      <name val="Calibri Light"/>
      <family val="0"/>
    </font>
    <font>
      <b val="true"/>
      <sz val="14"/>
      <color rgb="FF2F5597"/>
      <name val="Corbel"/>
      <family val="2"/>
      <charset val="1"/>
    </font>
    <font>
      <b val="true"/>
      <sz val="14"/>
      <name val="Book Antiqua"/>
      <family val="1"/>
      <charset val="1"/>
    </font>
    <font>
      <b val="true"/>
      <sz val="16"/>
      <name val="Book Antiqua"/>
      <family val="1"/>
      <charset val="1"/>
    </font>
    <font>
      <b val="true"/>
      <sz val="12"/>
      <color rgb="FF843C0B"/>
      <name val="Book Antiqua"/>
      <family val="1"/>
      <charset val="1"/>
    </font>
    <font>
      <b val="true"/>
      <sz val="22"/>
      <name val="Book Antiqua"/>
      <family val="1"/>
      <charset val="1"/>
    </font>
    <font>
      <sz val="10"/>
      <color rgb="FF548235"/>
      <name val="Book Antiqua"/>
      <family val="1"/>
      <charset val="1"/>
    </font>
    <font>
      <b val="true"/>
      <sz val="12"/>
      <color rgb="FF385724"/>
      <name val="Book Antiqua"/>
      <family val="1"/>
      <charset val="1"/>
    </font>
    <font>
      <sz val="10"/>
      <color rgb="FF385724"/>
      <name val="Book Antiqua"/>
      <family val="1"/>
      <charset val="1"/>
    </font>
    <font>
      <sz val="12"/>
      <color rgb="FF385724"/>
      <name val="Book Antiqua"/>
      <family val="1"/>
      <charset val="1"/>
    </font>
    <font>
      <b val="true"/>
      <sz val="14"/>
      <color rgb="FF385724"/>
      <name val="Corbel"/>
      <family val="2"/>
      <charset val="1"/>
    </font>
    <font>
      <b val="true"/>
      <sz val="12"/>
      <color rgb="FF7030A0"/>
      <name val="Book Antiqua"/>
      <family val="1"/>
      <charset val="1"/>
    </font>
    <font>
      <sz val="10"/>
      <color rgb="FF7030A0"/>
      <name val="Book Antiqua"/>
      <family val="1"/>
      <charset val="1"/>
    </font>
    <font>
      <sz val="12"/>
      <color rgb="FF7030A0"/>
      <name val="Book Antiqua"/>
      <family val="1"/>
      <charset val="1"/>
    </font>
    <font>
      <b val="true"/>
      <sz val="14"/>
      <color rgb="FF7030A0"/>
      <name val="Corbel"/>
      <family val="2"/>
      <charset val="1"/>
    </font>
    <font>
      <b val="true"/>
      <sz val="14"/>
      <color rgb="FFFF0000"/>
      <name val="Corbel"/>
      <family val="2"/>
      <charset val="1"/>
    </font>
    <font>
      <sz val="14"/>
      <color rgb="FFC00000"/>
      <name val="Book Antiqua"/>
      <family val="1"/>
      <charset val="1"/>
    </font>
    <font>
      <sz val="14"/>
      <color rgb="FF548235"/>
      <name val="Book Antiqua"/>
      <family val="1"/>
      <charset val="1"/>
    </font>
    <font>
      <b val="true"/>
      <sz val="14"/>
      <color rgb="FF385724"/>
      <name val="Book Antiqua"/>
      <family val="1"/>
      <charset val="1"/>
    </font>
    <font>
      <sz val="14"/>
      <color rgb="FF385724"/>
      <name val="Book Antiqua"/>
      <family val="1"/>
      <charset val="1"/>
    </font>
    <font>
      <b val="true"/>
      <sz val="14"/>
      <color rgb="FFED7D31"/>
      <name val="Book Antiqua"/>
      <family val="1"/>
      <charset val="1"/>
    </font>
    <font>
      <b val="true"/>
      <sz val="15"/>
      <color rgb="FF385724"/>
      <name val="Book Antiqua"/>
      <family val="1"/>
      <charset val="1"/>
    </font>
    <font>
      <sz val="15"/>
      <color rgb="FF385724"/>
      <name val="Book Antiqua"/>
      <family val="1"/>
      <charset val="1"/>
    </font>
    <font>
      <b val="true"/>
      <sz val="15"/>
      <color rgb="FF385724"/>
      <name val="Corbel"/>
      <family val="2"/>
      <charset val="1"/>
    </font>
    <font>
      <b val="true"/>
      <sz val="13"/>
      <color rgb="FFFF0000"/>
      <name val="Book Antiqua"/>
      <family val="1"/>
      <charset val="1"/>
    </font>
    <font>
      <sz val="13"/>
      <color rgb="FFFF0000"/>
      <name val="Book Antiqua"/>
      <family val="1"/>
      <charset val="1"/>
    </font>
    <font>
      <b val="true"/>
      <sz val="13"/>
      <color rgb="FFFF0000"/>
      <name val="Corbel"/>
      <family val="2"/>
      <charset val="1"/>
    </font>
    <font>
      <b val="true"/>
      <sz val="18"/>
      <color rgb="FFFF0000"/>
      <name val="Book Antiqua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B4C7E7"/>
        <bgColor rgb="FFBDD7EE"/>
      </patternFill>
    </fill>
    <fill>
      <patternFill patternType="solid">
        <fgColor rgb="FF5B9BD5"/>
        <bgColor rgb="FF8FAADC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0CECE"/>
      </patternFill>
    </fill>
    <fill>
      <patternFill patternType="solid">
        <fgColor rgb="FFF4B183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D0CECE"/>
        <bgColor rgb="FFD9D9D9"/>
      </patternFill>
    </fill>
  </fills>
  <borders count="85">
    <border diagonalUp="false" diagonalDown="false">
      <left/>
      <right/>
      <top/>
      <bottom/>
      <diagonal/>
    </border>
    <border diagonalUp="false" diagonalDown="false">
      <left style="dotted">
        <color rgb="FFA6A6A6"/>
      </left>
      <right style="dotted">
        <color rgb="FFA6A6A6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medium">
        <color rgb="FF8FAADC"/>
      </bottom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/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A6A6A6"/>
      </left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tted">
        <color rgb="FFBFBFBF"/>
      </right>
      <top/>
      <bottom style="double"/>
      <diagonal/>
    </border>
    <border diagonalUp="false" diagonalDown="false">
      <left style="dotted">
        <color rgb="FFBFBFBF"/>
      </left>
      <right style="dotted">
        <color rgb="FFBFBFBF"/>
      </right>
      <top/>
      <bottom style="double"/>
      <diagonal/>
    </border>
    <border diagonalUp="false" diagonalDown="false">
      <left style="thin">
        <color rgb="FFA6A6A6"/>
      </left>
      <right style="dotted">
        <color rgb="FFBFBFBF"/>
      </right>
      <top/>
      <bottom style="double"/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ck">
        <color rgb="FF4472C4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dotted">
        <color rgb="FFA6A6A6"/>
      </right>
      <top/>
      <bottom style="medium">
        <color rgb="FF8FAADC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 style="dotted">
        <color rgb="FFA6A6A6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dotted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dotted">
        <color rgb="FF808080"/>
      </top>
      <bottom style="dotted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dotted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dotted">
        <color rgb="FF808080"/>
      </top>
      <bottom/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>
        <color rgb="FFA6A6A6"/>
      </left>
      <right style="dotted">
        <color rgb="FFBFBFBF"/>
      </right>
      <top/>
      <bottom style="dotted">
        <color rgb="FFBFBFBF"/>
      </bottom>
      <diagonal/>
    </border>
    <border diagonalUp="false" diagonalDown="false">
      <left/>
      <right style="dotted">
        <color rgb="FFBFBFBF"/>
      </right>
      <top/>
      <bottom style="dotted">
        <color rgb="FFBFBFBF"/>
      </bottom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/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/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/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thin">
        <color rgb="FFA6A6A6"/>
      </left>
      <right style="dotted">
        <color rgb="FFBFBFBF"/>
      </right>
      <top/>
      <bottom/>
      <diagonal/>
    </border>
    <border diagonalUp="false" diagonalDown="false">
      <left/>
      <right style="dotted">
        <color rgb="FFBFBFBF"/>
      </right>
      <top/>
      <bottom/>
      <diagonal/>
    </border>
    <border diagonalUp="false" diagonalDown="false">
      <left style="dotted">
        <color rgb="FFBFBFBF"/>
      </left>
      <right style="dotted">
        <color rgb="FFBFBFB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A6A6A6"/>
      </left>
      <right style="dotted">
        <color rgb="FFBFBFBF"/>
      </right>
      <top/>
      <bottom style="thin"/>
      <diagonal/>
    </border>
    <border diagonalUp="false" diagonalDown="false">
      <left/>
      <right style="dotted">
        <color rgb="FFBFBFBF"/>
      </right>
      <top/>
      <bottom style="thin"/>
      <diagonal/>
    </border>
    <border diagonalUp="false" diagonalDown="false">
      <left style="dotted">
        <color rgb="FFBFBFBF"/>
      </left>
      <right style="dotted">
        <color rgb="FFBFBFBF"/>
      </right>
      <top/>
      <bottom style="thin"/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thin"/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thin"/>
      <diagonal/>
    </border>
    <border diagonalUp="false" diagonalDown="false">
      <left/>
      <right style="dotted">
        <color rgb="FFBFBFBF"/>
      </right>
      <top style="dotted">
        <color rgb="FFBFBFBF"/>
      </top>
      <bottom style="thin"/>
      <diagonal/>
    </border>
    <border diagonalUp="false" diagonalDown="false">
      <left style="dotted">
        <color rgb="FFBFBFBF"/>
      </left>
      <right style="dotted">
        <color rgb="FFBFBFBF"/>
      </right>
      <top/>
      <bottom style="thin">
        <color rgb="FFA6A6A6"/>
      </bottom>
      <diagonal/>
    </border>
    <border diagonalUp="false" diagonalDown="false">
      <left/>
      <right/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 style="thin">
        <color rgb="FFFFFFFF"/>
      </top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thin">
        <color rgb="FFFFFFFF"/>
      </top>
      <bottom style="dotted">
        <color rgb="FFBFBFBF"/>
      </bottom>
      <diagonal/>
    </border>
    <border diagonalUp="false" diagonalDown="false">
      <left style="dashed">
        <color rgb="FFBFBFBF"/>
      </left>
      <right style="thin">
        <color rgb="FFBFBFBF"/>
      </right>
      <top style="thin">
        <color rgb="FFFFFFFF"/>
      </top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/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/>
      <bottom style="dotted">
        <color rgb="FFBFBFBF"/>
      </bottom>
      <diagonal/>
    </border>
    <border diagonalUp="false" diagonalDown="false">
      <left style="dashed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A6A6A6"/>
      </left>
      <right/>
      <top style="dotted">
        <color rgb="FFBFBFBF"/>
      </top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dotted">
        <color rgb="FFBFBFBF"/>
      </top>
      <bottom/>
      <diagonal/>
    </border>
    <border diagonalUp="false" diagonalDown="false">
      <left style="thin">
        <color rgb="FFBFBFBF"/>
      </left>
      <right style="dashed">
        <color rgb="FFBFBFBF"/>
      </right>
      <top/>
      <bottom/>
      <diagonal/>
    </border>
    <border diagonalUp="false" diagonalDown="false">
      <left style="dashed">
        <color rgb="FFBFBFBF"/>
      </left>
      <right style="dashed">
        <color rgb="FFBFBFBF"/>
      </right>
      <top/>
      <bottom/>
      <diagonal/>
    </border>
    <border diagonalUp="false" diagonalDown="false">
      <left style="thin">
        <color rgb="FFBFBFBF"/>
      </left>
      <right style="dashed">
        <color rgb="FFBFBFBF"/>
      </right>
      <top/>
      <bottom style="double"/>
      <diagonal/>
    </border>
    <border diagonalUp="false" diagonalDown="false">
      <left style="dashed">
        <color rgb="FFBFBFBF"/>
      </left>
      <right style="dashed">
        <color rgb="FFBFBFBF"/>
      </right>
      <top/>
      <bottom style="double"/>
      <diagonal/>
    </border>
    <border diagonalUp="false" diagonalDown="false">
      <left style="dashed">
        <color rgb="FFBFBFBF"/>
      </left>
      <right style="thin">
        <color rgb="FFBFBFBF"/>
      </right>
      <top/>
      <bottom style="double"/>
      <diagonal/>
    </border>
    <border diagonalUp="false" diagonalDown="false">
      <left style="dashed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808080"/>
      </left>
      <right style="thin">
        <color rgb="FFA6A6A6"/>
      </right>
      <top/>
      <bottom/>
      <diagonal/>
    </border>
    <border diagonalUp="false" diagonalDown="false">
      <left style="thin">
        <color rgb="FFBFBFBF"/>
      </left>
      <right style="dashed">
        <color rgb="FFBFBFBF"/>
      </right>
      <top/>
      <bottom style="thin">
        <color rgb="FFA6A6A6"/>
      </bottom>
      <diagonal/>
    </border>
    <border diagonalUp="false" diagonalDown="false">
      <left style="dashed">
        <color rgb="FFBFBFBF"/>
      </left>
      <right style="thin">
        <color rgb="FFBFBFBF"/>
      </right>
      <top/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 style="dotted">
        <color rgb="FFBFBFBF"/>
      </top>
      <bottom/>
      <diagonal/>
    </border>
    <border diagonalUp="false" diagonalDown="false">
      <left/>
      <right/>
      <top style="dotted">
        <color rgb="FFBFBFBF"/>
      </top>
      <bottom/>
      <diagonal/>
    </border>
    <border diagonalUp="false" diagonalDown="false">
      <left/>
      <right/>
      <top style="dotted">
        <color rgb="FFBFBFBF"/>
      </top>
      <bottom style="thin"/>
      <diagonal/>
    </border>
    <border diagonalUp="false" diagonalDown="false">
      <left style="thin">
        <color rgb="FFBFBFBF"/>
      </left>
      <right style="dashed">
        <color rgb="FFBFBFBF"/>
      </right>
      <top style="dotted">
        <color rgb="FFBFBFBF"/>
      </top>
      <bottom style="thin"/>
      <diagonal/>
    </border>
    <border diagonalUp="false" diagonalDown="false">
      <left style="dashed">
        <color rgb="FFBFBFBF"/>
      </left>
      <right style="dashed">
        <color rgb="FFBFBFBF"/>
      </right>
      <top style="dotted">
        <color rgb="FFBFBFBF"/>
      </top>
      <bottom style="thin"/>
      <diagonal/>
    </border>
    <border diagonalUp="false" diagonalDown="false">
      <left style="dashed">
        <color rgb="FFBFBFBF"/>
      </left>
      <right style="thin">
        <color rgb="FFBFBFBF"/>
      </right>
      <top/>
      <bottom style="thin"/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FFFFFF"/>
      </top>
      <bottom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applyFont="true" applyBorder="true" applyAlignment="true" applyProtection="false">
      <alignment horizontal="left" vertical="center" textRotation="0" wrapText="false" indent="1" shrinkToFit="false"/>
    </xf>
    <xf numFmtId="164" fontId="7" fillId="2" borderId="2" applyFont="true" applyBorder="true" applyAlignment="true" applyProtection="false">
      <alignment horizontal="center" vertical="center" textRotation="0" wrapText="false" indent="0" shrinkToFit="false"/>
    </xf>
    <xf numFmtId="166" fontId="0" fillId="3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4" borderId="0" applyFont="true" applyBorder="false" applyAlignment="true" applyProtection="false">
      <alignment horizontal="general" vertical="center" textRotation="0" wrapText="false" indent="0" shrinkToFit="false"/>
    </xf>
  </cellStyleXfs>
  <cellXfs count="48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1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1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7" fillId="0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4" fillId="0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28" fillId="5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29" fillId="0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30" fillId="6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25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0" fillId="0" borderId="15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5" borderId="13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0" borderId="1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0" fillId="0" borderId="0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0" borderId="0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5" borderId="16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6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5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1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7" fillId="0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26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5" borderId="1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1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6" fillId="3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2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0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5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1" fontId="0" fillId="5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6" fillId="3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5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7" fillId="3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5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3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4" fillId="7" borderId="21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4" fillId="7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5" fillId="4" borderId="0" xfId="25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6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7" fillId="7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8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8" fillId="7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9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0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8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1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0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3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5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9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5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8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9" fillId="7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0" fillId="7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5" fillId="8" borderId="0" xfId="25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0" fillId="7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6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3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0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9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3" fillId="9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9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30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1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0" fillId="9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2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0" fillId="6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53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2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1" fontId="4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31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2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2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57" fillId="5" borderId="23" xfId="21" applyFont="true" applyBorder="true" applyAlignment="true" applyProtection="false">
      <alignment horizontal="center" vertical="center" textRotation="135" wrapText="true" indent="0" shrinkToFit="false"/>
      <protection locked="true" hidden="false"/>
    </xf>
    <xf numFmtId="168" fontId="58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1" fillId="0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5" borderId="27" xfId="21" applyFont="true" applyBorder="true" applyAlignment="true" applyProtection="false">
      <alignment horizontal="left" vertical="center" textRotation="135" wrapText="tru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2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3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3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3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3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4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1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5" borderId="29" xfId="21" applyFont="true" applyBorder="true" applyAlignment="true" applyProtection="false">
      <alignment horizontal="center" vertical="center" textRotation="135" wrapText="true" indent="0" shrinkToFit="false"/>
      <protection locked="true" hidden="false"/>
    </xf>
    <xf numFmtId="168" fontId="66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7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1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8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9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9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9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9" fillId="11" borderId="2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7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22" applyFont="true" applyBorder="false" applyAlignment="false" applyProtection="true">
      <alignment horizontal="left" vertical="center" textRotation="0" wrapText="false" indent="1" shrinkToFit="false"/>
      <protection locked="true" hidden="false"/>
    </xf>
    <xf numFmtId="164" fontId="11" fillId="2" borderId="2" xfId="22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11" fillId="2" borderId="2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7" borderId="33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8" fontId="17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3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3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1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12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1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2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6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6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3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2" fillId="0" borderId="4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5" borderId="30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8" fontId="74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8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4" fillId="1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7" borderId="29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16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8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13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8" fillId="12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7" borderId="42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17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5" borderId="43" xfId="21" applyFont="true" applyBorder="true" applyAlignment="true" applyProtection="false">
      <alignment horizontal="left" vertical="top" textRotation="136" wrapText="true" indent="0" shrinkToFit="false"/>
      <protection locked="true" hidden="false"/>
    </xf>
    <xf numFmtId="168" fontId="21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4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4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7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7" borderId="42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9" fontId="6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7" borderId="42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9" fontId="14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4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1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10" borderId="4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1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1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1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5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5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5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5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5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5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3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6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3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2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2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2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2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2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1" fillId="0" borderId="5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5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5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5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5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1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3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5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4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1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4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4" fillId="1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5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6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6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6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6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6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6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6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7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7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7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5" borderId="29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8" fontId="7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8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9" fillId="0" borderId="6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9" fillId="0" borderId="6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7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0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7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9" fillId="0" borderId="6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9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7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7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7" borderId="7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70" fontId="17" fillId="0" borderId="7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7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1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1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1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2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6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1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1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1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6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6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7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4" fillId="0" borderId="6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4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6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6" fillId="0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5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4" fillId="0" borderId="6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4" fillId="0" borderId="6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4" fillId="0" borderId="7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4" fillId="0" borderId="6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7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7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7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8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8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8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8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5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7" borderId="84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60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9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9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1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5" borderId="7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8" fontId="88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8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8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9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9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9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8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0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0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8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9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0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4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4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5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1" fillId="1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1" fillId="1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1" fillId="1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2" fillId="1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2" fillId="1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2" fillId="1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1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3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1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1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4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4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5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5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4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6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5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5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7" fillId="1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8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8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9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9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4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4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2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th" xfId="20"/>
    <cellStyle name="Normal 2" xfId="21"/>
    <cellStyle name="Titre 1 2" xfId="22"/>
    <cellStyle name="Titre 2 2" xfId="23"/>
    <cellStyle name="Totals" xfId="24"/>
    <cellStyle name="Excel Built-in Accent5" xfId="25"/>
  </cellStyles>
  <dxfs count="1189"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7F7F7F"/>
      <rgbColor rgb="FF000080"/>
      <rgbColor rgb="FF548235"/>
      <rgbColor rgb="FF800080"/>
      <rgbColor rgb="FF44546A"/>
      <rgbColor rgb="FFBFBFBF"/>
      <rgbColor rgb="FF808080"/>
      <rgbColor rgb="FF8FAADC"/>
      <rgbColor rgb="FF7030A0"/>
      <rgbColor rgb="FFF2F2F2"/>
      <rgbColor rgb="FFD0CECE"/>
      <rgbColor rgb="FF660066"/>
      <rgbColor rgb="FFC55A11"/>
      <rgbColor rgb="FF2F5597"/>
      <rgbColor rgb="FFBDD7EE"/>
      <rgbColor rgb="FF000080"/>
      <rgbColor rgb="FFFF00FF"/>
      <rgbColor rgb="FFFFFF00"/>
      <rgbColor rgb="FF00FFFF"/>
      <rgbColor rgb="FF800080"/>
      <rgbColor rgb="FFC00000"/>
      <rgbColor rgb="FF7C7C7C"/>
      <rgbColor rgb="FF0000FF"/>
      <rgbColor rgb="FF00CCFF"/>
      <rgbColor rgb="FFCCFFFF"/>
      <rgbColor rgb="FFD9D9D9"/>
      <rgbColor rgb="FFFFFF99"/>
      <rgbColor rgb="FFB4C7E7"/>
      <rgbColor rgb="FFF4B183"/>
      <rgbColor rgb="FFA6A6A6"/>
      <rgbColor rgb="FFFFC7CE"/>
      <rgbColor rgb="FF4472C4"/>
      <rgbColor rgb="FF5B9BD5"/>
      <rgbColor rgb="FF70AD47"/>
      <rgbColor rgb="FFFFC000"/>
      <rgbColor rgb="FFFF9900"/>
      <rgbColor rgb="FFED7D31"/>
      <rgbColor rgb="FF767171"/>
      <rgbColor rgb="FFA5A5A5"/>
      <rgbColor rgb="FF002060"/>
      <rgbColor rgb="FF00B050"/>
      <rgbColor rgb="FF385724"/>
      <rgbColor rgb="FF262626"/>
      <rgbColor rgb="FF843C0B"/>
      <rgbColor rgb="FF535353"/>
      <rgbColor rgb="FF203864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758160</xdr:colOff>
      <xdr:row>0</xdr:row>
      <xdr:rowOff>360</xdr:rowOff>
    </xdr:to>
    <xdr:sp>
      <xdr:nvSpPr>
        <xdr:cNvPr id="0" name="CustomShape 1"/>
        <xdr:cNvSpPr/>
      </xdr:nvSpPr>
      <xdr:spPr>
        <a:xfrm>
          <a:off x="12941640" y="0"/>
          <a:ext cx="757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758160</xdr:colOff>
      <xdr:row>0</xdr:row>
      <xdr:rowOff>360</xdr:rowOff>
    </xdr:to>
    <xdr:sp>
      <xdr:nvSpPr>
        <xdr:cNvPr id="1" name="CustomShape 1"/>
        <xdr:cNvSpPr/>
      </xdr:nvSpPr>
      <xdr:spPr>
        <a:xfrm>
          <a:off x="11507760" y="0"/>
          <a:ext cx="757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2" name="CustomShape 1"/>
        <xdr:cNvSpPr/>
      </xdr:nvSpPr>
      <xdr:spPr>
        <a:xfrm>
          <a:off x="1254960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3" name="CustomShape 1"/>
        <xdr:cNvSpPr/>
      </xdr:nvSpPr>
      <xdr:spPr>
        <a:xfrm>
          <a:off x="1320804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4" name="CustomShape 1"/>
        <xdr:cNvSpPr/>
      </xdr:nvSpPr>
      <xdr:spPr>
        <a:xfrm>
          <a:off x="1339056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5" name="CustomShape 1"/>
        <xdr:cNvSpPr/>
      </xdr:nvSpPr>
      <xdr:spPr>
        <a:xfrm>
          <a:off x="1356516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6" name="CustomShape 1"/>
        <xdr:cNvSpPr/>
      </xdr:nvSpPr>
      <xdr:spPr>
        <a:xfrm>
          <a:off x="1320804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7" name="CustomShape 1"/>
        <xdr:cNvSpPr/>
      </xdr:nvSpPr>
      <xdr:spPr>
        <a:xfrm>
          <a:off x="1320804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1271160</xdr:colOff>
      <xdr:row>0</xdr:row>
      <xdr:rowOff>360</xdr:rowOff>
    </xdr:to>
    <xdr:sp>
      <xdr:nvSpPr>
        <xdr:cNvPr id="8" name="CustomShape 1"/>
        <xdr:cNvSpPr/>
      </xdr:nvSpPr>
      <xdr:spPr>
        <a:xfrm>
          <a:off x="13208040" y="0"/>
          <a:ext cx="127080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Décaissements274" displayName="Décaissements274" ref="B210:S211" headerRowCount="0" totalsRowCount="1" totalsRowShown="1">
  <tableColumns count="18">
    <tableColumn id="1" name="Items"/>
    <tableColumn id="2" name="Column2"/>
    <tableColumn id="3" name="Période 0"/>
    <tableColumn id="4" name="Période 1"/>
    <tableColumn id="5" name="Période 2"/>
    <tableColumn id="6" name="Période 3"/>
    <tableColumn id="7" name="Période 4"/>
    <tableColumn id="8" name="Période 5"/>
    <tableColumn id="9" name="Période 6"/>
    <tableColumn id="10" name="Période 7"/>
    <tableColumn id="11" name="Période 8"/>
    <tableColumn id="12" name="Période 9"/>
    <tableColumn id="13" name="Période 10"/>
    <tableColumn id="14" name="Période 11"/>
    <tableColumn id="15" name="Période 12"/>
    <tableColumn id="16" name="Column3"/>
    <tableColumn id="17" name="Total"/>
    <tableColumn id="18" name="Column1"/>
  </tableColumns>
</table>
</file>

<file path=xl/tables/table2.xml><?xml version="1.0" encoding="utf-8"?>
<table xmlns="http://schemas.openxmlformats.org/spreadsheetml/2006/main" id="2" name="Décaissements63" displayName="Décaissements63" ref="B17:T206" headerRowCount="0" totalsRowCount="1" totalsRowShown="1">
  <tableColumns count="19">
    <tableColumn id="1" name="Items"/>
    <tableColumn id="2" name="Column2"/>
    <tableColumn id="3" name="Période 0"/>
    <tableColumn id="4" name="Période 1"/>
    <tableColumn id="5" name="Période 2"/>
    <tableColumn id="6" name="Période 3"/>
    <tableColumn id="7" name="Période 4"/>
    <tableColumn id="8" name="Période 5"/>
    <tableColumn id="9" name="Période 6"/>
    <tableColumn id="10" name="Période 7"/>
    <tableColumn id="11" name="Période 8"/>
    <tableColumn id="12" name="Période 9"/>
    <tableColumn id="13" name="Période 10"/>
    <tableColumn id="14" name="Période 11"/>
    <tableColumn id="15" name="Période 12"/>
    <tableColumn id="16" name="Column3"/>
    <tableColumn id="17" name="Total"/>
    <tableColumn id="18" name="Column1"/>
    <tableColumn id="19" name="Colonne1"/>
  </tableColumns>
</table>
</file>

<file path=xl/tables/table3.xml><?xml version="1.0" encoding="utf-8"?>
<table xmlns="http://schemas.openxmlformats.org/spreadsheetml/2006/main" id="3" name="Encaissements52" displayName="Encaissements52" ref="B9:T12" headerRowCount="0" totalsRowCount="1" totalsRowShown="1">
  <tableColumns count="19">
    <tableColumn id="1" name="Items"/>
    <tableColumn id="2" name="Column2"/>
    <tableColumn id="3" name="Période 0"/>
    <tableColumn id="4" name="Période 1"/>
    <tableColumn id="5" name="Période 2"/>
    <tableColumn id="6" name="Période 3"/>
    <tableColumn id="7" name="Période 4"/>
    <tableColumn id="8" name="Période 5"/>
    <tableColumn id="9" name="Période 6"/>
    <tableColumn id="10" name="Période 7"/>
    <tableColumn id="11" name="Période 8"/>
    <tableColumn id="12" name="Période 9"/>
    <tableColumn id="13" name="Période 10"/>
    <tableColumn id="14" name="Période 11"/>
    <tableColumn id="15" name="Période 12"/>
    <tableColumn id="16" name="Column3"/>
    <tableColumn id="17" name="Total"/>
    <tableColumn id="18" name="Column1"/>
    <tableColumn id="19" name="Colonne1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K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9" activeCellId="0" sqref="A19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27.14"/>
    <col collapsed="false" customWidth="true" hidden="false" outlineLevel="0" max="2" min="2" style="2" width="24.57"/>
    <col collapsed="false" customWidth="true" hidden="false" outlineLevel="0" max="3" min="3" style="1" width="24"/>
    <col collapsed="false" customWidth="true" hidden="false" outlineLevel="0" max="4" min="4" style="3" width="37.84"/>
    <col collapsed="false" customWidth="true" hidden="false" outlineLevel="0" max="5" min="5" style="4" width="20.42"/>
    <col collapsed="false" customWidth="true" hidden="false" outlineLevel="0" max="6" min="6" style="5" width="20.42"/>
    <col collapsed="false" customWidth="true" hidden="false" outlineLevel="0" max="7" min="7" style="3" width="21"/>
    <col collapsed="false" customWidth="false" hidden="false" outlineLevel="0" max="9" min="8" style="6" width="9.13"/>
    <col collapsed="false" customWidth="true" hidden="false" outlineLevel="0" max="10" min="10" style="6" width="11.44"/>
    <col collapsed="false" customWidth="false" hidden="false" outlineLevel="0" max="1024" min="11" style="6" width="9.13"/>
  </cols>
  <sheetData>
    <row r="1" s="10" customFormat="true" ht="24" hidden="false" customHeight="tru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</row>
    <row r="2" customFormat="false" ht="18.6" hidden="false" customHeight="true" outlineLevel="0" collapsed="false">
      <c r="A2" s="11" t="s">
        <v>7</v>
      </c>
      <c r="B2" s="12"/>
      <c r="C2" s="13" t="n">
        <v>5158.54</v>
      </c>
      <c r="D2" s="14" t="s">
        <v>8</v>
      </c>
      <c r="E2" s="15" t="n">
        <v>44742</v>
      </c>
      <c r="F2" s="16"/>
      <c r="G2" s="17" t="n">
        <f aca="false">C2-F2</f>
        <v>5158.54</v>
      </c>
    </row>
    <row r="3" customFormat="false" ht="18.6" hidden="false" customHeight="true" outlineLevel="0" collapsed="false">
      <c r="A3" s="11" t="s">
        <v>7</v>
      </c>
      <c r="B3" s="12"/>
      <c r="C3" s="13" t="n">
        <v>27275.71</v>
      </c>
      <c r="D3" s="14"/>
      <c r="E3" s="15"/>
      <c r="F3" s="16"/>
      <c r="G3" s="17" t="n">
        <f aca="false">C3-F3</f>
        <v>27275.71</v>
      </c>
    </row>
    <row r="4" customFormat="false" ht="18.6" hidden="false" customHeight="true" outlineLevel="0" collapsed="false">
      <c r="A4" s="11" t="s">
        <v>9</v>
      </c>
      <c r="B4" s="12" t="s">
        <v>10</v>
      </c>
      <c r="C4" s="13" t="n">
        <v>4685.07</v>
      </c>
      <c r="D4" s="14"/>
      <c r="E4" s="15"/>
      <c r="F4" s="16"/>
      <c r="G4" s="17" t="n">
        <f aca="false">C4-F4</f>
        <v>4685.07</v>
      </c>
      <c r="I4" s="18"/>
    </row>
    <row r="5" customFormat="false" ht="18.6" hidden="false" customHeight="true" outlineLevel="0" collapsed="false">
      <c r="A5" s="11" t="s">
        <v>11</v>
      </c>
      <c r="B5" s="12" t="s">
        <v>12</v>
      </c>
      <c r="C5" s="13" t="n">
        <v>49386.91</v>
      </c>
      <c r="D5" s="14" t="s">
        <v>13</v>
      </c>
      <c r="E5" s="15" t="n">
        <v>44686</v>
      </c>
      <c r="F5" s="16"/>
      <c r="G5" s="17" t="n">
        <f aca="false">C5-F5</f>
        <v>49386.91</v>
      </c>
      <c r="I5" s="19"/>
    </row>
    <row r="6" customFormat="false" ht="18.6" hidden="false" customHeight="true" outlineLevel="0" collapsed="false">
      <c r="A6" s="11" t="s">
        <v>7</v>
      </c>
      <c r="B6" s="12" t="s">
        <v>14</v>
      </c>
      <c r="C6" s="13" t="n">
        <v>22327.55</v>
      </c>
      <c r="D6" s="14" t="s">
        <v>15</v>
      </c>
      <c r="E6" s="15"/>
      <c r="F6" s="16"/>
      <c r="G6" s="17" t="n">
        <f aca="false">C6-F6</f>
        <v>22327.55</v>
      </c>
      <c r="I6" s="19"/>
    </row>
    <row r="7" customFormat="false" ht="18.6" hidden="false" customHeight="true" outlineLevel="0" collapsed="false">
      <c r="A7" s="11" t="s">
        <v>7</v>
      </c>
      <c r="B7" s="12" t="s">
        <v>16</v>
      </c>
      <c r="C7" s="13" t="n">
        <v>30596.59</v>
      </c>
      <c r="D7" s="14" t="s">
        <v>17</v>
      </c>
      <c r="E7" s="15"/>
      <c r="F7" s="16"/>
      <c r="G7" s="17" t="n">
        <f aca="false">C7-F7</f>
        <v>30596.59</v>
      </c>
      <c r="I7" s="19"/>
    </row>
    <row r="8" customFormat="false" ht="18.6" hidden="false" customHeight="true" outlineLevel="0" collapsed="false">
      <c r="A8" s="11" t="s">
        <v>18</v>
      </c>
      <c r="B8" s="12" t="s">
        <v>19</v>
      </c>
      <c r="C8" s="13" t="n">
        <v>10625.22</v>
      </c>
      <c r="D8" s="14"/>
      <c r="E8" s="15"/>
      <c r="F8" s="16"/>
      <c r="G8" s="17" t="n">
        <f aca="false">C8-F8</f>
        <v>10625.22</v>
      </c>
      <c r="I8" s="20"/>
      <c r="J8" s="20"/>
    </row>
    <row r="9" customFormat="false" ht="18.6" hidden="false" customHeight="true" outlineLevel="0" collapsed="false">
      <c r="A9" s="11"/>
      <c r="B9" s="12"/>
      <c r="C9" s="13"/>
      <c r="D9" s="14"/>
      <c r="E9" s="15"/>
      <c r="F9" s="16"/>
      <c r="G9" s="17" t="n">
        <f aca="false">C9-F9</f>
        <v>0</v>
      </c>
      <c r="I9" s="19"/>
    </row>
    <row r="10" customFormat="false" ht="18.6" hidden="false" customHeight="true" outlineLevel="0" collapsed="false">
      <c r="A10" s="11"/>
      <c r="B10" s="12"/>
      <c r="C10" s="13"/>
      <c r="D10" s="14"/>
      <c r="E10" s="15"/>
      <c r="F10" s="16"/>
      <c r="G10" s="17" t="n">
        <f aca="false">C10-F10</f>
        <v>0</v>
      </c>
      <c r="I10" s="20"/>
      <c r="J10" s="20"/>
    </row>
    <row r="11" customFormat="false" ht="18.6" hidden="false" customHeight="true" outlineLevel="0" collapsed="false">
      <c r="A11" s="11"/>
      <c r="B11" s="12"/>
      <c r="C11" s="13"/>
      <c r="D11" s="14"/>
      <c r="E11" s="15"/>
      <c r="F11" s="16"/>
      <c r="G11" s="17" t="n">
        <f aca="false">C11-F11</f>
        <v>0</v>
      </c>
    </row>
    <row r="12" customFormat="false" ht="18.6" hidden="false" customHeight="true" outlineLevel="0" collapsed="false">
      <c r="A12" s="11"/>
      <c r="B12" s="12"/>
      <c r="C12" s="13"/>
      <c r="D12" s="14"/>
      <c r="E12" s="15"/>
      <c r="F12" s="16"/>
      <c r="G12" s="17" t="n">
        <f aca="false">C12-F12</f>
        <v>0</v>
      </c>
      <c r="I12" s="19"/>
    </row>
    <row r="13" customFormat="false" ht="18.6" hidden="false" customHeight="true" outlineLevel="0" collapsed="false">
      <c r="A13" s="11"/>
      <c r="B13" s="12"/>
      <c r="C13" s="13"/>
      <c r="D13" s="14"/>
      <c r="E13" s="15"/>
      <c r="F13" s="16"/>
      <c r="G13" s="17"/>
      <c r="I13" s="20"/>
      <c r="J13" s="20"/>
    </row>
    <row r="14" customFormat="false" ht="18.6" hidden="false" customHeight="true" outlineLevel="0" collapsed="false">
      <c r="A14" s="11" t="s">
        <v>20</v>
      </c>
      <c r="B14" s="12" t="s">
        <v>21</v>
      </c>
      <c r="C14" s="13" t="n">
        <v>19148.63</v>
      </c>
      <c r="D14" s="14"/>
      <c r="E14" s="15" t="n">
        <v>44757</v>
      </c>
      <c r="F14" s="16"/>
      <c r="G14" s="17" t="n">
        <f aca="false">C14-F14</f>
        <v>19148.63</v>
      </c>
    </row>
    <row r="15" customFormat="false" ht="18.6" hidden="false" customHeight="true" outlineLevel="0" collapsed="false">
      <c r="A15" s="11" t="s">
        <v>20</v>
      </c>
      <c r="B15" s="12" t="s">
        <v>22</v>
      </c>
      <c r="C15" s="13" t="n">
        <v>7345.36</v>
      </c>
      <c r="D15" s="14"/>
      <c r="E15" s="15" t="n">
        <v>44757</v>
      </c>
      <c r="F15" s="16"/>
      <c r="G15" s="17" t="n">
        <f aca="false">C15-F15</f>
        <v>7345.36</v>
      </c>
      <c r="I15" s="19"/>
    </row>
    <row r="16" customFormat="false" ht="18.6" hidden="false" customHeight="true" outlineLevel="0" collapsed="false">
      <c r="A16" s="11"/>
      <c r="B16" s="12"/>
      <c r="C16" s="13"/>
      <c r="D16" s="14"/>
      <c r="E16" s="15"/>
      <c r="F16" s="16"/>
      <c r="G16" s="17" t="n">
        <f aca="false">C16-F16</f>
        <v>0</v>
      </c>
      <c r="I16" s="21"/>
      <c r="J16" s="21"/>
      <c r="K16" s="21"/>
    </row>
    <row r="17" customFormat="false" ht="18.6" hidden="false" customHeight="true" outlineLevel="0" collapsed="false">
      <c r="A17" s="11" t="s">
        <v>23</v>
      </c>
      <c r="B17" s="12" t="s">
        <v>24</v>
      </c>
      <c r="C17" s="13" t="n">
        <v>19200</v>
      </c>
      <c r="D17" s="14"/>
      <c r="E17" s="15"/>
      <c r="F17" s="16"/>
      <c r="G17" s="17" t="n">
        <f aca="false">C17-F17</f>
        <v>19200</v>
      </c>
    </row>
    <row r="18" customFormat="false" ht="18.6" hidden="false" customHeight="true" outlineLevel="0" collapsed="false">
      <c r="A18" s="11" t="s">
        <v>25</v>
      </c>
      <c r="B18" s="12" t="s">
        <v>26</v>
      </c>
      <c r="C18" s="13" t="n">
        <v>12440.99</v>
      </c>
      <c r="D18" s="14" t="s">
        <v>27</v>
      </c>
      <c r="E18" s="15" t="n">
        <v>44559</v>
      </c>
      <c r="F18" s="16"/>
      <c r="G18" s="17" t="n">
        <f aca="false">C18-F18</f>
        <v>12440.99</v>
      </c>
    </row>
    <row r="19" customFormat="false" ht="18.6" hidden="false" customHeight="true" outlineLevel="0" collapsed="false">
      <c r="A19" s="11"/>
      <c r="B19" s="12"/>
      <c r="C19" s="13"/>
      <c r="D19" s="14"/>
      <c r="E19" s="15"/>
      <c r="F19" s="16"/>
      <c r="G19" s="17" t="n">
        <f aca="false">C19-F19</f>
        <v>0</v>
      </c>
    </row>
    <row r="20" customFormat="false" ht="18.6" hidden="false" customHeight="true" outlineLevel="0" collapsed="false">
      <c r="A20" s="11" t="s">
        <v>28</v>
      </c>
      <c r="B20" s="12" t="s">
        <v>29</v>
      </c>
      <c r="C20" s="13" t="n">
        <v>500.01</v>
      </c>
      <c r="D20" s="14"/>
      <c r="E20" s="15" t="n">
        <v>44356</v>
      </c>
      <c r="F20" s="16"/>
      <c r="G20" s="17" t="n">
        <f aca="false">C20-F20</f>
        <v>500.01</v>
      </c>
    </row>
    <row r="21" customFormat="false" ht="18.6" hidden="false" customHeight="true" outlineLevel="0" collapsed="false">
      <c r="A21" s="11" t="s">
        <v>28</v>
      </c>
      <c r="B21" s="12" t="s">
        <v>30</v>
      </c>
      <c r="C21" s="13" t="n">
        <v>984.96</v>
      </c>
      <c r="D21" s="14"/>
      <c r="E21" s="15" t="n">
        <v>44356</v>
      </c>
      <c r="F21" s="16"/>
      <c r="G21" s="17" t="n">
        <f aca="false">C21-F21</f>
        <v>984.96</v>
      </c>
    </row>
    <row r="22" customFormat="false" ht="18.6" hidden="false" customHeight="true" outlineLevel="0" collapsed="false">
      <c r="A22" s="11" t="s">
        <v>28</v>
      </c>
      <c r="B22" s="12" t="s">
        <v>31</v>
      </c>
      <c r="C22" s="13" t="n">
        <v>5160.1</v>
      </c>
      <c r="D22" s="14"/>
      <c r="E22" s="15" t="n">
        <v>44356</v>
      </c>
      <c r="F22" s="16"/>
      <c r="G22" s="17" t="n">
        <f aca="false">C22-F22</f>
        <v>5160.1</v>
      </c>
    </row>
    <row r="23" customFormat="false" ht="18.6" hidden="false" customHeight="true" outlineLevel="0" collapsed="false">
      <c r="A23" s="11" t="s">
        <v>28</v>
      </c>
      <c r="B23" s="12" t="s">
        <v>32</v>
      </c>
      <c r="C23" s="13" t="n">
        <v>250</v>
      </c>
      <c r="D23" s="14"/>
      <c r="E23" s="15" t="n">
        <v>44356</v>
      </c>
      <c r="F23" s="16"/>
      <c r="G23" s="17" t="n">
        <f aca="false">C23-F23</f>
        <v>250</v>
      </c>
    </row>
    <row r="24" customFormat="false" ht="18.6" hidden="false" customHeight="true" outlineLevel="0" collapsed="false">
      <c r="A24" s="11" t="s">
        <v>28</v>
      </c>
      <c r="B24" s="12" t="s">
        <v>33</v>
      </c>
      <c r="C24" s="13" t="n">
        <v>1056</v>
      </c>
      <c r="D24" s="14"/>
      <c r="E24" s="15" t="n">
        <v>44356</v>
      </c>
      <c r="F24" s="16"/>
      <c r="G24" s="17" t="n">
        <f aca="false">C24-F24</f>
        <v>1056</v>
      </c>
    </row>
    <row r="25" customFormat="false" ht="18.6" hidden="false" customHeight="true" outlineLevel="0" collapsed="false">
      <c r="A25" s="11" t="s">
        <v>28</v>
      </c>
      <c r="B25" s="12" t="s">
        <v>34</v>
      </c>
      <c r="C25" s="13" t="n">
        <v>450.24</v>
      </c>
      <c r="D25" s="14"/>
      <c r="E25" s="15" t="n">
        <v>44356</v>
      </c>
      <c r="F25" s="16"/>
      <c r="G25" s="17" t="n">
        <f aca="false">C25-F25</f>
        <v>450.24</v>
      </c>
    </row>
    <row r="26" customFormat="false" ht="18.6" hidden="false" customHeight="true" outlineLevel="0" collapsed="false">
      <c r="A26" s="11"/>
      <c r="B26" s="12"/>
      <c r="C26" s="13"/>
      <c r="D26" s="14"/>
      <c r="E26" s="15"/>
      <c r="F26" s="16"/>
      <c r="G26" s="17" t="n">
        <f aca="false">C26-F26</f>
        <v>0</v>
      </c>
    </row>
    <row r="27" customFormat="false" ht="18.6" hidden="false" customHeight="true" outlineLevel="0" collapsed="false">
      <c r="A27" s="22"/>
      <c r="B27" s="23"/>
      <c r="C27" s="23"/>
      <c r="D27" s="24"/>
      <c r="E27" s="25"/>
      <c r="F27" s="26"/>
      <c r="G27" s="27"/>
    </row>
    <row r="28" customFormat="false" ht="18.6" hidden="false" customHeight="true" outlineLevel="0" collapsed="false">
      <c r="A28" s="28" t="s">
        <v>35</v>
      </c>
      <c r="B28" s="22"/>
      <c r="C28" s="29" t="n">
        <f aca="false">+SUM(C2:C26)</f>
        <v>216591.88</v>
      </c>
      <c r="D28" s="24"/>
      <c r="E28" s="25"/>
      <c r="F28" s="26"/>
      <c r="G28" s="30" t="n">
        <f aca="false">+SUM(G2:G26)</f>
        <v>216591.88</v>
      </c>
    </row>
    <row r="29" customFormat="false" ht="21" hidden="false" customHeight="true" outlineLevel="0" collapsed="false">
      <c r="A29" s="31"/>
      <c r="B29" s="32"/>
      <c r="C29" s="33"/>
      <c r="D29" s="34"/>
    </row>
    <row r="30" customFormat="false" ht="21" hidden="false" customHeight="true" outlineLevel="0" collapsed="false">
      <c r="A30" s="31"/>
      <c r="B30" s="31"/>
      <c r="C30" s="31"/>
      <c r="D30" s="31"/>
    </row>
    <row r="31" customFormat="false" ht="21" hidden="false" customHeight="true" outlineLevel="0" collapsed="false">
      <c r="B31" s="31"/>
      <c r="C31" s="31"/>
      <c r="D31" s="31"/>
    </row>
    <row r="32" customFormat="false" ht="21" hidden="false" customHeight="true" outlineLevel="0" collapsed="false">
      <c r="B32" s="31"/>
      <c r="C32" s="31"/>
      <c r="D32" s="31"/>
    </row>
  </sheetData>
  <mergeCells count="4">
    <mergeCell ref="I8:J8"/>
    <mergeCell ref="I10:J10"/>
    <mergeCell ref="I13:J13"/>
    <mergeCell ref="I16:K16"/>
  </mergeCells>
  <conditionalFormatting sqref="A2:G19 B20:G20 A20:A26 A21:G26">
    <cfRule type="expression" priority="2" aboveAverage="0" equalAverage="0" bottom="0" percent="0" rank="0" text="" dxfId="0">
      <formula>MOD(ROW(),2)=1</formula>
    </cfRule>
  </conditionalFormatting>
  <conditionalFormatting sqref="E2:F2">
    <cfRule type="timePeriod" priority="3" timePeriod="yesterday" dxfId="1"/>
    <cfRule type="timePeriod" priority="4" timePeriod="today" dxfId="2"/>
    <cfRule type="cellIs" priority="5" operator="lessThan" aboveAverage="0" equalAverage="0" bottom="0" percent="0" rank="0" text="" dxfId="3">
      <formula>_xludf.today()</formula>
    </cfRule>
  </conditionalFormatting>
  <conditionalFormatting sqref="E2:F2">
    <cfRule type="cellIs" priority="6" operator="lessThan" aboveAverage="0" equalAverage="0" bottom="0" percent="0" rank="0" text="" dxfId="4">
      <formula>TODAY()</formula>
    </cfRule>
    <cfRule type="timePeriod" priority="7" timePeriod="last7Days" dxfId="5"/>
    <cfRule type="timePeriod" priority="8" timePeriod="yesterday" dxfId="6"/>
    <cfRule type="timePeriod" priority="9" timePeriod="lastMonth" dxfId="7"/>
    <cfRule type="timePeriod" priority="10" timePeriod="yesterday" dxfId="8"/>
    <cfRule type="timePeriod" priority="11" timePeriod="today" dxfId="9"/>
  </conditionalFormatting>
  <conditionalFormatting sqref="A28:F28">
    <cfRule type="expression" priority="12" aboveAverage="0" equalAverage="0" bottom="0" percent="0" rank="0" text="" dxfId="10">
      <formula>MOD(ROW(),2)=1</formula>
    </cfRule>
  </conditionalFormatting>
  <conditionalFormatting sqref="E28:F28">
    <cfRule type="cellIs" priority="13" operator="lessThan" aboveAverage="0" equalAverage="0" bottom="0" percent="0" rank="0" text="" dxfId="11">
      <formula>TODAY()</formula>
    </cfRule>
    <cfRule type="timePeriod" priority="14" timePeriod="last7Days" dxfId="12"/>
    <cfRule type="timePeriod" priority="15" timePeriod="yesterday" dxfId="13"/>
    <cfRule type="timePeriod" priority="16" timePeriod="lastMonth" dxfId="14"/>
    <cfRule type="timePeriod" priority="17" timePeriod="yesterday" dxfId="15"/>
    <cfRule type="timePeriod" priority="18" timePeriod="today" dxfId="16"/>
  </conditionalFormatting>
  <conditionalFormatting sqref="G28">
    <cfRule type="expression" priority="19" aboveAverage="0" equalAverage="0" bottom="0" percent="0" rank="0" text="" dxfId="17">
      <formula>MOD(ROW(),2)=1</formula>
    </cfRule>
  </conditionalFormatting>
  <conditionalFormatting sqref="A27:G27">
    <cfRule type="expression" priority="20" aboveAverage="0" equalAverage="0" bottom="0" percent="0" rank="0" text="" dxfId="18">
      <formula>MOD(ROW(),2)=1</formula>
    </cfRule>
  </conditionalFormatting>
  <conditionalFormatting sqref="E27:F27">
    <cfRule type="cellIs" priority="21" operator="lessThan" aboveAverage="0" equalAverage="0" bottom="0" percent="0" rank="0" text="" dxfId="19">
      <formula>TODAY()</formula>
    </cfRule>
    <cfRule type="timePeriod" priority="22" timePeriod="last7Days" dxfId="20"/>
    <cfRule type="timePeriod" priority="23" timePeriod="yesterday" dxfId="21"/>
    <cfRule type="timePeriod" priority="24" timePeriod="lastMonth" dxfId="22"/>
    <cfRule type="timePeriod" priority="25" timePeriod="yesterday" dxfId="23"/>
    <cfRule type="timePeriod" priority="26" timePeriod="today" dxfId="24"/>
  </conditionalFormatting>
  <conditionalFormatting sqref="E3:F26">
    <cfRule type="timePeriod" priority="27" timePeriod="yesterday" dxfId="25"/>
    <cfRule type="timePeriod" priority="28" timePeriod="today" dxfId="26"/>
    <cfRule type="cellIs" priority="29" operator="lessThan" aboveAverage="0" equalAverage="0" bottom="0" percent="0" rank="0" text="" dxfId="27">
      <formula>_xludf.today()</formula>
    </cfRule>
  </conditionalFormatting>
  <conditionalFormatting sqref="E3:F26">
    <cfRule type="cellIs" priority="30" operator="lessThan" aboveAverage="0" equalAverage="0" bottom="0" percent="0" rank="0" text="" dxfId="28">
      <formula>TODAY()</formula>
    </cfRule>
    <cfRule type="timePeriod" priority="31" timePeriod="last7Days" dxfId="29"/>
    <cfRule type="timePeriod" priority="32" timePeriod="yesterday" dxfId="30"/>
    <cfRule type="timePeriod" priority="33" timePeriod="lastMonth" dxfId="31"/>
    <cfRule type="timePeriod" priority="34" timePeriod="yesterday" dxfId="32"/>
    <cfRule type="timePeriod" priority="35" timePeriod="today" dxfId="33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3" activePane="bottomLeft" state="frozen"/>
      <selection pane="topLeft" activeCell="A1" activeCellId="0" sqref="A1"/>
      <selection pane="bottomLeft" activeCell="G74" activeCellId="0" sqref="G74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/>
      <c r="C2" s="12"/>
      <c r="D2" s="13"/>
      <c r="E2" s="14"/>
      <c r="F2" s="15"/>
      <c r="G2" s="16"/>
      <c r="H2" s="17" t="n">
        <f aca="false">D2-G2</f>
        <v>0</v>
      </c>
      <c r="I2" s="263"/>
    </row>
    <row r="3" customFormat="false" ht="18.6" hidden="false" customHeight="true" outlineLevel="0" collapsed="false">
      <c r="A3" s="261"/>
      <c r="B3" s="11"/>
      <c r="C3" s="12"/>
      <c r="D3" s="264"/>
      <c r="E3" s="14"/>
      <c r="F3" s="15"/>
      <c r="G3" s="16"/>
      <c r="H3" s="17" t="n">
        <f aca="false">D3-G3</f>
        <v>0</v>
      </c>
      <c r="I3" s="263"/>
    </row>
    <row r="4" customFormat="false" ht="18.6" hidden="false" customHeight="true" outlineLevel="0" collapsed="false">
      <c r="A4" s="261"/>
      <c r="B4" s="11"/>
      <c r="C4" s="12"/>
      <c r="D4" s="264"/>
      <c r="E4" s="14"/>
      <c r="F4" s="15"/>
      <c r="G4" s="16"/>
      <c r="H4" s="17" t="n">
        <f aca="false">D4-G4</f>
        <v>0</v>
      </c>
      <c r="I4" s="263"/>
      <c r="K4" s="18"/>
    </row>
    <row r="5" customFormat="false" ht="18.6" hidden="false" customHeight="true" outlineLevel="0" collapsed="false">
      <c r="A5" s="261"/>
      <c r="B5" s="11"/>
      <c r="C5" s="12"/>
      <c r="D5" s="264"/>
      <c r="E5" s="14"/>
      <c r="F5" s="15"/>
      <c r="G5" s="16"/>
      <c r="H5" s="17" t="n">
        <f aca="false">D5-G5</f>
        <v>0</v>
      </c>
      <c r="I5" s="263"/>
      <c r="K5" s="19"/>
    </row>
    <row r="6" customFormat="false" ht="18.6" hidden="false" customHeight="true" outlineLevel="0" collapsed="false">
      <c r="A6" s="261"/>
      <c r="B6" s="11"/>
      <c r="C6" s="12"/>
      <c r="D6" s="264"/>
      <c r="E6" s="14"/>
      <c r="F6" s="15"/>
      <c r="G6" s="16"/>
      <c r="H6" s="17" t="n">
        <f aca="false">D6-G6</f>
        <v>0</v>
      </c>
      <c r="I6" s="263"/>
      <c r="K6" s="487"/>
    </row>
    <row r="7" customFormat="false" ht="18.6" hidden="false" customHeight="true" outlineLevel="0" collapsed="false">
      <c r="A7" s="261"/>
      <c r="B7" s="11"/>
      <c r="C7" s="12"/>
      <c r="D7" s="264"/>
      <c r="E7" s="14"/>
      <c r="F7" s="15"/>
      <c r="G7" s="16"/>
      <c r="H7" s="17" t="n">
        <f aca="false">D7-G7</f>
        <v>0</v>
      </c>
      <c r="I7" s="263"/>
      <c r="K7" s="19"/>
    </row>
    <row r="8" customFormat="false" ht="18.6" hidden="false" customHeight="true" outlineLevel="0" collapsed="false">
      <c r="A8" s="261"/>
      <c r="B8" s="337"/>
      <c r="C8" s="12"/>
      <c r="D8" s="264"/>
      <c r="E8" s="14"/>
      <c r="F8" s="15"/>
      <c r="G8" s="16"/>
      <c r="H8" s="17" t="n">
        <f aca="false">D8-G8</f>
        <v>0</v>
      </c>
      <c r="I8" s="263"/>
      <c r="K8" s="20"/>
      <c r="L8" s="20"/>
      <c r="M8" s="20"/>
    </row>
    <row r="9" customFormat="false" ht="18.6" hidden="false" customHeight="true" outlineLevel="0" collapsed="false">
      <c r="A9" s="261"/>
      <c r="B9" s="11"/>
      <c r="C9" s="12"/>
      <c r="D9" s="264"/>
      <c r="E9" s="14"/>
      <c r="F9" s="15"/>
      <c r="G9" s="16"/>
      <c r="H9" s="17" t="n">
        <f aca="false">D9-G9</f>
        <v>0</v>
      </c>
      <c r="I9" s="263"/>
      <c r="K9" s="19"/>
    </row>
    <row r="10" customFormat="false" ht="18.6" hidden="false" customHeight="true" outlineLevel="0" collapsed="false">
      <c r="A10" s="261"/>
      <c r="B10" s="11"/>
      <c r="C10" s="12"/>
      <c r="D10" s="264"/>
      <c r="E10" s="14"/>
      <c r="F10" s="15"/>
      <c r="G10" s="16"/>
      <c r="H10" s="17" t="n">
        <f aca="false">D10-G10</f>
        <v>0</v>
      </c>
      <c r="I10" s="265"/>
      <c r="K10" s="20"/>
      <c r="L10" s="20"/>
    </row>
    <row r="11" customFormat="false" ht="18.6" hidden="false" customHeight="true" outlineLevel="0" collapsed="false">
      <c r="A11" s="261"/>
      <c r="B11" s="11"/>
      <c r="C11" s="12"/>
      <c r="D11" s="264"/>
      <c r="E11" s="14"/>
      <c r="F11" s="15"/>
      <c r="G11" s="16"/>
      <c r="H11" s="17" t="n">
        <f aca="false">D11-G11</f>
        <v>0</v>
      </c>
      <c r="I11" s="265"/>
    </row>
    <row r="12" customFormat="false" ht="18.6" hidden="false" customHeight="true" outlineLevel="0" collapsed="false">
      <c r="A12" s="261"/>
      <c r="B12" s="11"/>
      <c r="C12" s="12"/>
      <c r="D12" s="13"/>
      <c r="E12" s="432"/>
      <c r="F12" s="15"/>
      <c r="G12" s="16"/>
      <c r="H12" s="17" t="n">
        <f aca="false">D12-G12</f>
        <v>0</v>
      </c>
      <c r="I12" s="265"/>
      <c r="K12" s="487"/>
    </row>
    <row r="13" customFormat="false" ht="18.6" hidden="false" customHeight="true" outlineLevel="0" collapsed="false">
      <c r="A13" s="261"/>
      <c r="B13" s="11"/>
      <c r="C13" s="12"/>
      <c r="D13" s="264"/>
      <c r="E13" s="14"/>
      <c r="F13" s="15"/>
      <c r="G13" s="16"/>
      <c r="H13" s="17" t="n">
        <f aca="false">D13-G13</f>
        <v>0</v>
      </c>
      <c r="I13" s="265"/>
      <c r="K13" s="20"/>
      <c r="L13" s="20"/>
      <c r="M13" s="20"/>
    </row>
    <row r="14" customFormat="false" ht="18.6" hidden="false" customHeight="true" outlineLevel="0" collapsed="false">
      <c r="A14" s="261"/>
      <c r="B14" s="11"/>
      <c r="C14" s="12"/>
      <c r="D14" s="264"/>
      <c r="E14" s="14"/>
      <c r="F14" s="15"/>
      <c r="G14" s="266"/>
      <c r="H14" s="17" t="n">
        <f aca="false">D14-G14</f>
        <v>0</v>
      </c>
      <c r="I14" s="265"/>
    </row>
    <row r="15" customFormat="false" ht="18.6" hidden="false" customHeight="true" outlineLevel="0" collapsed="false">
      <c r="A15" s="261"/>
      <c r="B15" s="11"/>
      <c r="C15" s="12"/>
      <c r="D15" s="264"/>
      <c r="E15" s="14"/>
      <c r="F15" s="15"/>
      <c r="G15" s="266"/>
      <c r="H15" s="17" t="n">
        <f aca="false">D15-G15</f>
        <v>0</v>
      </c>
      <c r="I15" s="265"/>
      <c r="K15" s="487"/>
    </row>
    <row r="16" customFormat="false" ht="18.6" hidden="false" customHeight="true" outlineLevel="0" collapsed="false">
      <c r="A16" s="261"/>
      <c r="B16" s="11"/>
      <c r="C16" s="12"/>
      <c r="D16" s="264"/>
      <c r="E16" s="14"/>
      <c r="F16" s="267"/>
      <c r="G16" s="266"/>
      <c r="H16" s="17" t="n">
        <f aca="false">D16-G16</f>
        <v>0</v>
      </c>
      <c r="I16" s="265"/>
      <c r="K16" s="21"/>
      <c r="L16" s="21"/>
      <c r="M16" s="21"/>
    </row>
    <row r="17" customFormat="false" ht="18.6" hidden="false" customHeight="true" outlineLevel="0" collapsed="false">
      <c r="A17" s="261"/>
      <c r="B17" s="11"/>
      <c r="C17" s="12"/>
      <c r="D17" s="264"/>
      <c r="E17" s="14"/>
      <c r="F17" s="267"/>
      <c r="G17" s="266"/>
      <c r="H17" s="17" t="n">
        <f aca="false">D17-G17</f>
        <v>0</v>
      </c>
      <c r="I17" s="265"/>
    </row>
    <row r="18" customFormat="false" ht="18.6" hidden="false" customHeight="true" outlineLevel="0" collapsed="false">
      <c r="A18" s="261"/>
      <c r="B18" s="11"/>
      <c r="C18" s="12"/>
      <c r="D18" s="264"/>
      <c r="E18" s="14"/>
      <c r="F18" s="15"/>
      <c r="G18" s="266"/>
      <c r="H18" s="17" t="n">
        <f aca="false">D18-G18</f>
        <v>0</v>
      </c>
      <c r="I18" s="265"/>
    </row>
    <row r="19" customFormat="false" ht="18.6" hidden="false" customHeight="true" outlineLevel="0" collapsed="false">
      <c r="A19" s="261"/>
      <c r="B19" s="11"/>
      <c r="C19" s="12"/>
      <c r="D19" s="264"/>
      <c r="E19" s="14"/>
      <c r="F19" s="267"/>
      <c r="G19" s="266"/>
      <c r="H19" s="17" t="n">
        <f aca="false">D19-G19</f>
        <v>0</v>
      </c>
      <c r="I19" s="265"/>
    </row>
    <row r="20" customFormat="false" ht="18.6" hidden="false" customHeight="true" outlineLevel="0" collapsed="false">
      <c r="A20" s="261"/>
      <c r="B20" s="11"/>
      <c r="C20" s="12"/>
      <c r="D20" s="264"/>
      <c r="E20" s="14"/>
      <c r="F20" s="267"/>
      <c r="G20" s="266"/>
      <c r="H20" s="17" t="n">
        <f aca="false">D20-G20</f>
        <v>0</v>
      </c>
      <c r="I20" s="265"/>
    </row>
    <row r="21" customFormat="false" ht="18.6" hidden="false" customHeight="true" outlineLevel="0" collapsed="false">
      <c r="A21" s="261"/>
      <c r="B21" s="11"/>
      <c r="C21" s="12"/>
      <c r="D21" s="13"/>
      <c r="E21" s="14"/>
      <c r="F21" s="267"/>
      <c r="G21" s="266"/>
      <c r="H21" s="17" t="n">
        <f aca="false">D21-G21</f>
        <v>0</v>
      </c>
      <c r="I21" s="265"/>
    </row>
    <row r="22" customFormat="false" ht="18.6" hidden="false" customHeight="true" outlineLevel="0" collapsed="false">
      <c r="A22" s="261"/>
      <c r="B22" s="11"/>
      <c r="C22" s="12"/>
      <c r="D22" s="13"/>
      <c r="E22" s="14"/>
      <c r="F22" s="267"/>
      <c r="G22" s="266"/>
      <c r="H22" s="17" t="n">
        <f aca="false">D22-G22</f>
        <v>0</v>
      </c>
      <c r="I22" s="265"/>
    </row>
    <row r="23" customFormat="false" ht="18.6" hidden="false" customHeight="true" outlineLevel="0" collapsed="false">
      <c r="A23" s="261"/>
      <c r="B23" s="11"/>
      <c r="C23" s="12"/>
      <c r="D23" s="264"/>
      <c r="E23" s="14"/>
      <c r="F23" s="267"/>
      <c r="G23" s="266"/>
      <c r="H23" s="17" t="n">
        <f aca="false">D23-G23</f>
        <v>0</v>
      </c>
      <c r="I23" s="265"/>
    </row>
    <row r="24" customFormat="false" ht="18.6" hidden="false" customHeight="true" outlineLevel="0" collapsed="false">
      <c r="A24" s="261"/>
      <c r="B24" s="11"/>
      <c r="C24" s="12"/>
      <c r="D24" s="13"/>
      <c r="E24" s="454"/>
      <c r="F24" s="267"/>
      <c r="G24" s="266"/>
      <c r="H24" s="17" t="n">
        <f aca="false">D24-G24</f>
        <v>0</v>
      </c>
      <c r="I24" s="265"/>
    </row>
    <row r="25" customFormat="false" ht="18.6" hidden="false" customHeight="true" outlineLevel="0" collapsed="false">
      <c r="A25" s="261"/>
      <c r="B25" s="11"/>
      <c r="C25" s="12"/>
      <c r="D25" s="264"/>
      <c r="E25" s="14"/>
      <c r="F25" s="267"/>
      <c r="G25" s="266"/>
      <c r="H25" s="17" t="n">
        <f aca="false">D25-G25</f>
        <v>0</v>
      </c>
      <c r="I25" s="265"/>
    </row>
    <row r="26" customFormat="false" ht="18.6" hidden="false" customHeight="true" outlineLevel="0" collapsed="false">
      <c r="A26" s="261"/>
      <c r="B26" s="11"/>
      <c r="C26" s="12"/>
      <c r="D26" s="264"/>
      <c r="E26" s="14"/>
      <c r="F26" s="267"/>
      <c r="G26" s="268"/>
      <c r="H26" s="17" t="n">
        <f aca="false">D26-G26</f>
        <v>0</v>
      </c>
      <c r="I26" s="265"/>
    </row>
    <row r="27" customFormat="false" ht="18.6" hidden="false" customHeight="true" outlineLevel="0" collapsed="false">
      <c r="A27" s="261"/>
      <c r="B27" s="11"/>
      <c r="C27" s="12"/>
      <c r="D27" s="264"/>
      <c r="E27" s="14"/>
      <c r="F27" s="267"/>
      <c r="G27" s="268"/>
      <c r="H27" s="17" t="n">
        <f aca="false">D27-G27</f>
        <v>0</v>
      </c>
      <c r="I27" s="265"/>
    </row>
    <row r="28" customFormat="false" ht="18.6" hidden="false" customHeight="true" outlineLevel="0" collapsed="false">
      <c r="A28" s="269"/>
      <c r="B28" s="28" t="s">
        <v>35</v>
      </c>
      <c r="C28" s="22"/>
      <c r="D28" s="29" t="n">
        <f aca="false">+SUM(D2:D27)</f>
        <v>0</v>
      </c>
      <c r="E28" s="24"/>
      <c r="F28" s="25"/>
      <c r="G28" s="26"/>
      <c r="H28" s="30" t="n">
        <f aca="false">+SUM(H2:H27)</f>
        <v>0</v>
      </c>
      <c r="I28" s="422"/>
    </row>
    <row r="29" customFormat="false" ht="18.6" hidden="false" customHeight="true" outlineLevel="0" collapsed="false">
      <c r="A29" s="351" t="s">
        <v>299</v>
      </c>
      <c r="B29" s="11" t="s">
        <v>658</v>
      </c>
      <c r="C29" s="12" t="s">
        <v>659</v>
      </c>
      <c r="D29" s="270" t="n">
        <v>891.47</v>
      </c>
      <c r="E29" s="271"/>
      <c r="F29" s="272" t="n">
        <v>44743</v>
      </c>
      <c r="G29" s="273"/>
      <c r="H29" s="17" t="n">
        <f aca="false">D29-G29</f>
        <v>891.47</v>
      </c>
      <c r="I29" s="265"/>
    </row>
    <row r="30" customFormat="false" ht="18.6" hidden="false" customHeight="true" outlineLevel="0" collapsed="false">
      <c r="A30" s="351"/>
      <c r="B30" s="11" t="s">
        <v>311</v>
      </c>
      <c r="C30" s="12"/>
      <c r="D30" s="264" t="n">
        <v>19.38</v>
      </c>
      <c r="E30" s="14"/>
      <c r="F30" s="267" t="n">
        <v>44747</v>
      </c>
      <c r="G30" s="268"/>
      <c r="H30" s="17" t="n">
        <f aca="false">D30-G30</f>
        <v>19.38</v>
      </c>
      <c r="I30" s="265"/>
    </row>
    <row r="31" customFormat="false" ht="18.6" hidden="false" customHeight="true" outlineLevel="0" collapsed="false">
      <c r="A31" s="351"/>
      <c r="B31" s="11" t="s">
        <v>308</v>
      </c>
      <c r="C31" s="12"/>
      <c r="D31" s="264" t="n">
        <v>3203.09</v>
      </c>
      <c r="E31" s="14" t="s">
        <v>439</v>
      </c>
      <c r="F31" s="267" t="n">
        <v>44747</v>
      </c>
      <c r="G31" s="268"/>
      <c r="H31" s="17" t="n">
        <f aca="false">D31-G31</f>
        <v>3203.09</v>
      </c>
      <c r="I31" s="265"/>
    </row>
    <row r="32" customFormat="false" ht="18.6" hidden="false" customHeight="true" outlineLevel="0" collapsed="false">
      <c r="A32" s="351"/>
      <c r="B32" s="11" t="s">
        <v>300</v>
      </c>
      <c r="C32" s="12" t="s">
        <v>303</v>
      </c>
      <c r="D32" s="264" t="n">
        <v>127.11</v>
      </c>
      <c r="E32" s="14" t="s">
        <v>302</v>
      </c>
      <c r="F32" s="267" t="n">
        <v>44747</v>
      </c>
      <c r="G32" s="268"/>
      <c r="H32" s="17" t="n">
        <f aca="false">D32-G32</f>
        <v>127.11</v>
      </c>
      <c r="I32" s="265"/>
    </row>
    <row r="33" customFormat="false" ht="18.6" hidden="false" customHeight="true" outlineLevel="0" collapsed="false">
      <c r="A33" s="351"/>
      <c r="B33" s="11" t="s">
        <v>300</v>
      </c>
      <c r="C33" s="12" t="s">
        <v>304</v>
      </c>
      <c r="D33" s="270" t="n">
        <v>100.82</v>
      </c>
      <c r="E33" s="271"/>
      <c r="F33" s="267" t="n">
        <v>44747</v>
      </c>
      <c r="G33" s="273"/>
      <c r="H33" s="17" t="n">
        <f aca="false">D33-G33</f>
        <v>100.82</v>
      </c>
      <c r="I33" s="265"/>
    </row>
    <row r="34" customFormat="false" ht="18.6" hidden="false" customHeight="true" outlineLevel="0" collapsed="false">
      <c r="A34" s="351"/>
      <c r="B34" s="11" t="s">
        <v>300</v>
      </c>
      <c r="C34" s="12" t="s">
        <v>305</v>
      </c>
      <c r="D34" s="264" t="n">
        <v>104.12</v>
      </c>
      <c r="E34" s="14"/>
      <c r="F34" s="267" t="n">
        <v>44747</v>
      </c>
      <c r="G34" s="268"/>
      <c r="H34" s="17" t="n">
        <f aca="false">D34-G34</f>
        <v>104.12</v>
      </c>
      <c r="I34" s="265"/>
    </row>
    <row r="35" customFormat="false" ht="18.6" hidden="false" customHeight="true" outlineLevel="0" collapsed="false">
      <c r="A35" s="351"/>
      <c r="B35" s="11" t="s">
        <v>300</v>
      </c>
      <c r="C35" s="12" t="s">
        <v>306</v>
      </c>
      <c r="D35" s="264" t="n">
        <v>71.32</v>
      </c>
      <c r="E35" s="14"/>
      <c r="F35" s="267" t="n">
        <v>44747</v>
      </c>
      <c r="G35" s="268"/>
      <c r="H35" s="17" t="n">
        <f aca="false">D35-G35</f>
        <v>71.32</v>
      </c>
      <c r="I35" s="265"/>
    </row>
    <row r="36" customFormat="false" ht="18.6" hidden="false" customHeight="true" outlineLevel="0" collapsed="false">
      <c r="A36" s="351"/>
      <c r="B36" s="11" t="s">
        <v>300</v>
      </c>
      <c r="C36" s="12" t="s">
        <v>307</v>
      </c>
      <c r="D36" s="264" t="n">
        <v>89.4</v>
      </c>
      <c r="E36" s="14"/>
      <c r="F36" s="267" t="n">
        <v>44747</v>
      </c>
      <c r="G36" s="268"/>
      <c r="H36" s="17" t="n">
        <f aca="false">D36-G36</f>
        <v>89.4</v>
      </c>
      <c r="I36" s="265"/>
    </row>
    <row r="37" customFormat="false" ht="18.6" hidden="false" customHeight="true" outlineLevel="0" collapsed="false">
      <c r="A37" s="351"/>
      <c r="B37" s="11" t="s">
        <v>300</v>
      </c>
      <c r="C37" s="12" t="s">
        <v>301</v>
      </c>
      <c r="D37" s="270" t="n">
        <v>99.97</v>
      </c>
      <c r="E37" s="271" t="s">
        <v>302</v>
      </c>
      <c r="F37" s="267" t="n">
        <v>44747</v>
      </c>
      <c r="G37" s="273"/>
      <c r="H37" s="17" t="n">
        <f aca="false">D37-G37</f>
        <v>99.97</v>
      </c>
      <c r="I37" s="265"/>
    </row>
    <row r="38" customFormat="false" ht="18.6" hidden="false" customHeight="true" outlineLevel="0" collapsed="false">
      <c r="A38" s="351"/>
      <c r="B38" s="11" t="s">
        <v>551</v>
      </c>
      <c r="C38" s="12"/>
      <c r="D38" s="264" t="n">
        <v>53.88</v>
      </c>
      <c r="E38" s="14"/>
      <c r="F38" s="267" t="n">
        <v>44747</v>
      </c>
      <c r="G38" s="268"/>
      <c r="H38" s="17" t="n">
        <f aca="false">D38-G38</f>
        <v>53.88</v>
      </c>
      <c r="I38" s="265"/>
    </row>
    <row r="39" customFormat="false" ht="18.6" hidden="false" customHeight="true" outlineLevel="0" collapsed="false">
      <c r="A39" s="351"/>
      <c r="B39" s="11" t="s">
        <v>314</v>
      </c>
      <c r="C39" s="12"/>
      <c r="D39" s="264" t="n">
        <v>50</v>
      </c>
      <c r="E39" s="14" t="s">
        <v>315</v>
      </c>
      <c r="F39" s="267" t="n">
        <v>44748</v>
      </c>
      <c r="G39" s="268"/>
      <c r="H39" s="17" t="n">
        <f aca="false">D39-G39</f>
        <v>50</v>
      </c>
      <c r="I39" s="265"/>
    </row>
    <row r="40" customFormat="false" ht="18.6" hidden="false" customHeight="true" outlineLevel="0" collapsed="false">
      <c r="A40" s="351"/>
      <c r="B40" s="11" t="s">
        <v>314</v>
      </c>
      <c r="C40" s="12"/>
      <c r="D40" s="264" t="n">
        <v>38</v>
      </c>
      <c r="E40" s="14"/>
      <c r="F40" s="267" t="n">
        <v>44748</v>
      </c>
      <c r="G40" s="268"/>
      <c r="H40" s="17" t="n">
        <f aca="false">D40-G40</f>
        <v>38</v>
      </c>
      <c r="I40" s="265"/>
    </row>
    <row r="41" customFormat="false" ht="18.6" hidden="false" customHeight="true" outlineLevel="0" collapsed="false">
      <c r="A41" s="351"/>
      <c r="B41" s="11" t="s">
        <v>35</v>
      </c>
      <c r="C41" s="12" t="s">
        <v>660</v>
      </c>
      <c r="D41" s="264" t="n">
        <v>2500</v>
      </c>
      <c r="E41" s="14"/>
      <c r="F41" s="267" t="n">
        <v>44752</v>
      </c>
      <c r="G41" s="268"/>
      <c r="H41" s="17" t="n">
        <f aca="false">D41-G41</f>
        <v>2500</v>
      </c>
      <c r="I41" s="265"/>
    </row>
    <row r="42" customFormat="false" ht="18.6" hidden="false" customHeight="true" outlineLevel="0" collapsed="false">
      <c r="A42" s="351"/>
      <c r="B42" s="11" t="s">
        <v>316</v>
      </c>
      <c r="C42" s="12" t="s">
        <v>550</v>
      </c>
      <c r="D42" s="264" t="n">
        <f aca="false">15.95*2</f>
        <v>31.9</v>
      </c>
      <c r="E42" s="14" t="s">
        <v>661</v>
      </c>
      <c r="F42" s="267" t="n">
        <v>44752</v>
      </c>
      <c r="G42" s="268"/>
      <c r="H42" s="17" t="n">
        <f aca="false">D42-G42</f>
        <v>31.9</v>
      </c>
      <c r="I42" s="265" t="n">
        <v>44671</v>
      </c>
    </row>
    <row r="43" customFormat="false" ht="18.6" hidden="false" customHeight="true" outlineLevel="0" collapsed="false">
      <c r="A43" s="351"/>
      <c r="B43" s="11" t="s">
        <v>561</v>
      </c>
      <c r="C43" s="12"/>
      <c r="D43" s="270" t="n">
        <v>16.99</v>
      </c>
      <c r="E43" s="271" t="s">
        <v>562</v>
      </c>
      <c r="F43" s="267" t="n">
        <v>44752</v>
      </c>
      <c r="G43" s="273"/>
      <c r="H43" s="17" t="n">
        <f aca="false">D43-G43</f>
        <v>16.99</v>
      </c>
      <c r="I43" s="265"/>
    </row>
    <row r="44" customFormat="false" ht="18.6" hidden="false" customHeight="true" outlineLevel="0" collapsed="false">
      <c r="A44" s="351"/>
      <c r="B44" s="11" t="s">
        <v>437</v>
      </c>
      <c r="C44" s="12" t="s">
        <v>564</v>
      </c>
      <c r="D44" s="264" t="n">
        <v>277.96</v>
      </c>
      <c r="E44" s="14" t="s">
        <v>565</v>
      </c>
      <c r="F44" s="267" t="n">
        <v>44752</v>
      </c>
      <c r="G44" s="268"/>
      <c r="H44" s="17" t="n">
        <f aca="false">D44-G44</f>
        <v>277.96</v>
      </c>
      <c r="I44" s="265"/>
    </row>
    <row r="45" customFormat="false" ht="18.6" hidden="false" customHeight="true" outlineLevel="0" collapsed="false">
      <c r="A45" s="351"/>
      <c r="B45" s="337" t="s">
        <v>322</v>
      </c>
      <c r="C45" s="352"/>
      <c r="D45" s="353" t="n">
        <v>11213</v>
      </c>
      <c r="E45" s="477" t="s">
        <v>323</v>
      </c>
      <c r="F45" s="479" t="n">
        <v>44757</v>
      </c>
      <c r="G45" s="478"/>
      <c r="H45" s="476" t="n">
        <f aca="false">D45-G45</f>
        <v>11213</v>
      </c>
      <c r="I45" s="431"/>
    </row>
    <row r="46" customFormat="false" ht="18.6" hidden="false" customHeight="true" outlineLevel="0" collapsed="false">
      <c r="A46" s="351"/>
      <c r="B46" s="11" t="s">
        <v>300</v>
      </c>
      <c r="C46" s="12" t="s">
        <v>320</v>
      </c>
      <c r="D46" s="270" t="n">
        <v>15.24</v>
      </c>
      <c r="E46" s="271" t="s">
        <v>321</v>
      </c>
      <c r="F46" s="272" t="n">
        <v>44761</v>
      </c>
      <c r="G46" s="273"/>
      <c r="H46" s="17" t="n">
        <f aca="false">D46-G46</f>
        <v>15.24</v>
      </c>
      <c r="I46" s="265"/>
    </row>
    <row r="47" customFormat="false" ht="18.6" hidden="false" customHeight="true" outlineLevel="0" collapsed="false">
      <c r="A47" s="351"/>
      <c r="B47" s="11" t="s">
        <v>300</v>
      </c>
      <c r="C47" s="12" t="s">
        <v>324</v>
      </c>
      <c r="D47" s="264" t="n">
        <v>93.87</v>
      </c>
      <c r="E47" s="14"/>
      <c r="F47" s="267" t="n">
        <v>44761</v>
      </c>
      <c r="G47" s="268"/>
      <c r="H47" s="17" t="n">
        <f aca="false">D47-G47</f>
        <v>93.87</v>
      </c>
      <c r="I47" s="265"/>
    </row>
    <row r="48" customFormat="false" ht="18.6" hidden="false" customHeight="true" outlineLevel="0" collapsed="false">
      <c r="A48" s="351"/>
      <c r="B48" s="337" t="s">
        <v>327</v>
      </c>
      <c r="C48" s="12" t="s">
        <v>328</v>
      </c>
      <c r="D48" s="359" t="n">
        <v>6024</v>
      </c>
      <c r="E48" s="473" t="s">
        <v>666</v>
      </c>
      <c r="F48" s="474" t="n">
        <v>44763</v>
      </c>
      <c r="G48" s="475"/>
      <c r="H48" s="476" t="n">
        <f aca="false">D48-G48</f>
        <v>6024</v>
      </c>
      <c r="I48" s="431"/>
    </row>
    <row r="49" customFormat="false" ht="18.6" hidden="false" customHeight="true" outlineLevel="0" collapsed="false">
      <c r="A49" s="351"/>
      <c r="B49" s="337" t="s">
        <v>337</v>
      </c>
      <c r="C49" s="352"/>
      <c r="D49" s="353" t="n">
        <v>1799.9</v>
      </c>
      <c r="E49" s="477"/>
      <c r="F49" s="474" t="n">
        <v>44763</v>
      </c>
      <c r="G49" s="478"/>
      <c r="H49" s="476" t="n">
        <f aca="false">D49-G49</f>
        <v>1799.9</v>
      </c>
      <c r="I49" s="431" t="n">
        <v>44671</v>
      </c>
    </row>
    <row r="50" customFormat="false" ht="18.6" hidden="false" customHeight="true" outlineLevel="0" collapsed="false">
      <c r="A50" s="351"/>
      <c r="B50" s="11" t="s">
        <v>314</v>
      </c>
      <c r="C50" s="12"/>
      <c r="D50" s="264" t="n">
        <v>31</v>
      </c>
      <c r="E50" s="14"/>
      <c r="F50" s="474" t="n">
        <v>44763</v>
      </c>
      <c r="G50" s="268"/>
      <c r="H50" s="17" t="n">
        <f aca="false">D50-G50</f>
        <v>31</v>
      </c>
      <c r="I50" s="265"/>
    </row>
    <row r="51" customFormat="false" ht="18.6" hidden="false" customHeight="true" outlineLevel="0" collapsed="false">
      <c r="A51" s="351"/>
      <c r="B51" s="11" t="s">
        <v>314</v>
      </c>
      <c r="C51" s="12"/>
      <c r="D51" s="264" t="n">
        <v>31</v>
      </c>
      <c r="E51" s="14"/>
      <c r="F51" s="474" t="n">
        <v>44763</v>
      </c>
      <c r="G51" s="268"/>
      <c r="H51" s="17" t="n">
        <f aca="false">D51-G51</f>
        <v>31</v>
      </c>
      <c r="I51" s="265"/>
    </row>
    <row r="52" customFormat="false" ht="18.6" hidden="false" customHeight="true" outlineLevel="0" collapsed="false">
      <c r="A52" s="351"/>
      <c r="B52" s="11" t="s">
        <v>314</v>
      </c>
      <c r="C52" s="12" t="s">
        <v>325</v>
      </c>
      <c r="D52" s="270" t="n">
        <v>31</v>
      </c>
      <c r="E52" s="271" t="s">
        <v>326</v>
      </c>
      <c r="F52" s="474" t="n">
        <v>44763</v>
      </c>
      <c r="G52" s="273"/>
      <c r="H52" s="17" t="n">
        <f aca="false">D52-G52</f>
        <v>31</v>
      </c>
      <c r="I52" s="265"/>
    </row>
    <row r="53" customFormat="false" ht="18.6" hidden="false" customHeight="true" outlineLevel="0" collapsed="false">
      <c r="A53" s="351"/>
      <c r="B53" s="11" t="s">
        <v>35</v>
      </c>
      <c r="C53" s="12" t="s">
        <v>572</v>
      </c>
      <c r="D53" s="264" t="n">
        <v>2219.29</v>
      </c>
      <c r="E53" s="14"/>
      <c r="F53" s="267" t="n">
        <v>44769</v>
      </c>
      <c r="G53" s="268"/>
      <c r="H53" s="17" t="n">
        <f aca="false">D53-G53</f>
        <v>2219.29</v>
      </c>
      <c r="I53" s="265"/>
    </row>
    <row r="54" customFormat="false" ht="18.6" hidden="false" customHeight="true" outlineLevel="0" collapsed="false">
      <c r="A54" s="351"/>
      <c r="B54" s="337" t="s">
        <v>329</v>
      </c>
      <c r="C54" s="12"/>
      <c r="D54" s="353" t="n">
        <v>2159.14</v>
      </c>
      <c r="E54" s="477" t="s">
        <v>667</v>
      </c>
      <c r="F54" s="267" t="n">
        <v>44769</v>
      </c>
      <c r="G54" s="478"/>
      <c r="H54" s="476" t="n">
        <f aca="false">D54-G54</f>
        <v>2159.14</v>
      </c>
      <c r="I54" s="431"/>
    </row>
    <row r="55" customFormat="false" ht="18.6" hidden="false" customHeight="true" outlineLevel="0" collapsed="false">
      <c r="A55" s="351"/>
      <c r="B55" s="11" t="s">
        <v>448</v>
      </c>
      <c r="C55" s="12" t="s">
        <v>449</v>
      </c>
      <c r="D55" s="270" t="n">
        <v>1188</v>
      </c>
      <c r="E55" s="271" t="s">
        <v>450</v>
      </c>
      <c r="F55" s="267" t="n">
        <v>44769</v>
      </c>
      <c r="G55" s="273"/>
      <c r="H55" s="17" t="n">
        <f aca="false">D55-G55</f>
        <v>1188</v>
      </c>
      <c r="I55" s="265" t="n">
        <v>44677</v>
      </c>
    </row>
    <row r="56" customFormat="false" ht="18.6" hidden="false" customHeight="true" outlineLevel="0" collapsed="false">
      <c r="A56" s="351"/>
      <c r="B56" s="11" t="s">
        <v>35</v>
      </c>
      <c r="C56" s="12" t="s">
        <v>896</v>
      </c>
      <c r="D56" s="264" t="n">
        <v>2219.29</v>
      </c>
      <c r="E56" s="14" t="s">
        <v>897</v>
      </c>
      <c r="F56" s="267" t="n">
        <v>44769</v>
      </c>
      <c r="G56" s="268"/>
      <c r="H56" s="17" t="n">
        <f aca="false">D56-G56</f>
        <v>2219.29</v>
      </c>
      <c r="I56" s="265" t="s">
        <v>898</v>
      </c>
    </row>
    <row r="57" customFormat="false" ht="18.6" hidden="false" customHeight="true" outlineLevel="0" collapsed="false">
      <c r="A57" s="351"/>
      <c r="B57" s="11" t="s">
        <v>668</v>
      </c>
      <c r="C57" s="12" t="s">
        <v>669</v>
      </c>
      <c r="D57" s="264" t="n">
        <v>34.43</v>
      </c>
      <c r="E57" s="14" t="s">
        <v>670</v>
      </c>
      <c r="F57" s="267" t="n">
        <v>44769</v>
      </c>
      <c r="G57" s="268"/>
      <c r="H57" s="17" t="n">
        <f aca="false">D57-G57</f>
        <v>34.43</v>
      </c>
      <c r="I57" s="431" t="n">
        <v>44676</v>
      </c>
    </row>
    <row r="58" customFormat="false" ht="18.6" hidden="false" customHeight="true" outlineLevel="0" collapsed="false">
      <c r="A58" s="351"/>
      <c r="B58" s="11" t="s">
        <v>338</v>
      </c>
      <c r="C58" s="12" t="s">
        <v>339</v>
      </c>
      <c r="D58" s="264" t="n">
        <v>5283.09</v>
      </c>
      <c r="E58" s="14"/>
      <c r="F58" s="267" t="n">
        <v>44769</v>
      </c>
      <c r="G58" s="268"/>
      <c r="H58" s="17" t="n">
        <f aca="false">D58-G58</f>
        <v>5283.09</v>
      </c>
      <c r="I58" s="265"/>
    </row>
    <row r="59" customFormat="false" ht="18.6" hidden="false" customHeight="true" outlineLevel="0" collapsed="false">
      <c r="A59" s="351"/>
      <c r="B59" s="11"/>
      <c r="C59" s="12"/>
      <c r="D59" s="270"/>
      <c r="E59" s="271"/>
      <c r="F59" s="267"/>
      <c r="G59" s="273"/>
      <c r="H59" s="17"/>
      <c r="I59" s="265"/>
    </row>
    <row r="60" customFormat="false" ht="18.6" hidden="false" customHeight="true" outlineLevel="0" collapsed="false">
      <c r="A60" s="351"/>
      <c r="B60" s="276"/>
      <c r="C60" s="12"/>
      <c r="D60" s="363"/>
      <c r="E60" s="271"/>
      <c r="F60" s="272"/>
      <c r="G60" s="273"/>
      <c r="H60" s="17"/>
      <c r="I60" s="265"/>
    </row>
    <row r="61" customFormat="false" ht="18.6" hidden="false" customHeight="true" outlineLevel="0" collapsed="false">
      <c r="A61" s="351"/>
      <c r="B61" s="11"/>
      <c r="C61" s="12"/>
      <c r="D61" s="270"/>
      <c r="E61" s="271"/>
      <c r="F61" s="272"/>
      <c r="G61" s="273"/>
      <c r="H61" s="17"/>
      <c r="I61" s="265"/>
    </row>
    <row r="62" customFormat="false" ht="18.6" hidden="false" customHeight="true" outlineLevel="0" collapsed="false">
      <c r="A62" s="351"/>
      <c r="B62" s="11" t="s">
        <v>119</v>
      </c>
      <c r="C62" s="12" t="s">
        <v>928</v>
      </c>
      <c r="D62" s="264" t="n">
        <v>99.6</v>
      </c>
      <c r="E62" s="271"/>
      <c r="F62" s="272" t="n">
        <v>44793</v>
      </c>
      <c r="G62" s="273"/>
      <c r="H62" s="17" t="e">
        <f aca="false">#REF!-G62</f>
        <v>#REF!</v>
      </c>
      <c r="I62" s="324"/>
    </row>
    <row r="63" customFormat="false" ht="18.6" hidden="false" customHeight="true" outlineLevel="0" collapsed="false">
      <c r="A63" s="351"/>
      <c r="B63" s="276"/>
      <c r="C63" s="12"/>
      <c r="D63" s="363"/>
      <c r="E63" s="271"/>
      <c r="F63" s="272"/>
      <c r="G63" s="273"/>
      <c r="H63" s="17" t="n">
        <f aca="false">D63-G63</f>
        <v>0</v>
      </c>
      <c r="I63" s="366"/>
    </row>
    <row r="64" customFormat="false" ht="18.6" hidden="false" customHeight="true" outlineLevel="0" collapsed="false">
      <c r="A64" s="351"/>
      <c r="B64" s="367"/>
      <c r="C64" s="12"/>
      <c r="D64" s="363"/>
      <c r="E64" s="271"/>
      <c r="F64" s="272"/>
      <c r="G64" s="273"/>
      <c r="H64" s="17" t="n">
        <f aca="false">D64-G64</f>
        <v>0</v>
      </c>
      <c r="I64" s="366"/>
    </row>
    <row r="65" customFormat="false" ht="18.6" hidden="false" customHeight="true" outlineLevel="0" collapsed="false">
      <c r="A65" s="351"/>
      <c r="B65" s="276"/>
      <c r="C65" s="12"/>
      <c r="D65" s="363"/>
      <c r="E65" s="271"/>
      <c r="F65" s="272"/>
      <c r="G65" s="273"/>
      <c r="H65" s="17" t="n">
        <f aca="false">D65-G65</f>
        <v>0</v>
      </c>
      <c r="I65" s="366"/>
    </row>
    <row r="66" customFormat="false" ht="18.6" hidden="false" customHeight="true" outlineLevel="0" collapsed="false">
      <c r="A66" s="351"/>
      <c r="B66" s="276" t="s">
        <v>927</v>
      </c>
      <c r="C66" s="12"/>
      <c r="D66" s="363" t="n">
        <v>40000</v>
      </c>
      <c r="E66" s="271"/>
      <c r="F66" s="272"/>
      <c r="G66" s="273"/>
      <c r="H66" s="17" t="n">
        <f aca="false">D66-G66</f>
        <v>40000</v>
      </c>
      <c r="I66" s="265"/>
    </row>
    <row r="67" customFormat="false" ht="18.6" hidden="false" customHeight="true" outlineLevel="0" collapsed="false">
      <c r="A67" s="351"/>
      <c r="B67" s="11"/>
      <c r="C67" s="12"/>
      <c r="D67" s="264"/>
      <c r="E67" s="14"/>
      <c r="F67" s="267"/>
      <c r="G67" s="266"/>
      <c r="H67" s="17" t="n">
        <f aca="false">D67-G67</f>
        <v>0</v>
      </c>
      <c r="I67" s="265"/>
    </row>
    <row r="68" customFormat="false" ht="18.6" hidden="false" customHeight="true" outlineLevel="0" collapsed="false">
      <c r="A68" s="351"/>
      <c r="B68" s="22"/>
      <c r="C68" s="23"/>
      <c r="D68" s="23"/>
      <c r="E68" s="24"/>
      <c r="F68" s="25"/>
      <c r="G68" s="26"/>
      <c r="H68" s="17" t="n">
        <f aca="false">D68-G68</f>
        <v>0</v>
      </c>
      <c r="I68" s="369"/>
    </row>
    <row r="69" customFormat="false" ht="18.6" hidden="false" customHeight="true" outlineLevel="0" collapsed="false">
      <c r="A69" s="351"/>
      <c r="B69" s="28" t="s">
        <v>35</v>
      </c>
      <c r="C69" s="22"/>
      <c r="D69" s="29" t="n">
        <f aca="false">SUM(D29:D66)</f>
        <v>80117.26</v>
      </c>
      <c r="E69" s="24"/>
      <c r="F69" s="25"/>
      <c r="G69" s="26"/>
      <c r="H69" s="30" t="n">
        <f aca="false">+SUM(H29:H61)</f>
        <v>40017.66</v>
      </c>
      <c r="I69" s="422"/>
    </row>
    <row r="70" customFormat="false" ht="18.6" hidden="false" customHeight="true" outlineLevel="0" collapsed="false">
      <c r="A70" s="370"/>
      <c r="B70" s="318" t="s">
        <v>554</v>
      </c>
      <c r="C70" s="12"/>
      <c r="D70" s="264" t="n">
        <v>1100</v>
      </c>
      <c r="E70" s="14" t="s">
        <v>555</v>
      </c>
      <c r="F70" s="267" t="n">
        <v>44748</v>
      </c>
      <c r="G70" s="266"/>
      <c r="H70" s="17" t="n">
        <f aca="false">D70-G70</f>
        <v>1100</v>
      </c>
      <c r="I70" s="263"/>
    </row>
    <row r="71" customFormat="false" ht="18.6" hidden="false" customHeight="true" outlineLevel="0" collapsed="false">
      <c r="A71" s="370"/>
      <c r="B71" s="374" t="s">
        <v>559</v>
      </c>
      <c r="C71" s="375"/>
      <c r="D71" s="376" t="n">
        <v>500</v>
      </c>
      <c r="E71" s="482" t="s">
        <v>462</v>
      </c>
      <c r="F71" s="267" t="n">
        <v>44748</v>
      </c>
      <c r="G71" s="483"/>
      <c r="H71" s="17" t="n">
        <f aca="false">D71-G71</f>
        <v>500</v>
      </c>
      <c r="I71" s="484"/>
    </row>
    <row r="72" customFormat="false" ht="18.6" hidden="false" customHeight="true" outlineLevel="0" collapsed="false">
      <c r="A72" s="370"/>
      <c r="B72" s="381" t="s">
        <v>686</v>
      </c>
      <c r="C72" s="382"/>
      <c r="D72" s="376" t="n">
        <v>2100</v>
      </c>
      <c r="E72" s="482" t="s">
        <v>688</v>
      </c>
      <c r="F72" s="267" t="n">
        <v>44748</v>
      </c>
      <c r="G72" s="485"/>
      <c r="H72" s="17" t="n">
        <f aca="false">D72-G72</f>
        <v>2100</v>
      </c>
      <c r="I72" s="486"/>
    </row>
    <row r="73" customFormat="false" ht="18.6" hidden="false" customHeight="true" outlineLevel="0" collapsed="false">
      <c r="A73" s="370"/>
      <c r="B73" s="381" t="s">
        <v>772</v>
      </c>
      <c r="C73" s="382"/>
      <c r="D73" s="376" t="n">
        <v>600</v>
      </c>
      <c r="E73" s="482" t="s">
        <v>773</v>
      </c>
      <c r="F73" s="267" t="n">
        <v>44748</v>
      </c>
      <c r="G73" s="485"/>
      <c r="H73" s="17" t="n">
        <f aca="false">D73-G73</f>
        <v>600</v>
      </c>
      <c r="I73" s="486"/>
    </row>
    <row r="74" customFormat="false" ht="18.6" hidden="false" customHeight="true" outlineLevel="0" collapsed="false">
      <c r="A74" s="370"/>
      <c r="B74" s="318" t="s">
        <v>589</v>
      </c>
      <c r="C74" s="319"/>
      <c r="D74" s="264" t="n">
        <v>61155.18</v>
      </c>
      <c r="E74" s="14"/>
      <c r="F74" s="267" t="n">
        <v>44804</v>
      </c>
      <c r="G74" s="273"/>
      <c r="H74" s="17" t="n">
        <f aca="false">D74-G74</f>
        <v>61155.18</v>
      </c>
      <c r="I74" s="321"/>
    </row>
    <row r="75" customFormat="false" ht="18.6" hidden="false" customHeight="true" outlineLevel="0" collapsed="false">
      <c r="A75" s="370"/>
      <c r="B75" s="318"/>
      <c r="C75" s="319"/>
      <c r="D75" s="264"/>
      <c r="E75" s="14"/>
      <c r="F75" s="267"/>
      <c r="G75" s="273"/>
      <c r="H75" s="17" t="n">
        <f aca="false">D75-G75</f>
        <v>0</v>
      </c>
      <c r="I75" s="324"/>
    </row>
    <row r="76" customFormat="false" ht="18.6" hidden="false" customHeight="true" outlineLevel="0" collapsed="false">
      <c r="A76" s="370"/>
      <c r="B76" s="318"/>
      <c r="C76" s="12"/>
      <c r="D76" s="325"/>
      <c r="E76" s="14"/>
      <c r="F76" s="267"/>
      <c r="G76" s="16"/>
      <c r="H76" s="17" t="n">
        <f aca="false">D76-G76</f>
        <v>0</v>
      </c>
      <c r="I76" s="321"/>
    </row>
    <row r="77" customFormat="false" ht="18.6" hidden="false" customHeight="true" outlineLevel="0" collapsed="false">
      <c r="A77" s="370"/>
      <c r="B77" s="11"/>
      <c r="C77" s="12"/>
      <c r="D77" s="264"/>
      <c r="E77" s="14"/>
      <c r="F77" s="267"/>
      <c r="G77" s="266"/>
      <c r="H77" s="17" t="n">
        <f aca="false">D77-G77</f>
        <v>0</v>
      </c>
      <c r="I77" s="265"/>
    </row>
    <row r="78" customFormat="false" ht="18.6" hidden="false" customHeight="true" outlineLevel="0" collapsed="false">
      <c r="A78" s="370"/>
      <c r="B78" s="293"/>
      <c r="C78" s="12"/>
      <c r="D78" s="264"/>
      <c r="E78" s="14"/>
      <c r="F78" s="267"/>
      <c r="G78" s="266"/>
      <c r="H78" s="17" t="n">
        <f aca="false">D78-G78</f>
        <v>0</v>
      </c>
      <c r="I78" s="263"/>
    </row>
    <row r="79" customFormat="false" ht="18.6" hidden="false" customHeight="true" outlineLevel="0" collapsed="false">
      <c r="A79" s="370"/>
      <c r="B79" s="293"/>
      <c r="C79" s="12"/>
      <c r="D79" s="264"/>
      <c r="E79" s="458"/>
      <c r="F79" s="267"/>
      <c r="G79" s="266"/>
      <c r="H79" s="17" t="n">
        <f aca="false">D79-G79</f>
        <v>0</v>
      </c>
      <c r="I79" s="265"/>
    </row>
    <row r="80" customFormat="false" ht="18.6" hidden="false" customHeight="true" outlineLevel="0" collapsed="false">
      <c r="A80" s="370"/>
      <c r="B80" s="293"/>
      <c r="C80" s="12"/>
      <c r="D80" s="264"/>
      <c r="E80" s="14"/>
      <c r="F80" s="267"/>
      <c r="G80" s="266"/>
      <c r="H80" s="17" t="n">
        <f aca="false">D80-G80</f>
        <v>0</v>
      </c>
      <c r="I80" s="263"/>
    </row>
    <row r="81" customFormat="false" ht="18.6" hidden="false" customHeight="true" outlineLevel="0" collapsed="false">
      <c r="A81" s="370"/>
      <c r="B81" s="293"/>
      <c r="C81" s="12"/>
      <c r="D81" s="264"/>
      <c r="E81" s="14"/>
      <c r="F81" s="267"/>
      <c r="G81" s="266"/>
      <c r="H81" s="17" t="n">
        <f aca="false">D81-G81</f>
        <v>0</v>
      </c>
      <c r="I81" s="263"/>
    </row>
    <row r="82" customFormat="false" ht="18.6" hidden="false" customHeight="true" outlineLevel="0" collapsed="false">
      <c r="A82" s="370"/>
      <c r="B82" s="318"/>
      <c r="C82" s="319"/>
      <c r="D82" s="264"/>
      <c r="E82" s="14"/>
      <c r="F82" s="320"/>
      <c r="G82" s="266"/>
      <c r="H82" s="17" t="n">
        <f aca="false">D82-G82</f>
        <v>0</v>
      </c>
      <c r="I82" s="321"/>
    </row>
    <row r="83" customFormat="false" ht="18.6" hidden="false" customHeight="true" outlineLevel="0" collapsed="false">
      <c r="A83" s="370"/>
      <c r="B83" s="318"/>
      <c r="C83" s="319"/>
      <c r="D83" s="264"/>
      <c r="E83" s="14"/>
      <c r="F83" s="320"/>
      <c r="G83" s="266"/>
      <c r="H83" s="17" t="n">
        <f aca="false">D83-G83</f>
        <v>0</v>
      </c>
      <c r="I83" s="321"/>
    </row>
    <row r="84" customFormat="false" ht="18.6" hidden="false" customHeight="true" outlineLevel="0" collapsed="false">
      <c r="A84" s="370"/>
      <c r="B84" s="318"/>
      <c r="C84" s="319"/>
      <c r="D84" s="264"/>
      <c r="E84" s="14"/>
      <c r="F84" s="320"/>
      <c r="G84" s="266"/>
      <c r="H84" s="17" t="n">
        <f aca="false">D84-G84</f>
        <v>0</v>
      </c>
      <c r="I84" s="321"/>
    </row>
    <row r="85" customFormat="false" ht="18.6" hidden="false" customHeight="true" outlineLevel="0" collapsed="false">
      <c r="A85" s="370"/>
      <c r="B85" s="318"/>
      <c r="C85" s="319"/>
      <c r="D85" s="264"/>
      <c r="E85" s="14"/>
      <c r="F85" s="320"/>
      <c r="G85" s="266"/>
      <c r="H85" s="17" t="n">
        <f aca="false">D85-G85</f>
        <v>0</v>
      </c>
      <c r="I85" s="321"/>
    </row>
    <row r="86" customFormat="false" ht="20.25" hidden="false" customHeight="true" outlineLevel="0" collapsed="false">
      <c r="A86" s="370"/>
      <c r="B86" s="318"/>
      <c r="C86" s="319"/>
      <c r="D86" s="264"/>
      <c r="E86" s="14"/>
      <c r="F86" s="320"/>
      <c r="G86" s="266"/>
      <c r="H86" s="17" t="n">
        <f aca="false">D86-G86</f>
        <v>0</v>
      </c>
      <c r="I86" s="321"/>
    </row>
    <row r="87" customFormat="false" ht="20.25" hidden="false" customHeight="true" outlineLevel="0" collapsed="false">
      <c r="A87" s="370"/>
      <c r="B87" s="318"/>
      <c r="C87" s="319"/>
      <c r="D87" s="264"/>
      <c r="E87" s="14"/>
      <c r="F87" s="320"/>
      <c r="G87" s="266"/>
      <c r="H87" s="17" t="n">
        <f aca="false">D87-G87</f>
        <v>0</v>
      </c>
      <c r="I87" s="321"/>
    </row>
    <row r="88" customFormat="false" ht="20.25" hidden="false" customHeight="true" outlineLevel="0" collapsed="false">
      <c r="A88" s="370"/>
      <c r="B88" s="318"/>
      <c r="C88" s="319"/>
      <c r="D88" s="264"/>
      <c r="E88" s="14"/>
      <c r="F88" s="320"/>
      <c r="G88" s="268"/>
      <c r="H88" s="17" t="n">
        <f aca="false">D88-G88</f>
        <v>0</v>
      </c>
      <c r="I88" s="321"/>
    </row>
    <row r="89" customFormat="false" ht="20.25" hidden="false" customHeight="true" outlineLevel="0" collapsed="false">
      <c r="A89" s="370"/>
      <c r="B89" s="318"/>
      <c r="C89" s="319"/>
      <c r="D89" s="264"/>
      <c r="E89" s="14"/>
      <c r="F89" s="320"/>
      <c r="G89" s="268"/>
      <c r="H89" s="17" t="n">
        <f aca="false">D89-G89</f>
        <v>0</v>
      </c>
      <c r="I89" s="321"/>
    </row>
    <row r="90" customFormat="false" ht="20.25" hidden="false" customHeight="true" outlineLevel="0" collapsed="false">
      <c r="A90" s="370"/>
      <c r="B90" s="318"/>
      <c r="C90" s="319"/>
      <c r="D90" s="264"/>
      <c r="E90" s="14"/>
      <c r="F90" s="320"/>
      <c r="G90" s="268"/>
      <c r="H90" s="17" t="n">
        <f aca="false">D90-G90</f>
        <v>0</v>
      </c>
      <c r="I90" s="324"/>
    </row>
    <row r="91" customFormat="false" ht="20.25" hidden="false" customHeight="true" outlineLevel="0" collapsed="false">
      <c r="A91" s="370"/>
      <c r="B91" s="318"/>
      <c r="C91" s="319"/>
      <c r="D91" s="264"/>
      <c r="E91" s="14"/>
      <c r="F91" s="320"/>
      <c r="G91" s="268"/>
      <c r="H91" s="17" t="n">
        <f aca="false">D91-G91</f>
        <v>0</v>
      </c>
      <c r="I91" s="321"/>
    </row>
    <row r="92" customFormat="false" ht="20.25" hidden="false" customHeight="true" outlineLevel="0" collapsed="false">
      <c r="A92" s="370"/>
      <c r="B92" s="318"/>
      <c r="C92" s="319"/>
      <c r="D92" s="264"/>
      <c r="E92" s="14"/>
      <c r="F92" s="320"/>
      <c r="G92" s="268"/>
      <c r="H92" s="17" t="n">
        <f aca="false">D92-G92</f>
        <v>0</v>
      </c>
      <c r="I92" s="324"/>
    </row>
    <row r="93" customFormat="false" ht="20.25" hidden="false" customHeight="true" outlineLevel="0" collapsed="false">
      <c r="A93" s="370"/>
      <c r="B93" s="318"/>
      <c r="C93" s="319"/>
      <c r="D93" s="264"/>
      <c r="E93" s="326"/>
      <c r="F93" s="320"/>
      <c r="G93" s="268"/>
      <c r="H93" s="17" t="n">
        <f aca="false">D93-G93</f>
        <v>0</v>
      </c>
      <c r="I93" s="324"/>
    </row>
    <row r="94" customFormat="false" ht="20.25" hidden="false" customHeight="true" outlineLevel="0" collapsed="false">
      <c r="A94" s="370"/>
      <c r="B94" s="293"/>
      <c r="C94" s="12"/>
      <c r="D94" s="264"/>
      <c r="E94" s="14"/>
      <c r="F94" s="267"/>
      <c r="G94" s="268"/>
      <c r="H94" s="17" t="n">
        <f aca="false">D94-G94</f>
        <v>0</v>
      </c>
      <c r="I94" s="263"/>
    </row>
    <row r="95" customFormat="false" ht="20.25" hidden="false" customHeight="true" outlineLevel="0" collapsed="false">
      <c r="A95" s="370"/>
      <c r="B95" s="318"/>
      <c r="C95" s="319"/>
      <c r="D95" s="264"/>
      <c r="E95" s="233"/>
      <c r="F95" s="320"/>
      <c r="G95" s="268"/>
      <c r="H95" s="17" t="n">
        <f aca="false">D95-G95</f>
        <v>0</v>
      </c>
      <c r="I95" s="324"/>
    </row>
    <row r="96" customFormat="false" ht="20.25" hidden="false" customHeight="true" outlineLevel="0" collapsed="false">
      <c r="A96" s="370"/>
      <c r="B96" s="318"/>
      <c r="C96" s="319"/>
      <c r="D96" s="264"/>
      <c r="E96" s="326"/>
      <c r="F96" s="320"/>
      <c r="G96" s="268"/>
      <c r="H96" s="17"/>
      <c r="I96" s="321"/>
    </row>
    <row r="97" customFormat="false" ht="20.25" hidden="false" customHeight="true" outlineLevel="0" collapsed="false">
      <c r="A97" s="370"/>
      <c r="B97" s="318"/>
      <c r="C97" s="319"/>
      <c r="D97" s="264"/>
      <c r="E97" s="326"/>
      <c r="F97" s="320"/>
      <c r="G97" s="268"/>
      <c r="H97" s="17" t="n">
        <f aca="false">D97-G97</f>
        <v>0</v>
      </c>
      <c r="I97" s="321"/>
    </row>
    <row r="98" customFormat="false" ht="20.25" hidden="false" customHeight="true" outlineLevel="0" collapsed="false">
      <c r="A98" s="370"/>
      <c r="B98" s="318"/>
      <c r="C98" s="319"/>
      <c r="D98" s="264"/>
      <c r="E98" s="326"/>
      <c r="F98" s="320"/>
      <c r="G98" s="268"/>
      <c r="H98" s="17" t="n">
        <f aca="false">D98-G98</f>
        <v>0</v>
      </c>
      <c r="I98" s="321"/>
    </row>
    <row r="99" customFormat="false" ht="18.6" hidden="false" customHeight="true" outlineLevel="0" collapsed="false">
      <c r="A99" s="370"/>
      <c r="B99" s="307" t="s">
        <v>35</v>
      </c>
      <c r="C99" s="308"/>
      <c r="D99" s="309" t="n">
        <f aca="false">SUM(D70:D98)</f>
        <v>65455.18</v>
      </c>
      <c r="E99" s="310"/>
      <c r="F99" s="311"/>
      <c r="G99" s="312"/>
      <c r="H99" s="291" t="n">
        <f aca="false">+SUM(H70:H90)</f>
        <v>65455.18</v>
      </c>
      <c r="I99" s="292"/>
    </row>
    <row r="100" customFormat="false" ht="21" hidden="false" customHeight="true" outlineLevel="0" collapsed="false">
      <c r="A100" s="327"/>
      <c r="B100" s="31"/>
      <c r="C100" s="32"/>
      <c r="D100" s="33"/>
      <c r="E100" s="34"/>
    </row>
    <row r="101" customFormat="false" ht="21" hidden="false" customHeight="true" outlineLevel="0" collapsed="false">
      <c r="A101" s="327" t="s">
        <v>388</v>
      </c>
      <c r="B101" s="31"/>
      <c r="C101" s="32"/>
      <c r="D101" s="328" t="n">
        <f aca="false">+SUM(D99+D69+D28)</f>
        <v>145572.44</v>
      </c>
      <c r="H101" s="328" t="n">
        <f aca="false">+SUM(H99+H69+H28)</f>
        <v>105472.84</v>
      </c>
    </row>
  </sheetData>
  <mergeCells count="7">
    <mergeCell ref="A2:A27"/>
    <mergeCell ref="K8:M8"/>
    <mergeCell ref="K10:L10"/>
    <mergeCell ref="K13:M13"/>
    <mergeCell ref="K16:M16"/>
    <mergeCell ref="A29:A69"/>
    <mergeCell ref="A70:A99"/>
  </mergeCells>
  <conditionalFormatting sqref="C70:E70 C19:E19 B23 I12:I13 B2:I2 B73:D74 B77:D77 B82:D92 F82:G92 B93:G99 B71:E72 B53:G53 B68:G69 B78:G81 F3:F23 G3:G19 I3:I10 B3:E18 H3:H27 B60:G61 I70:I99 H29:H44 B41:G41 I43 B46:G46 I46 B48:G48 I48 C75:D76 B42:E43 G42:G43 F70:G77 I60:I65 I68 H46:H68 H70:H98 B63:G65 E62:G62">
    <cfRule type="expression" priority="2" aboveAverage="0" equalAverage="0" bottom="0" percent="0" rank="0" text="" dxfId="916">
      <formula>MOD(ROW(),2)=1</formula>
    </cfRule>
  </conditionalFormatting>
  <conditionalFormatting sqref="F2:G11">
    <cfRule type="timePeriod" priority="3" timePeriod="yesterday" dxfId="917"/>
    <cfRule type="timePeriod" priority="4" timePeriod="today" dxfId="918"/>
    <cfRule type="cellIs" priority="5" operator="lessThan" aboveAverage="0" equalAverage="0" bottom="0" percent="0" rank="0" text="" dxfId="919">
      <formula>_xludf.today()</formula>
    </cfRule>
  </conditionalFormatting>
  <conditionalFormatting sqref="F20:F23 F53:G53 F2:G19 F60:G65 F41:G41 F46:G46 F48:G48 G42:G43 F68:G99">
    <cfRule type="cellIs" priority="6" operator="lessThan" aboveAverage="0" equalAverage="0" bottom="0" percent="0" rank="0" text="" dxfId="920">
      <formula>TODAY()</formula>
    </cfRule>
    <cfRule type="timePeriod" priority="7" timePeriod="last7Days" dxfId="921"/>
    <cfRule type="timePeriod" priority="8" timePeriod="yesterday" dxfId="922"/>
    <cfRule type="timePeriod" priority="9" timePeriod="lastMonth" dxfId="923"/>
    <cfRule type="timePeriod" priority="10" timePeriod="yesterday" dxfId="924"/>
    <cfRule type="timePeriod" priority="11" timePeriod="today" dxfId="925"/>
  </conditionalFormatting>
  <conditionalFormatting sqref="B70">
    <cfRule type="expression" priority="12" aboveAverage="0" equalAverage="0" bottom="0" percent="0" rank="0" text="" dxfId="926">
      <formula>MOD(ROW(),2)=1</formula>
    </cfRule>
  </conditionalFormatting>
  <conditionalFormatting sqref="F12:G12">
    <cfRule type="timePeriod" priority="13" timePeriod="yesterday" dxfId="927"/>
    <cfRule type="timePeriod" priority="14" timePeriod="today" dxfId="928"/>
    <cfRule type="cellIs" priority="15" operator="lessThan" aboveAverage="0" equalAverage="0" bottom="0" percent="0" rank="0" text="" dxfId="929">
      <formula>_xludf.today()</formula>
    </cfRule>
  </conditionalFormatting>
  <conditionalFormatting sqref="F13:G13">
    <cfRule type="timePeriod" priority="16" timePeriod="yesterday" dxfId="930"/>
    <cfRule type="timePeriod" priority="17" timePeriod="today" dxfId="931"/>
    <cfRule type="cellIs" priority="18" operator="lessThan" aboveAverage="0" equalAverage="0" bottom="0" percent="0" rank="0" text="" dxfId="932">
      <formula>_xludf.today()</formula>
    </cfRule>
  </conditionalFormatting>
  <conditionalFormatting sqref="B20:G23 B24:C24 F24:G24">
    <cfRule type="expression" priority="19" aboveAverage="0" equalAverage="0" bottom="0" percent="0" rank="0" text="" dxfId="933">
      <formula>MOD(ROW(),2)=1</formula>
    </cfRule>
  </conditionalFormatting>
  <conditionalFormatting sqref="F20:G24">
    <cfRule type="cellIs" priority="20" operator="lessThan" aboveAverage="0" equalAverage="0" bottom="0" percent="0" rank="0" text="" dxfId="934">
      <formula>TODAY()</formula>
    </cfRule>
    <cfRule type="timePeriod" priority="21" timePeriod="last7Days" dxfId="935"/>
    <cfRule type="timePeriod" priority="22" timePeriod="yesterday" dxfId="936"/>
    <cfRule type="timePeriod" priority="23" timePeriod="lastMonth" dxfId="937"/>
    <cfRule type="timePeriod" priority="24" timePeriod="yesterday" dxfId="938"/>
    <cfRule type="timePeriod" priority="25" timePeriod="today" dxfId="939"/>
  </conditionalFormatting>
  <conditionalFormatting sqref="B25:G27">
    <cfRule type="expression" priority="26" aboveAverage="0" equalAverage="0" bottom="0" percent="0" rank="0" text="" dxfId="940">
      <formula>MOD(ROW(),2)=1</formula>
    </cfRule>
  </conditionalFormatting>
  <conditionalFormatting sqref="F25:G27">
    <cfRule type="cellIs" priority="27" operator="lessThan" aboveAverage="0" equalAverage="0" bottom="0" percent="0" rank="0" text="" dxfId="941">
      <formula>TODAY()</formula>
    </cfRule>
    <cfRule type="timePeriod" priority="28" timePeriod="last7Days" dxfId="942"/>
    <cfRule type="timePeriod" priority="29" timePeriod="yesterday" dxfId="943"/>
    <cfRule type="timePeriod" priority="30" timePeriod="lastMonth" dxfId="944"/>
    <cfRule type="timePeriod" priority="31" timePeriod="yesterday" dxfId="945"/>
    <cfRule type="timePeriod" priority="32" timePeriod="today" dxfId="946"/>
  </conditionalFormatting>
  <conditionalFormatting sqref="I14:I24">
    <cfRule type="expression" priority="33" aboveAverage="0" equalAverage="0" bottom="0" percent="0" rank="0" text="" dxfId="947">
      <formula>MOD(ROW(),2)=1</formula>
    </cfRule>
  </conditionalFormatting>
  <conditionalFormatting sqref="B75:B76">
    <cfRule type="expression" priority="35" aboveAverage="0" equalAverage="0" bottom="0" percent="0" rank="0" text="" dxfId="948">
      <formula>MOD(ROW(),2)=1</formula>
    </cfRule>
  </conditionalFormatting>
  <conditionalFormatting sqref="E76">
    <cfRule type="expression" priority="36" aboveAverage="0" equalAverage="0" bottom="0" percent="0" rank="0" text="" dxfId="949">
      <formula>MOD(ROW(),2)=1</formula>
    </cfRule>
  </conditionalFormatting>
  <conditionalFormatting sqref="F13:F14">
    <cfRule type="timePeriod" priority="37" timePeriod="yesterday" dxfId="950"/>
    <cfRule type="timePeriod" priority="38" timePeriod="today" dxfId="951"/>
    <cfRule type="cellIs" priority="39" operator="lessThan" aboveAverage="0" equalAverage="0" bottom="0" percent="0" rank="0" text="" dxfId="952">
      <formula>_xludf.today()</formula>
    </cfRule>
  </conditionalFormatting>
  <conditionalFormatting sqref="F15">
    <cfRule type="timePeriod" priority="40" timePeriod="yesterday" dxfId="953"/>
    <cfRule type="timePeriod" priority="41" timePeriod="today" dxfId="954"/>
    <cfRule type="cellIs" priority="42" operator="lessThan" aboveAverage="0" equalAverage="0" bottom="0" percent="0" rank="0" text="" dxfId="955">
      <formula>_xludf.today()</formula>
    </cfRule>
  </conditionalFormatting>
  <conditionalFormatting sqref="F18">
    <cfRule type="timePeriod" priority="43" timePeriod="yesterday" dxfId="956"/>
    <cfRule type="timePeriod" priority="44" timePeriod="today" dxfId="957"/>
    <cfRule type="cellIs" priority="45" operator="lessThan" aboveAverage="0" equalAverage="0" bottom="0" percent="0" rank="0" text="" dxfId="958">
      <formula>_xludf.today()</formula>
    </cfRule>
  </conditionalFormatting>
  <conditionalFormatting sqref="B19">
    <cfRule type="expression" priority="46" aboveAverage="0" equalAverage="0" bottom="0" percent="0" rank="0" text="" dxfId="959">
      <formula>MOD(ROW(),2)=1</formula>
    </cfRule>
  </conditionalFormatting>
  <conditionalFormatting sqref="B19">
    <cfRule type="expression" priority="47" aboveAverage="0" equalAverage="0" bottom="0" percent="0" rank="0" text="" dxfId="960">
      <formula>MOD(ROW(),2)=1</formula>
    </cfRule>
  </conditionalFormatting>
  <conditionalFormatting sqref="B20:B22">
    <cfRule type="expression" priority="48" aboveAverage="0" equalAverage="0" bottom="0" percent="0" rank="0" text="" dxfId="961">
      <formula>MOD(ROW(),2)=1</formula>
    </cfRule>
  </conditionalFormatting>
  <conditionalFormatting sqref="I69">
    <cfRule type="expression" priority="49" aboveAverage="0" equalAverage="0" bottom="0" percent="0" rank="0" text="" dxfId="962">
      <formula>MOD(ROW(),2)=1</formula>
    </cfRule>
  </conditionalFormatting>
  <conditionalFormatting sqref="I69">
    <cfRule type="expression" priority="51" aboveAverage="0" equalAverage="0" bottom="0" percent="0" rank="0" text="" dxfId="963">
      <formula>MOD(ROW(),2)=1</formula>
    </cfRule>
  </conditionalFormatting>
  <conditionalFormatting sqref="H69">
    <cfRule type="expression" priority="52" aboveAverage="0" equalAverage="0" bottom="0" percent="0" rank="0" text="" dxfId="964">
      <formula>MOD(ROW(),2)=1</formula>
    </cfRule>
  </conditionalFormatting>
  <conditionalFormatting sqref="H99">
    <cfRule type="expression" priority="53" aboveAverage="0" equalAverage="0" bottom="0" percent="0" rank="0" text="" dxfId="965">
      <formula>MOD(ROW(),2)=1</formula>
    </cfRule>
  </conditionalFormatting>
  <conditionalFormatting sqref="I25:I27">
    <cfRule type="expression" priority="54" aboveAverage="0" equalAverage="0" bottom="0" percent="0" rank="0" text="" dxfId="966">
      <formula>MOD(ROW(),2)=1</formula>
    </cfRule>
  </conditionalFormatting>
  <conditionalFormatting sqref="I11">
    <cfRule type="expression" priority="56" aboveAverage="0" equalAverage="0" bottom="0" percent="0" rank="0" text="" dxfId="967">
      <formula>MOD(ROW(),2)=1</formula>
    </cfRule>
  </conditionalFormatting>
  <conditionalFormatting sqref="D29:G29 D32:E33 D36:E37 D40:G40 D51:E52 D54:E55 D58:E59 G58:G59 G54:G55 G51:G52 G36:G37 G32:G33">
    <cfRule type="expression" priority="58" aboveAverage="0" equalAverage="0" bottom="0" percent="0" rank="0" text="" dxfId="968">
      <formula>MOD(ROW(),2)=1</formula>
    </cfRule>
  </conditionalFormatting>
  <conditionalFormatting sqref="F29:G29 G32:G33 G36:G37 F40:G40 G51:G52 G54:G55 G58:G59">
    <cfRule type="cellIs" priority="59" operator="lessThan" aboveAverage="0" equalAverage="0" bottom="0" percent="0" rank="0" text="" dxfId="969">
      <formula>TODAY()</formula>
    </cfRule>
    <cfRule type="timePeriod" priority="60" timePeriod="last7Days" dxfId="970"/>
    <cfRule type="timePeriod" priority="61" timePeriod="yesterday" dxfId="971"/>
    <cfRule type="timePeriod" priority="62" timePeriod="lastMonth" dxfId="972"/>
    <cfRule type="timePeriod" priority="63" timePeriod="yesterday" dxfId="973"/>
    <cfRule type="timePeriod" priority="64" timePeriod="today" dxfId="974"/>
  </conditionalFormatting>
  <conditionalFormatting sqref="B30:G30 B34:E35 B39:G39 B44:E44 B47:G47 B49:E50 B56:E57 B29:C29 B32:C33 B36:C37 B40:C40 B51:C52 B54:C55 B58:C59 G56:G57 G49:G50 B38:E38 G38 G34:G35 B31:E31 G31 G44">
    <cfRule type="expression" priority="65" aboveAverage="0" equalAverage="0" bottom="0" percent="0" rank="0" text="" dxfId="975">
      <formula>MOD(ROW(),2)=1</formula>
    </cfRule>
  </conditionalFormatting>
  <conditionalFormatting sqref="F30:G30 G34:G35 F39:G39 G44 F47:G47 G49:G50 G56:G57 G38 G31">
    <cfRule type="cellIs" priority="66" operator="lessThan" aboveAverage="0" equalAverage="0" bottom="0" percent="0" rank="0" text="" dxfId="976">
      <formula>TODAY()</formula>
    </cfRule>
    <cfRule type="timePeriod" priority="67" timePeriod="last7Days" dxfId="977"/>
    <cfRule type="timePeriod" priority="68" timePeriod="yesterday" dxfId="978"/>
    <cfRule type="timePeriod" priority="69" timePeriod="lastMonth" dxfId="979"/>
    <cfRule type="timePeriod" priority="70" timePeriod="yesterday" dxfId="980"/>
    <cfRule type="timePeriod" priority="71" timePeriod="today" dxfId="981"/>
  </conditionalFormatting>
  <conditionalFormatting sqref="I30 I34 I38 I41 I44 I47 I49 I94">
    <cfRule type="expression" priority="72" aboveAverage="0" equalAverage="0" bottom="0" percent="0" rank="0" text="" dxfId="982">
      <formula>MOD(ROW(),2)=1</formula>
    </cfRule>
  </conditionalFormatting>
  <conditionalFormatting sqref="I31 I35 I39 I42 I45 I50 I53 I57">
    <cfRule type="expression" priority="73" aboveAverage="0" equalAverage="0" bottom="0" percent="0" rank="0" text="" dxfId="983">
      <formula>MOD(ROW(),2)=1</formula>
    </cfRule>
  </conditionalFormatting>
  <conditionalFormatting sqref="I29 I32:I33 I36:I37 I40 I51:I52 I54:I55 I58:I59">
    <cfRule type="expression" priority="74" aboveAverage="0" equalAverage="0" bottom="0" percent="0" rank="0" text="" dxfId="984">
      <formula>MOD(ROW(),2)=1</formula>
    </cfRule>
  </conditionalFormatting>
  <conditionalFormatting sqref="E73:E75">
    <cfRule type="expression" priority="75" aboveAverage="0" equalAverage="0" bottom="0" percent="0" rank="0" text="" dxfId="985">
      <formula>MOD(ROW(),2)=1</formula>
    </cfRule>
  </conditionalFormatting>
  <conditionalFormatting sqref="E77 E82:E92">
    <cfRule type="expression" priority="76" aboveAverage="0" equalAverage="0" bottom="0" percent="0" rank="0" text="" dxfId="986">
      <formula>MOD(ROW(),2)=1</formula>
    </cfRule>
  </conditionalFormatting>
  <conditionalFormatting sqref="D24">
    <cfRule type="expression" priority="77" aboveAverage="0" equalAverage="0" bottom="0" percent="0" rank="0" text="" dxfId="987">
      <formula>MOD(ROW(),2)=1</formula>
    </cfRule>
  </conditionalFormatting>
  <conditionalFormatting sqref="E24">
    <cfRule type="expression" priority="78" aboveAverage="0" equalAverage="0" bottom="0" percent="0" rank="0" text="" dxfId="988">
      <formula>MOD(ROW(),2)=1</formula>
    </cfRule>
  </conditionalFormatting>
  <conditionalFormatting sqref="H45">
    <cfRule type="expression" priority="79" aboveAverage="0" equalAverage="0" bottom="0" percent="0" rank="0" text="" dxfId="989">
      <formula>MOD(ROW(),2)=1</formula>
    </cfRule>
  </conditionalFormatting>
  <conditionalFormatting sqref="B45:G45">
    <cfRule type="expression" priority="80" aboveAverage="0" equalAverage="0" bottom="0" percent="0" rank="0" text="" dxfId="990">
      <formula>MOD(ROW(),2)=1</formula>
    </cfRule>
  </conditionalFormatting>
  <conditionalFormatting sqref="F45:G45">
    <cfRule type="cellIs" priority="81" operator="lessThan" aboveAverage="0" equalAverage="0" bottom="0" percent="0" rank="0" text="" dxfId="991">
      <formula>TODAY()</formula>
    </cfRule>
    <cfRule type="timePeriod" priority="82" timePeriod="last7Days" dxfId="992"/>
    <cfRule type="timePeriod" priority="83" timePeriod="yesterday" dxfId="993"/>
    <cfRule type="timePeriod" priority="84" timePeriod="lastMonth" dxfId="994"/>
    <cfRule type="timePeriod" priority="85" timePeriod="yesterday" dxfId="995"/>
    <cfRule type="timePeriod" priority="86" timePeriod="today" dxfId="996"/>
  </conditionalFormatting>
  <conditionalFormatting sqref="B66:G66">
    <cfRule type="expression" priority="87" aboveAverage="0" equalAverage="0" bottom="0" percent="0" rank="0" text="" dxfId="997">
      <formula>MOD(ROW(),2)=1</formula>
    </cfRule>
  </conditionalFormatting>
  <conditionalFormatting sqref="F66:G66">
    <cfRule type="cellIs" priority="88" operator="lessThan" aboveAverage="0" equalAverage="0" bottom="0" percent="0" rank="0" text="" dxfId="998">
      <formula>TODAY()</formula>
    </cfRule>
    <cfRule type="timePeriod" priority="89" timePeriod="last7Days" dxfId="999"/>
    <cfRule type="timePeriod" priority="90" timePeriod="yesterday" dxfId="1000"/>
    <cfRule type="timePeriod" priority="91" timePeriod="lastMonth" dxfId="1001"/>
    <cfRule type="timePeriod" priority="92" timePeriod="yesterday" dxfId="1002"/>
    <cfRule type="timePeriod" priority="93" timePeriod="today" dxfId="1003"/>
  </conditionalFormatting>
  <conditionalFormatting sqref="I66">
    <cfRule type="expression" priority="94" aboveAverage="0" equalAverage="0" bottom="0" percent="0" rank="0" text="" dxfId="1004">
      <formula>MOD(ROW(),2)=1</formula>
    </cfRule>
  </conditionalFormatting>
  <conditionalFormatting sqref="B67:D67 F67:G67 I67">
    <cfRule type="expression" priority="96" aboveAverage="0" equalAverage="0" bottom="0" percent="0" rank="0" text="" dxfId="1005">
      <formula>MOD(ROW(),2)=1</formula>
    </cfRule>
  </conditionalFormatting>
  <conditionalFormatting sqref="F67:G67">
    <cfRule type="cellIs" priority="97" operator="lessThan" aboveAverage="0" equalAverage="0" bottom="0" percent="0" rank="0" text="" dxfId="1006">
      <formula>TODAY()</formula>
    </cfRule>
    <cfRule type="timePeriod" priority="98" timePeriod="last7Days" dxfId="1007"/>
    <cfRule type="timePeriod" priority="99" timePeriod="yesterday" dxfId="1008"/>
    <cfRule type="timePeriod" priority="100" timePeriod="lastMonth" dxfId="1009"/>
    <cfRule type="timePeriod" priority="101" timePeriod="yesterday" dxfId="1010"/>
    <cfRule type="timePeriod" priority="102" timePeriod="today" dxfId="1011"/>
  </conditionalFormatting>
  <conditionalFormatting sqref="E67">
    <cfRule type="expression" priority="103" aboveAverage="0" equalAverage="0" bottom="0" percent="0" rank="0" text="" dxfId="1012">
      <formula>MOD(ROW(),2)=1</formula>
    </cfRule>
  </conditionalFormatting>
  <conditionalFormatting sqref="B28:G28">
    <cfRule type="expression" priority="104" aboveAverage="0" equalAverage="0" bottom="0" percent="0" rank="0" text="" dxfId="1013">
      <formula>MOD(ROW(),2)=1</formula>
    </cfRule>
  </conditionalFormatting>
  <conditionalFormatting sqref="F28:G28">
    <cfRule type="cellIs" priority="105" operator="lessThan" aboveAverage="0" equalAverage="0" bottom="0" percent="0" rank="0" text="" dxfId="1014">
      <formula>TODAY()</formula>
    </cfRule>
    <cfRule type="timePeriod" priority="106" timePeriod="last7Days" dxfId="1015"/>
    <cfRule type="timePeriod" priority="107" timePeriod="yesterday" dxfId="1016"/>
    <cfRule type="timePeriod" priority="108" timePeriod="lastMonth" dxfId="1017"/>
    <cfRule type="timePeriod" priority="109" timePeriod="yesterday" dxfId="1018"/>
    <cfRule type="timePeriod" priority="110" timePeriod="today" dxfId="1019"/>
  </conditionalFormatting>
  <conditionalFormatting sqref="I28">
    <cfRule type="expression" priority="111" aboveAverage="0" equalAverage="0" bottom="0" percent="0" rank="0" text="" dxfId="1020">
      <formula>MOD(ROW(),2)=1</formula>
    </cfRule>
  </conditionalFormatting>
  <conditionalFormatting sqref="I28">
    <cfRule type="expression" priority="113" aboveAverage="0" equalAverage="0" bottom="0" percent="0" rank="0" text="" dxfId="1021">
      <formula>MOD(ROW(),2)=1</formula>
    </cfRule>
  </conditionalFormatting>
  <conditionalFormatting sqref="H28">
    <cfRule type="expression" priority="114" aboveAverage="0" equalAverage="0" bottom="0" percent="0" rank="0" text="" dxfId="1022">
      <formula>MOD(ROW(),2)=1</formula>
    </cfRule>
  </conditionalFormatting>
  <conditionalFormatting sqref="I56">
    <cfRule type="expression" priority="115" aboveAverage="0" equalAverage="0" bottom="0" percent="0" rank="0" text="" dxfId="1023">
      <formula>MOD(ROW(),2)=1</formula>
    </cfRule>
  </conditionalFormatting>
  <conditionalFormatting sqref="F54:F59">
    <cfRule type="expression" priority="117" aboveAverage="0" equalAverage="0" bottom="0" percent="0" rank="0" text="" dxfId="1024">
      <formula>MOD(ROW(),2)=1</formula>
    </cfRule>
  </conditionalFormatting>
  <conditionalFormatting sqref="F54:F59">
    <cfRule type="cellIs" priority="118" operator="lessThan" aboveAverage="0" equalAverage="0" bottom="0" percent="0" rank="0" text="" dxfId="1025">
      <formula>TODAY()</formula>
    </cfRule>
    <cfRule type="timePeriod" priority="119" timePeriod="last7Days" dxfId="1026"/>
    <cfRule type="timePeriod" priority="120" timePeriod="yesterday" dxfId="1027"/>
    <cfRule type="timePeriod" priority="121" timePeriod="lastMonth" dxfId="1028"/>
    <cfRule type="timePeriod" priority="122" timePeriod="yesterday" dxfId="1029"/>
    <cfRule type="timePeriod" priority="123" timePeriod="today" dxfId="1030"/>
  </conditionalFormatting>
  <conditionalFormatting sqref="F49:F52">
    <cfRule type="expression" priority="124" aboveAverage="0" equalAverage="0" bottom="0" percent="0" rank="0" text="" dxfId="1031">
      <formula>MOD(ROW(),2)=1</formula>
    </cfRule>
  </conditionalFormatting>
  <conditionalFormatting sqref="F49:F52">
    <cfRule type="cellIs" priority="125" operator="lessThan" aboveAverage="0" equalAverage="0" bottom="0" percent="0" rank="0" text="" dxfId="1032">
      <formula>TODAY()</formula>
    </cfRule>
    <cfRule type="timePeriod" priority="126" timePeriod="last7Days" dxfId="1033"/>
    <cfRule type="timePeriod" priority="127" timePeriod="yesterday" dxfId="1034"/>
    <cfRule type="timePeriod" priority="128" timePeriod="lastMonth" dxfId="1035"/>
    <cfRule type="timePeriod" priority="129" timePeriod="yesterday" dxfId="1036"/>
    <cfRule type="timePeriod" priority="130" timePeriod="today" dxfId="1037"/>
  </conditionalFormatting>
  <conditionalFormatting sqref="F31:F38">
    <cfRule type="expression" priority="131" aboveAverage="0" equalAverage="0" bottom="0" percent="0" rank="0" text="" dxfId="1038">
      <formula>MOD(ROW(),2)=1</formula>
    </cfRule>
  </conditionalFormatting>
  <conditionalFormatting sqref="F31:F38">
    <cfRule type="cellIs" priority="132" operator="lessThan" aboveAverage="0" equalAverage="0" bottom="0" percent="0" rank="0" text="" dxfId="1039">
      <formula>TODAY()</formula>
    </cfRule>
    <cfRule type="timePeriod" priority="133" timePeriod="last7Days" dxfId="1040"/>
    <cfRule type="timePeriod" priority="134" timePeriod="yesterday" dxfId="1041"/>
    <cfRule type="timePeriod" priority="135" timePeriod="lastMonth" dxfId="1042"/>
    <cfRule type="timePeriod" priority="136" timePeriod="yesterday" dxfId="1043"/>
    <cfRule type="timePeriod" priority="137" timePeriod="today" dxfId="1044"/>
  </conditionalFormatting>
  <conditionalFormatting sqref="F42:F44">
    <cfRule type="expression" priority="138" aboveAverage="0" equalAverage="0" bottom="0" percent="0" rank="0" text="" dxfId="1045">
      <formula>MOD(ROW(),2)=1</formula>
    </cfRule>
  </conditionalFormatting>
  <conditionalFormatting sqref="F42:F44">
    <cfRule type="cellIs" priority="139" operator="lessThan" aboveAverage="0" equalAverage="0" bottom="0" percent="0" rank="0" text="" dxfId="1046">
      <formula>TODAY()</formula>
    </cfRule>
    <cfRule type="timePeriod" priority="140" timePeriod="last7Days" dxfId="1047"/>
    <cfRule type="timePeriod" priority="141" timePeriod="yesterday" dxfId="1048"/>
    <cfRule type="timePeriod" priority="142" timePeriod="lastMonth" dxfId="1049"/>
    <cfRule type="timePeriod" priority="143" timePeriod="yesterday" dxfId="1050"/>
    <cfRule type="timePeriod" priority="144" timePeriod="today" dxfId="1051"/>
  </conditionalFormatting>
  <conditionalFormatting sqref="B62:D62">
    <cfRule type="expression" priority="145" aboveAverage="0" equalAverage="0" bottom="0" percent="0" rank="0" text="" dxfId="1052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17B861A0-8EA3-41B0-BDFE-36CEBF53ED2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I14:I24</xm:sqref>
        </x14:conditionalFormatting>
        <x14:conditionalFormatting xmlns:xm="http://schemas.microsoft.com/office/excel/2006/main">
          <x14:cfRule type="iconSet" priority="50" id="{39F73233-2BE5-4B85-B2A0-2BE0DB0046B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</xm:sqref>
        </x14:conditionalFormatting>
        <x14:conditionalFormatting xmlns:xm="http://schemas.microsoft.com/office/excel/2006/main">
          <x14:cfRule type="iconSet" priority="55" id="{4F7FAAA2-8CED-4640-B196-6FD2B34F4AE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I25:I27</xm:sqref>
        </x14:conditionalFormatting>
        <x14:conditionalFormatting xmlns:xm="http://schemas.microsoft.com/office/excel/2006/main">
          <x14:cfRule type="iconSet" priority="57" id="{7DE12CAF-C59A-428D-A45E-2A2E97614F4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95" id="{1DAAEC20-63D2-43D5-9DB3-D58D148758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112" id="{151520A0-A558-4100-A960-6221D81E82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116" id="{FB688DE0-ED70-43BE-B647-E1149BB0609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146" id="{4421914F-C571-4ED4-BE90-201C8ABB7F9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7" id="{A0F04D23-9658-4516-BB9F-AA7D4426D12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48" id="{D7F1BC9B-29E8-49F9-86F7-23615EADAC8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49" id="{5CAF5E71-807F-472E-86B0-D3CAA1BFE07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50" id="{7A3B8568-41B4-4445-A1E4-8C39208D90C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51" id="{AD394AD9-D0EC-473C-A9BB-57EBA8A9B1A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52" id="{F0C4375D-B54D-4711-B590-3955D0BE20F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53" id="{7AE078E9-96A0-4D77-914F-A7B82820854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154" id="{302045D0-661E-41A0-A6F4-BD7C50B74A7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55" id="{E21D5A56-878E-4C2F-B3DA-57FED031AA8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56" id="{FD91A396-AEAC-4130-BA74-4ABFB59F815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 I30 I34 I38 I41 I44 I47 I49</xm:sqref>
        </x14:conditionalFormatting>
        <x14:conditionalFormatting xmlns:xm="http://schemas.microsoft.com/office/excel/2006/main">
          <x14:cfRule type="iconSet" priority="157" id="{1E80EA58-E94B-49F3-8CA4-74D0B8D23F7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I82:I93 I77 I95:I99</xm:sqref>
        </x14:conditionalFormatting>
        <x14:conditionalFormatting xmlns:xm="http://schemas.microsoft.com/office/excel/2006/main">
          <x14:cfRule type="iconSet" priority="158" id="{3B8BCE4F-E4DD-4A74-967D-EA641C9578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I70:I76</xm:sqref>
        </x14:conditionalFormatting>
        <x14:conditionalFormatting xmlns:xm="http://schemas.microsoft.com/office/excel/2006/main">
          <x14:cfRule type="iconSet" priority="159" id="{30A8C0A1-276F-4381-BB87-7C439064107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 I48 I46 I43 I29 I32:I33 I36:I37 I40 I54:I55 I58:I62</xm:sqref>
        </x14:conditionalFormatting>
        <x14:conditionalFormatting xmlns:xm="http://schemas.microsoft.com/office/excel/2006/main">
          <x14:cfRule type="iconSet" priority="160" id="{F098C067-D3FA-467A-8AF3-D531D06A437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</xm:sqref>
        </x14:conditionalFormatting>
        <x14:conditionalFormatting xmlns:xm="http://schemas.microsoft.com/office/excel/2006/main">
          <x14:cfRule type="iconSet" priority="161" id="{2A9DF02E-56F9-47E1-89C9-7D7970702B2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 I45 I42 I31 I35 I39 I53 I57</xm:sqref>
        </x14:conditionalFormatting>
        <x14:conditionalFormatting xmlns:xm="http://schemas.microsoft.com/office/excel/2006/main">
          <x14:cfRule type="iconSet" priority="162" id="{121F2752-DB52-4AF0-AE80-C4551D7587A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I78:I81</xm:sqref>
        </x14:conditionalFormatting>
        <x14:conditionalFormatting xmlns:xm="http://schemas.microsoft.com/office/excel/2006/main">
          <x14:cfRule type="iconSet" priority="163" id="{B7E02050-CE00-48E4-88AB-7890E3C068E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5" activePane="bottomLeft" state="frozen"/>
      <selection pane="topLeft" activeCell="A1" activeCellId="0" sqref="A1"/>
      <selection pane="bottomLeft" activeCell="G87" activeCellId="0" sqref="G87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/>
      <c r="C2" s="12"/>
      <c r="D2" s="13"/>
      <c r="E2" s="14"/>
      <c r="F2" s="15"/>
      <c r="G2" s="16"/>
      <c r="H2" s="17" t="n">
        <f aca="false">D2-G2</f>
        <v>0</v>
      </c>
      <c r="I2" s="263"/>
    </row>
    <row r="3" customFormat="false" ht="18.6" hidden="false" customHeight="true" outlineLevel="0" collapsed="false">
      <c r="A3" s="261"/>
      <c r="B3" s="11"/>
      <c r="C3" s="12"/>
      <c r="D3" s="264"/>
      <c r="E3" s="14"/>
      <c r="F3" s="15"/>
      <c r="G3" s="16"/>
      <c r="H3" s="17" t="n">
        <f aca="false">D3-G3</f>
        <v>0</v>
      </c>
      <c r="I3" s="263"/>
    </row>
    <row r="4" customFormat="false" ht="18.6" hidden="false" customHeight="true" outlineLevel="0" collapsed="false">
      <c r="A4" s="261"/>
      <c r="B4" s="11"/>
      <c r="C4" s="12"/>
      <c r="D4" s="264"/>
      <c r="E4" s="14"/>
      <c r="F4" s="15"/>
      <c r="G4" s="16"/>
      <c r="H4" s="17" t="n">
        <f aca="false">D4-G4</f>
        <v>0</v>
      </c>
      <c r="I4" s="263"/>
      <c r="K4" s="18"/>
    </row>
    <row r="5" customFormat="false" ht="18.6" hidden="false" customHeight="true" outlineLevel="0" collapsed="false">
      <c r="A5" s="261"/>
      <c r="B5" s="11"/>
      <c r="C5" s="12"/>
      <c r="D5" s="264"/>
      <c r="E5" s="14"/>
      <c r="F5" s="15"/>
      <c r="G5" s="16"/>
      <c r="H5" s="17" t="n">
        <f aca="false">D5-G5</f>
        <v>0</v>
      </c>
      <c r="I5" s="263"/>
      <c r="K5" s="19"/>
    </row>
    <row r="6" customFormat="false" ht="18.6" hidden="false" customHeight="true" outlineLevel="0" collapsed="false">
      <c r="A6" s="261"/>
      <c r="B6" s="11"/>
      <c r="C6" s="12"/>
      <c r="D6" s="264"/>
      <c r="E6" s="14"/>
      <c r="F6" s="15"/>
      <c r="G6" s="16"/>
      <c r="H6" s="17" t="n">
        <f aca="false">D6-G6</f>
        <v>0</v>
      </c>
      <c r="I6" s="263"/>
      <c r="K6" s="487"/>
    </row>
    <row r="7" customFormat="false" ht="18.6" hidden="false" customHeight="true" outlineLevel="0" collapsed="false">
      <c r="A7" s="261"/>
      <c r="B7" s="11"/>
      <c r="C7" s="12"/>
      <c r="D7" s="264"/>
      <c r="E7" s="14"/>
      <c r="F7" s="15"/>
      <c r="G7" s="16"/>
      <c r="H7" s="17" t="n">
        <f aca="false">D7-G7</f>
        <v>0</v>
      </c>
      <c r="I7" s="263"/>
      <c r="K7" s="19"/>
    </row>
    <row r="8" customFormat="false" ht="18.6" hidden="false" customHeight="true" outlineLevel="0" collapsed="false">
      <c r="A8" s="261"/>
      <c r="B8" s="337"/>
      <c r="C8" s="12"/>
      <c r="D8" s="264"/>
      <c r="E8" s="14"/>
      <c r="F8" s="15"/>
      <c r="G8" s="16"/>
      <c r="H8" s="17" t="n">
        <f aca="false">D8-G8</f>
        <v>0</v>
      </c>
      <c r="I8" s="263"/>
      <c r="K8" s="20"/>
      <c r="L8" s="20"/>
      <c r="M8" s="20"/>
    </row>
    <row r="9" customFormat="false" ht="18.6" hidden="false" customHeight="true" outlineLevel="0" collapsed="false">
      <c r="A9" s="261"/>
      <c r="B9" s="11"/>
      <c r="C9" s="12"/>
      <c r="D9" s="264"/>
      <c r="E9" s="14"/>
      <c r="F9" s="15"/>
      <c r="G9" s="16"/>
      <c r="H9" s="17" t="n">
        <f aca="false">D9-G9</f>
        <v>0</v>
      </c>
      <c r="I9" s="263"/>
      <c r="K9" s="19"/>
    </row>
    <row r="10" customFormat="false" ht="18.6" hidden="false" customHeight="true" outlineLevel="0" collapsed="false">
      <c r="A10" s="261"/>
      <c r="B10" s="11"/>
      <c r="C10" s="12"/>
      <c r="D10" s="264"/>
      <c r="E10" s="14"/>
      <c r="F10" s="15"/>
      <c r="G10" s="16"/>
      <c r="H10" s="17" t="n">
        <f aca="false">D10-G10</f>
        <v>0</v>
      </c>
      <c r="I10" s="265"/>
      <c r="K10" s="20"/>
      <c r="L10" s="20"/>
    </row>
    <row r="11" customFormat="false" ht="18.6" hidden="false" customHeight="true" outlineLevel="0" collapsed="false">
      <c r="A11" s="261"/>
      <c r="B11" s="11"/>
      <c r="C11" s="12"/>
      <c r="D11" s="264"/>
      <c r="E11" s="14"/>
      <c r="F11" s="15"/>
      <c r="G11" s="16"/>
      <c r="H11" s="17" t="n">
        <f aca="false">D11-G11</f>
        <v>0</v>
      </c>
      <c r="I11" s="265"/>
    </row>
    <row r="12" customFormat="false" ht="18.6" hidden="false" customHeight="true" outlineLevel="0" collapsed="false">
      <c r="A12" s="261"/>
      <c r="B12" s="11"/>
      <c r="C12" s="12"/>
      <c r="D12" s="13"/>
      <c r="E12" s="432"/>
      <c r="F12" s="15"/>
      <c r="G12" s="16"/>
      <c r="H12" s="17" t="n">
        <f aca="false">D12-G12</f>
        <v>0</v>
      </c>
      <c r="I12" s="265"/>
      <c r="K12" s="487"/>
    </row>
    <row r="13" customFormat="false" ht="18.6" hidden="false" customHeight="true" outlineLevel="0" collapsed="false">
      <c r="A13" s="261"/>
      <c r="B13" s="11"/>
      <c r="C13" s="12"/>
      <c r="D13" s="264"/>
      <c r="E13" s="14"/>
      <c r="F13" s="15"/>
      <c r="G13" s="16"/>
      <c r="H13" s="17" t="n">
        <f aca="false">D13-G13</f>
        <v>0</v>
      </c>
      <c r="I13" s="265"/>
      <c r="K13" s="20"/>
      <c r="L13" s="20"/>
      <c r="M13" s="20"/>
    </row>
    <row r="14" customFormat="false" ht="18.6" hidden="false" customHeight="true" outlineLevel="0" collapsed="false">
      <c r="A14" s="261"/>
      <c r="B14" s="11"/>
      <c r="C14" s="12"/>
      <c r="D14" s="264"/>
      <c r="E14" s="14"/>
      <c r="F14" s="15"/>
      <c r="G14" s="266"/>
      <c r="H14" s="17" t="n">
        <f aca="false">D14-G14</f>
        <v>0</v>
      </c>
      <c r="I14" s="265"/>
    </row>
    <row r="15" customFormat="false" ht="18.6" hidden="false" customHeight="true" outlineLevel="0" collapsed="false">
      <c r="A15" s="261"/>
      <c r="B15" s="11"/>
      <c r="C15" s="12"/>
      <c r="D15" s="264"/>
      <c r="E15" s="14"/>
      <c r="F15" s="15"/>
      <c r="G15" s="266"/>
      <c r="H15" s="17" t="n">
        <f aca="false">D15-G15</f>
        <v>0</v>
      </c>
      <c r="I15" s="265"/>
      <c r="K15" s="487"/>
    </row>
    <row r="16" customFormat="false" ht="18.6" hidden="false" customHeight="true" outlineLevel="0" collapsed="false">
      <c r="A16" s="261"/>
      <c r="B16" s="11"/>
      <c r="C16" s="12"/>
      <c r="D16" s="264"/>
      <c r="E16" s="14"/>
      <c r="F16" s="267"/>
      <c r="G16" s="266"/>
      <c r="H16" s="17" t="n">
        <f aca="false">D16-G16</f>
        <v>0</v>
      </c>
      <c r="I16" s="265"/>
      <c r="K16" s="21"/>
      <c r="L16" s="21"/>
      <c r="M16" s="21"/>
    </row>
    <row r="17" customFormat="false" ht="18.6" hidden="false" customHeight="true" outlineLevel="0" collapsed="false">
      <c r="A17" s="261"/>
      <c r="B17" s="11"/>
      <c r="C17" s="12"/>
      <c r="D17" s="264"/>
      <c r="E17" s="14"/>
      <c r="F17" s="267"/>
      <c r="G17" s="266"/>
      <c r="H17" s="17" t="n">
        <f aca="false">D17-G17</f>
        <v>0</v>
      </c>
      <c r="I17" s="265"/>
    </row>
    <row r="18" customFormat="false" ht="18.6" hidden="false" customHeight="true" outlineLevel="0" collapsed="false">
      <c r="A18" s="261"/>
      <c r="B18" s="11"/>
      <c r="C18" s="12"/>
      <c r="D18" s="264"/>
      <c r="E18" s="14"/>
      <c r="F18" s="15"/>
      <c r="G18" s="266"/>
      <c r="H18" s="17" t="n">
        <f aca="false">D18-G18</f>
        <v>0</v>
      </c>
      <c r="I18" s="265"/>
    </row>
    <row r="19" customFormat="false" ht="18.6" hidden="false" customHeight="true" outlineLevel="0" collapsed="false">
      <c r="A19" s="261"/>
      <c r="B19" s="11"/>
      <c r="C19" s="12"/>
      <c r="D19" s="264"/>
      <c r="E19" s="14"/>
      <c r="F19" s="267"/>
      <c r="G19" s="266"/>
      <c r="H19" s="17" t="n">
        <f aca="false">D19-G19</f>
        <v>0</v>
      </c>
      <c r="I19" s="265"/>
    </row>
    <row r="20" customFormat="false" ht="18.6" hidden="false" customHeight="true" outlineLevel="0" collapsed="false">
      <c r="A20" s="261"/>
      <c r="B20" s="11"/>
      <c r="C20" s="12"/>
      <c r="D20" s="264"/>
      <c r="E20" s="14"/>
      <c r="F20" s="267"/>
      <c r="G20" s="266"/>
      <c r="H20" s="17" t="n">
        <f aca="false">D20-G20</f>
        <v>0</v>
      </c>
      <c r="I20" s="265"/>
    </row>
    <row r="21" customFormat="false" ht="18.6" hidden="false" customHeight="true" outlineLevel="0" collapsed="false">
      <c r="A21" s="261"/>
      <c r="B21" s="11"/>
      <c r="C21" s="12"/>
      <c r="D21" s="13"/>
      <c r="E21" s="14"/>
      <c r="F21" s="267"/>
      <c r="G21" s="266"/>
      <c r="H21" s="17" t="n">
        <f aca="false">D21-G21</f>
        <v>0</v>
      </c>
      <c r="I21" s="265"/>
    </row>
    <row r="22" customFormat="false" ht="18.6" hidden="false" customHeight="true" outlineLevel="0" collapsed="false">
      <c r="A22" s="261"/>
      <c r="B22" s="11"/>
      <c r="C22" s="12"/>
      <c r="D22" s="13"/>
      <c r="E22" s="14"/>
      <c r="F22" s="267"/>
      <c r="G22" s="266"/>
      <c r="H22" s="17" t="n">
        <f aca="false">D22-G22</f>
        <v>0</v>
      </c>
      <c r="I22" s="265"/>
    </row>
    <row r="23" customFormat="false" ht="18.6" hidden="false" customHeight="true" outlineLevel="0" collapsed="false">
      <c r="A23" s="261"/>
      <c r="B23" s="11"/>
      <c r="C23" s="12"/>
      <c r="D23" s="264"/>
      <c r="E23" s="14"/>
      <c r="F23" s="267"/>
      <c r="G23" s="266"/>
      <c r="H23" s="17" t="n">
        <f aca="false">D23-G23</f>
        <v>0</v>
      </c>
      <c r="I23" s="265"/>
    </row>
    <row r="24" customFormat="false" ht="18.6" hidden="false" customHeight="true" outlineLevel="0" collapsed="false">
      <c r="A24" s="261"/>
      <c r="B24" s="11"/>
      <c r="C24" s="12"/>
      <c r="D24" s="13"/>
      <c r="E24" s="454"/>
      <c r="F24" s="267"/>
      <c r="G24" s="266"/>
      <c r="H24" s="17" t="n">
        <f aca="false">D24-G24</f>
        <v>0</v>
      </c>
      <c r="I24" s="265"/>
    </row>
    <row r="25" customFormat="false" ht="18.6" hidden="false" customHeight="true" outlineLevel="0" collapsed="false">
      <c r="A25" s="261"/>
      <c r="B25" s="11"/>
      <c r="C25" s="12"/>
      <c r="D25" s="264"/>
      <c r="E25" s="14"/>
      <c r="F25" s="267"/>
      <c r="G25" s="266"/>
      <c r="H25" s="17" t="n">
        <f aca="false">D25-G25</f>
        <v>0</v>
      </c>
      <c r="I25" s="265"/>
    </row>
    <row r="26" customFormat="false" ht="18.6" hidden="false" customHeight="true" outlineLevel="0" collapsed="false">
      <c r="A26" s="261"/>
      <c r="B26" s="11"/>
      <c r="C26" s="12"/>
      <c r="D26" s="264"/>
      <c r="E26" s="14"/>
      <c r="F26" s="267"/>
      <c r="G26" s="268"/>
      <c r="H26" s="17" t="n">
        <f aca="false">D26-G26</f>
        <v>0</v>
      </c>
      <c r="I26" s="265"/>
    </row>
    <row r="27" customFormat="false" ht="18.6" hidden="false" customHeight="true" outlineLevel="0" collapsed="false">
      <c r="A27" s="261"/>
      <c r="B27" s="11"/>
      <c r="C27" s="12"/>
      <c r="D27" s="264"/>
      <c r="E27" s="14"/>
      <c r="F27" s="267"/>
      <c r="G27" s="268"/>
      <c r="H27" s="17" t="n">
        <f aca="false">D27-G27</f>
        <v>0</v>
      </c>
      <c r="I27" s="265"/>
    </row>
    <row r="28" customFormat="false" ht="18.6" hidden="false" customHeight="true" outlineLevel="0" collapsed="false">
      <c r="A28" s="269"/>
      <c r="B28" s="28" t="s">
        <v>35</v>
      </c>
      <c r="C28" s="22"/>
      <c r="D28" s="29" t="n">
        <f aca="false">+SUM(D2:D27)</f>
        <v>0</v>
      </c>
      <c r="E28" s="24"/>
      <c r="F28" s="25"/>
      <c r="G28" s="26"/>
      <c r="H28" s="30" t="n">
        <f aca="false">+SUM(H2:H27)</f>
        <v>0</v>
      </c>
      <c r="I28" s="422"/>
    </row>
    <row r="29" customFormat="false" ht="18.6" hidden="false" customHeight="true" outlineLevel="0" collapsed="false">
      <c r="A29" s="351" t="s">
        <v>299</v>
      </c>
      <c r="B29" s="11" t="s">
        <v>658</v>
      </c>
      <c r="C29" s="12" t="s">
        <v>659</v>
      </c>
      <c r="D29" s="270" t="n">
        <v>891.47</v>
      </c>
      <c r="E29" s="271"/>
      <c r="F29" s="272" t="n">
        <v>44743</v>
      </c>
      <c r="G29" s="273"/>
      <c r="H29" s="17" t="n">
        <f aca="false">D29-G29</f>
        <v>891.47</v>
      </c>
      <c r="I29" s="265"/>
    </row>
    <row r="30" customFormat="false" ht="18.6" hidden="false" customHeight="true" outlineLevel="0" collapsed="false">
      <c r="A30" s="351"/>
      <c r="B30" s="11" t="s">
        <v>311</v>
      </c>
      <c r="C30" s="12"/>
      <c r="D30" s="264" t="n">
        <v>19.38</v>
      </c>
      <c r="E30" s="14"/>
      <c r="F30" s="267" t="n">
        <v>44747</v>
      </c>
      <c r="G30" s="268"/>
      <c r="H30" s="17" t="n">
        <f aca="false">D30-G30</f>
        <v>19.38</v>
      </c>
      <c r="I30" s="265"/>
    </row>
    <row r="31" customFormat="false" ht="18.6" hidden="false" customHeight="true" outlineLevel="0" collapsed="false">
      <c r="A31" s="351"/>
      <c r="B31" s="11" t="s">
        <v>308</v>
      </c>
      <c r="C31" s="12"/>
      <c r="D31" s="264" t="n">
        <v>3203.09</v>
      </c>
      <c r="E31" s="14" t="s">
        <v>439</v>
      </c>
      <c r="F31" s="267" t="n">
        <v>44747</v>
      </c>
      <c r="G31" s="268"/>
      <c r="H31" s="17" t="n">
        <f aca="false">D31-G31</f>
        <v>3203.09</v>
      </c>
      <c r="I31" s="265"/>
    </row>
    <row r="32" customFormat="false" ht="18.6" hidden="false" customHeight="true" outlineLevel="0" collapsed="false">
      <c r="A32" s="351"/>
      <c r="B32" s="11" t="s">
        <v>300</v>
      </c>
      <c r="C32" s="12" t="s">
        <v>303</v>
      </c>
      <c r="D32" s="264" t="n">
        <v>127.11</v>
      </c>
      <c r="E32" s="14" t="s">
        <v>302</v>
      </c>
      <c r="F32" s="267" t="n">
        <v>44747</v>
      </c>
      <c r="G32" s="268"/>
      <c r="H32" s="17" t="n">
        <f aca="false">D32-G32</f>
        <v>127.11</v>
      </c>
      <c r="I32" s="265"/>
    </row>
    <row r="33" customFormat="false" ht="18.6" hidden="false" customHeight="true" outlineLevel="0" collapsed="false">
      <c r="A33" s="351"/>
      <c r="B33" s="11" t="s">
        <v>300</v>
      </c>
      <c r="C33" s="12" t="s">
        <v>304</v>
      </c>
      <c r="D33" s="270" t="n">
        <v>100.82</v>
      </c>
      <c r="E33" s="271"/>
      <c r="F33" s="267" t="n">
        <v>44747</v>
      </c>
      <c r="G33" s="273"/>
      <c r="H33" s="17" t="n">
        <f aca="false">D33-G33</f>
        <v>100.82</v>
      </c>
      <c r="I33" s="265"/>
    </row>
    <row r="34" customFormat="false" ht="18.6" hidden="false" customHeight="true" outlineLevel="0" collapsed="false">
      <c r="A34" s="351"/>
      <c r="B34" s="11" t="s">
        <v>300</v>
      </c>
      <c r="C34" s="12" t="s">
        <v>305</v>
      </c>
      <c r="D34" s="264" t="n">
        <v>104.12</v>
      </c>
      <c r="E34" s="14"/>
      <c r="F34" s="267" t="n">
        <v>44747</v>
      </c>
      <c r="G34" s="268"/>
      <c r="H34" s="17" t="n">
        <f aca="false">D34-G34</f>
        <v>104.12</v>
      </c>
      <c r="I34" s="265"/>
    </row>
    <row r="35" customFormat="false" ht="18.6" hidden="false" customHeight="true" outlineLevel="0" collapsed="false">
      <c r="A35" s="351"/>
      <c r="B35" s="11" t="s">
        <v>300</v>
      </c>
      <c r="C35" s="12" t="s">
        <v>306</v>
      </c>
      <c r="D35" s="264" t="n">
        <v>71.32</v>
      </c>
      <c r="E35" s="14"/>
      <c r="F35" s="267" t="n">
        <v>44747</v>
      </c>
      <c r="G35" s="268"/>
      <c r="H35" s="17" t="n">
        <f aca="false">D35-G35</f>
        <v>71.32</v>
      </c>
      <c r="I35" s="265"/>
    </row>
    <row r="36" customFormat="false" ht="18.6" hidden="false" customHeight="true" outlineLevel="0" collapsed="false">
      <c r="A36" s="351"/>
      <c r="B36" s="11" t="s">
        <v>300</v>
      </c>
      <c r="C36" s="12" t="s">
        <v>307</v>
      </c>
      <c r="D36" s="264" t="n">
        <v>89.4</v>
      </c>
      <c r="E36" s="14"/>
      <c r="F36" s="267" t="n">
        <v>44747</v>
      </c>
      <c r="G36" s="268"/>
      <c r="H36" s="17" t="n">
        <f aca="false">D36-G36</f>
        <v>89.4</v>
      </c>
      <c r="I36" s="265"/>
    </row>
    <row r="37" customFormat="false" ht="18.6" hidden="false" customHeight="true" outlineLevel="0" collapsed="false">
      <c r="A37" s="351"/>
      <c r="B37" s="11" t="s">
        <v>300</v>
      </c>
      <c r="C37" s="12" t="s">
        <v>301</v>
      </c>
      <c r="D37" s="270" t="n">
        <v>99.97</v>
      </c>
      <c r="E37" s="271" t="s">
        <v>302</v>
      </c>
      <c r="F37" s="267" t="n">
        <v>44747</v>
      </c>
      <c r="G37" s="273"/>
      <c r="H37" s="17" t="n">
        <f aca="false">D37-G37</f>
        <v>99.97</v>
      </c>
      <c r="I37" s="265"/>
    </row>
    <row r="38" customFormat="false" ht="18.6" hidden="false" customHeight="true" outlineLevel="0" collapsed="false">
      <c r="A38" s="351"/>
      <c r="B38" s="11" t="s">
        <v>551</v>
      </c>
      <c r="C38" s="12"/>
      <c r="D38" s="264" t="n">
        <v>53.88</v>
      </c>
      <c r="E38" s="14"/>
      <c r="F38" s="267" t="n">
        <v>44747</v>
      </c>
      <c r="G38" s="268"/>
      <c r="H38" s="17" t="n">
        <f aca="false">D38-G38</f>
        <v>53.88</v>
      </c>
      <c r="I38" s="265"/>
    </row>
    <row r="39" customFormat="false" ht="18.6" hidden="false" customHeight="true" outlineLevel="0" collapsed="false">
      <c r="A39" s="351"/>
      <c r="B39" s="11" t="s">
        <v>314</v>
      </c>
      <c r="C39" s="12"/>
      <c r="D39" s="264" t="n">
        <v>50</v>
      </c>
      <c r="E39" s="14" t="s">
        <v>315</v>
      </c>
      <c r="F39" s="267" t="n">
        <v>44748</v>
      </c>
      <c r="G39" s="268"/>
      <c r="H39" s="17" t="n">
        <f aca="false">D39-G39</f>
        <v>50</v>
      </c>
      <c r="I39" s="265"/>
    </row>
    <row r="40" customFormat="false" ht="18.6" hidden="false" customHeight="true" outlineLevel="0" collapsed="false">
      <c r="A40" s="351"/>
      <c r="B40" s="11" t="s">
        <v>314</v>
      </c>
      <c r="C40" s="12"/>
      <c r="D40" s="264" t="n">
        <v>38</v>
      </c>
      <c r="E40" s="14"/>
      <c r="F40" s="267" t="n">
        <v>44748</v>
      </c>
      <c r="G40" s="268"/>
      <c r="H40" s="17" t="n">
        <f aca="false">D40-G40</f>
        <v>38</v>
      </c>
      <c r="I40" s="265"/>
    </row>
    <row r="41" customFormat="false" ht="18.6" hidden="false" customHeight="true" outlineLevel="0" collapsed="false">
      <c r="A41" s="351"/>
      <c r="B41" s="11" t="s">
        <v>35</v>
      </c>
      <c r="C41" s="12" t="s">
        <v>660</v>
      </c>
      <c r="D41" s="264" t="n">
        <v>2500</v>
      </c>
      <c r="E41" s="14"/>
      <c r="F41" s="267" t="n">
        <v>44752</v>
      </c>
      <c r="G41" s="268"/>
      <c r="H41" s="17" t="n">
        <f aca="false">D41-G41</f>
        <v>2500</v>
      </c>
      <c r="I41" s="265"/>
    </row>
    <row r="42" customFormat="false" ht="18.6" hidden="false" customHeight="true" outlineLevel="0" collapsed="false">
      <c r="A42" s="351"/>
      <c r="B42" s="11" t="s">
        <v>316</v>
      </c>
      <c r="C42" s="12" t="s">
        <v>550</v>
      </c>
      <c r="D42" s="264" t="n">
        <f aca="false">15.95*2</f>
        <v>31.9</v>
      </c>
      <c r="E42" s="14" t="s">
        <v>661</v>
      </c>
      <c r="F42" s="267" t="n">
        <v>44752</v>
      </c>
      <c r="G42" s="268"/>
      <c r="H42" s="17" t="n">
        <f aca="false">D42-G42</f>
        <v>31.9</v>
      </c>
      <c r="I42" s="265" t="n">
        <v>44671</v>
      </c>
    </row>
    <row r="43" customFormat="false" ht="18.6" hidden="false" customHeight="true" outlineLevel="0" collapsed="false">
      <c r="A43" s="351"/>
      <c r="B43" s="11" t="s">
        <v>561</v>
      </c>
      <c r="C43" s="12"/>
      <c r="D43" s="270" t="n">
        <v>16.99</v>
      </c>
      <c r="E43" s="271" t="s">
        <v>562</v>
      </c>
      <c r="F43" s="267" t="n">
        <v>44752</v>
      </c>
      <c r="G43" s="273"/>
      <c r="H43" s="17" t="n">
        <f aca="false">D43-G43</f>
        <v>16.99</v>
      </c>
      <c r="I43" s="265"/>
    </row>
    <row r="44" customFormat="false" ht="18.6" hidden="false" customHeight="true" outlineLevel="0" collapsed="false">
      <c r="A44" s="351"/>
      <c r="B44" s="11" t="s">
        <v>437</v>
      </c>
      <c r="C44" s="12" t="s">
        <v>564</v>
      </c>
      <c r="D44" s="264" t="n">
        <v>277.96</v>
      </c>
      <c r="E44" s="14" t="s">
        <v>565</v>
      </c>
      <c r="F44" s="267" t="n">
        <v>44752</v>
      </c>
      <c r="G44" s="268"/>
      <c r="H44" s="17" t="n">
        <f aca="false">D44-G44</f>
        <v>277.96</v>
      </c>
      <c r="I44" s="265"/>
    </row>
    <row r="45" customFormat="false" ht="18.6" hidden="false" customHeight="true" outlineLevel="0" collapsed="false">
      <c r="A45" s="351"/>
      <c r="B45" s="337" t="s">
        <v>322</v>
      </c>
      <c r="C45" s="352"/>
      <c r="D45" s="353" t="n">
        <v>11213</v>
      </c>
      <c r="E45" s="477" t="s">
        <v>323</v>
      </c>
      <c r="F45" s="479" t="n">
        <v>44757</v>
      </c>
      <c r="G45" s="478"/>
      <c r="H45" s="476" t="n">
        <f aca="false">D45-G45</f>
        <v>11213</v>
      </c>
      <c r="I45" s="431"/>
    </row>
    <row r="46" customFormat="false" ht="18.6" hidden="false" customHeight="true" outlineLevel="0" collapsed="false">
      <c r="A46" s="351"/>
      <c r="B46" s="11" t="s">
        <v>300</v>
      </c>
      <c r="C46" s="12" t="s">
        <v>320</v>
      </c>
      <c r="D46" s="270" t="n">
        <v>15.24</v>
      </c>
      <c r="E46" s="271" t="s">
        <v>321</v>
      </c>
      <c r="F46" s="272" t="n">
        <v>44761</v>
      </c>
      <c r="G46" s="273"/>
      <c r="H46" s="17" t="n">
        <f aca="false">D46-G46</f>
        <v>15.24</v>
      </c>
      <c r="I46" s="265"/>
    </row>
    <row r="47" customFormat="false" ht="18.6" hidden="false" customHeight="true" outlineLevel="0" collapsed="false">
      <c r="A47" s="351"/>
      <c r="B47" s="11" t="s">
        <v>300</v>
      </c>
      <c r="C47" s="12" t="s">
        <v>324</v>
      </c>
      <c r="D47" s="264" t="n">
        <v>93.87</v>
      </c>
      <c r="E47" s="14"/>
      <c r="F47" s="267" t="n">
        <v>44761</v>
      </c>
      <c r="G47" s="268"/>
      <c r="H47" s="17" t="n">
        <f aca="false">D47-G47</f>
        <v>93.87</v>
      </c>
      <c r="I47" s="265"/>
    </row>
    <row r="48" customFormat="false" ht="18.6" hidden="false" customHeight="true" outlineLevel="0" collapsed="false">
      <c r="A48" s="351"/>
      <c r="B48" s="337" t="s">
        <v>327</v>
      </c>
      <c r="C48" s="12" t="s">
        <v>328</v>
      </c>
      <c r="D48" s="359" t="n">
        <v>6024</v>
      </c>
      <c r="E48" s="473" t="s">
        <v>666</v>
      </c>
      <c r="F48" s="474" t="n">
        <v>44763</v>
      </c>
      <c r="G48" s="475"/>
      <c r="H48" s="476" t="n">
        <f aca="false">D48-G48</f>
        <v>6024</v>
      </c>
      <c r="I48" s="431"/>
    </row>
    <row r="49" customFormat="false" ht="18.6" hidden="false" customHeight="true" outlineLevel="0" collapsed="false">
      <c r="A49" s="351"/>
      <c r="B49" s="337" t="s">
        <v>337</v>
      </c>
      <c r="C49" s="352"/>
      <c r="D49" s="353" t="n">
        <v>1799.9</v>
      </c>
      <c r="E49" s="477"/>
      <c r="F49" s="474" t="n">
        <v>44763</v>
      </c>
      <c r="G49" s="478"/>
      <c r="H49" s="476" t="n">
        <f aca="false">D49-G49</f>
        <v>1799.9</v>
      </c>
      <c r="I49" s="431" t="n">
        <v>44671</v>
      </c>
    </row>
    <row r="50" customFormat="false" ht="18.6" hidden="false" customHeight="true" outlineLevel="0" collapsed="false">
      <c r="A50" s="351"/>
      <c r="B50" s="11" t="s">
        <v>314</v>
      </c>
      <c r="C50" s="12"/>
      <c r="D50" s="264" t="n">
        <v>31</v>
      </c>
      <c r="E50" s="14"/>
      <c r="F50" s="474" t="n">
        <v>44763</v>
      </c>
      <c r="G50" s="268"/>
      <c r="H50" s="17" t="n">
        <f aca="false">D50-G50</f>
        <v>31</v>
      </c>
      <c r="I50" s="265"/>
    </row>
    <row r="51" customFormat="false" ht="18.6" hidden="false" customHeight="true" outlineLevel="0" collapsed="false">
      <c r="A51" s="351"/>
      <c r="B51" s="11" t="s">
        <v>314</v>
      </c>
      <c r="C51" s="12"/>
      <c r="D51" s="264" t="n">
        <v>31</v>
      </c>
      <c r="E51" s="14"/>
      <c r="F51" s="474" t="n">
        <v>44763</v>
      </c>
      <c r="G51" s="268"/>
      <c r="H51" s="17" t="n">
        <f aca="false">D51-G51</f>
        <v>31</v>
      </c>
      <c r="I51" s="265"/>
    </row>
    <row r="52" customFormat="false" ht="18.6" hidden="false" customHeight="true" outlineLevel="0" collapsed="false">
      <c r="A52" s="351"/>
      <c r="B52" s="11" t="s">
        <v>314</v>
      </c>
      <c r="C52" s="12" t="s">
        <v>325</v>
      </c>
      <c r="D52" s="270" t="n">
        <v>31</v>
      </c>
      <c r="E52" s="271" t="s">
        <v>326</v>
      </c>
      <c r="F52" s="474" t="n">
        <v>44763</v>
      </c>
      <c r="G52" s="273"/>
      <c r="H52" s="17" t="n">
        <f aca="false">D52-G52</f>
        <v>31</v>
      </c>
      <c r="I52" s="265"/>
    </row>
    <row r="53" customFormat="false" ht="18.6" hidden="false" customHeight="true" outlineLevel="0" collapsed="false">
      <c r="A53" s="351"/>
      <c r="B53" s="11" t="s">
        <v>35</v>
      </c>
      <c r="C53" s="12" t="s">
        <v>572</v>
      </c>
      <c r="D53" s="264" t="n">
        <v>2219.29</v>
      </c>
      <c r="E53" s="14"/>
      <c r="F53" s="267" t="n">
        <v>44769</v>
      </c>
      <c r="G53" s="268"/>
      <c r="H53" s="17" t="n">
        <f aca="false">D53-G53</f>
        <v>2219.29</v>
      </c>
      <c r="I53" s="265"/>
    </row>
    <row r="54" customFormat="false" ht="18.6" hidden="false" customHeight="true" outlineLevel="0" collapsed="false">
      <c r="A54" s="351"/>
      <c r="B54" s="337" t="s">
        <v>329</v>
      </c>
      <c r="C54" s="12"/>
      <c r="D54" s="353" t="n">
        <v>2159.14</v>
      </c>
      <c r="E54" s="477" t="s">
        <v>667</v>
      </c>
      <c r="F54" s="267" t="n">
        <v>44769</v>
      </c>
      <c r="G54" s="478"/>
      <c r="H54" s="476" t="n">
        <f aca="false">D54-G54</f>
        <v>2159.14</v>
      </c>
      <c r="I54" s="431"/>
    </row>
    <row r="55" customFormat="false" ht="18.6" hidden="false" customHeight="true" outlineLevel="0" collapsed="false">
      <c r="A55" s="351"/>
      <c r="B55" s="11" t="s">
        <v>448</v>
      </c>
      <c r="C55" s="12" t="s">
        <v>449</v>
      </c>
      <c r="D55" s="270" t="n">
        <v>1188</v>
      </c>
      <c r="E55" s="271" t="s">
        <v>450</v>
      </c>
      <c r="F55" s="267" t="n">
        <v>44769</v>
      </c>
      <c r="G55" s="273"/>
      <c r="H55" s="17" t="n">
        <f aca="false">D55-G55</f>
        <v>1188</v>
      </c>
      <c r="I55" s="265" t="n">
        <v>44677</v>
      </c>
    </row>
    <row r="56" customFormat="false" ht="18.6" hidden="false" customHeight="true" outlineLevel="0" collapsed="false">
      <c r="A56" s="351"/>
      <c r="B56" s="11" t="s">
        <v>35</v>
      </c>
      <c r="C56" s="12" t="s">
        <v>896</v>
      </c>
      <c r="D56" s="264" t="n">
        <v>2219.29</v>
      </c>
      <c r="E56" s="14" t="s">
        <v>897</v>
      </c>
      <c r="F56" s="267" t="n">
        <v>44769</v>
      </c>
      <c r="G56" s="268"/>
      <c r="H56" s="17" t="n">
        <f aca="false">D56-G56</f>
        <v>2219.29</v>
      </c>
      <c r="I56" s="265" t="s">
        <v>898</v>
      </c>
    </row>
    <row r="57" customFormat="false" ht="18.6" hidden="false" customHeight="true" outlineLevel="0" collapsed="false">
      <c r="A57" s="351"/>
      <c r="B57" s="11" t="s">
        <v>668</v>
      </c>
      <c r="C57" s="12" t="s">
        <v>669</v>
      </c>
      <c r="D57" s="264" t="n">
        <v>34.43</v>
      </c>
      <c r="E57" s="14" t="s">
        <v>670</v>
      </c>
      <c r="F57" s="267" t="n">
        <v>44769</v>
      </c>
      <c r="G57" s="268"/>
      <c r="H57" s="17" t="n">
        <f aca="false">D57-G57</f>
        <v>34.43</v>
      </c>
      <c r="I57" s="431" t="n">
        <v>44676</v>
      </c>
    </row>
    <row r="58" customFormat="false" ht="18.6" hidden="false" customHeight="true" outlineLevel="0" collapsed="false">
      <c r="A58" s="351"/>
      <c r="B58" s="11" t="s">
        <v>338</v>
      </c>
      <c r="C58" s="12" t="s">
        <v>339</v>
      </c>
      <c r="D58" s="264" t="n">
        <v>5283.09</v>
      </c>
      <c r="E58" s="14"/>
      <c r="F58" s="267" t="n">
        <v>44769</v>
      </c>
      <c r="G58" s="268"/>
      <c r="H58" s="17" t="n">
        <f aca="false">D58-G58</f>
        <v>5283.09</v>
      </c>
      <c r="I58" s="265"/>
    </row>
    <row r="59" customFormat="false" ht="18.6" hidden="false" customHeight="true" outlineLevel="0" collapsed="false">
      <c r="A59" s="351"/>
      <c r="B59" s="11" t="s">
        <v>437</v>
      </c>
      <c r="C59" s="12" t="s">
        <v>671</v>
      </c>
      <c r="D59" s="270" t="n">
        <v>58.93</v>
      </c>
      <c r="E59" s="271" t="s">
        <v>672</v>
      </c>
      <c r="F59" s="267" t="n">
        <v>44769</v>
      </c>
      <c r="G59" s="273"/>
      <c r="H59" s="17" t="n">
        <f aca="false">D59-G59</f>
        <v>58.93</v>
      </c>
      <c r="I59" s="265"/>
    </row>
    <row r="60" customFormat="false" ht="18.6" hidden="false" customHeight="true" outlineLevel="0" collapsed="false">
      <c r="A60" s="351"/>
      <c r="B60" s="276" t="s">
        <v>445</v>
      </c>
      <c r="C60" s="12" t="s">
        <v>446</v>
      </c>
      <c r="D60" s="363" t="n">
        <v>936.1</v>
      </c>
      <c r="E60" s="271"/>
      <c r="F60" s="272" t="n">
        <v>44773</v>
      </c>
      <c r="G60" s="273"/>
      <c r="H60" s="17" t="n">
        <f aca="false">D60-G60</f>
        <v>936.1</v>
      </c>
      <c r="I60" s="265"/>
    </row>
    <row r="61" customFormat="false" ht="18.6" hidden="false" customHeight="true" outlineLevel="0" collapsed="false">
      <c r="A61" s="351"/>
      <c r="B61" s="11" t="s">
        <v>164</v>
      </c>
      <c r="C61" s="12" t="s">
        <v>900</v>
      </c>
      <c r="D61" s="270" t="n">
        <v>495.07</v>
      </c>
      <c r="E61" s="271" t="s">
        <v>253</v>
      </c>
      <c r="F61" s="272" t="n">
        <v>44773</v>
      </c>
      <c r="G61" s="273"/>
      <c r="H61" s="17" t="n">
        <f aca="false">D61-G61</f>
        <v>495.07</v>
      </c>
      <c r="I61" s="265"/>
    </row>
    <row r="62" customFormat="false" ht="18.6" hidden="false" customHeight="true" outlineLevel="0" collapsed="false">
      <c r="A62" s="351"/>
      <c r="B62" s="276"/>
      <c r="C62" s="12"/>
      <c r="D62" s="363"/>
      <c r="E62" s="271"/>
      <c r="F62" s="272"/>
      <c r="G62" s="273"/>
      <c r="H62" s="17" t="n">
        <f aca="false">D62-G62</f>
        <v>0</v>
      </c>
      <c r="I62" s="324"/>
    </row>
    <row r="63" customFormat="false" ht="18.6" hidden="false" customHeight="true" outlineLevel="0" collapsed="false">
      <c r="A63" s="351"/>
      <c r="B63" s="276"/>
      <c r="C63" s="12"/>
      <c r="D63" s="363"/>
      <c r="E63" s="271"/>
      <c r="F63" s="272"/>
      <c r="G63" s="273"/>
      <c r="H63" s="17" t="n">
        <f aca="false">D63-G63</f>
        <v>0</v>
      </c>
      <c r="I63" s="366"/>
    </row>
    <row r="64" customFormat="false" ht="18.6" hidden="false" customHeight="true" outlineLevel="0" collapsed="false">
      <c r="A64" s="351"/>
      <c r="B64" s="367"/>
      <c r="C64" s="12"/>
      <c r="D64" s="363"/>
      <c r="E64" s="271"/>
      <c r="F64" s="272"/>
      <c r="G64" s="273"/>
      <c r="H64" s="17" t="n">
        <f aca="false">D64-G64</f>
        <v>0</v>
      </c>
      <c r="I64" s="366"/>
    </row>
    <row r="65" customFormat="false" ht="18.6" hidden="false" customHeight="true" outlineLevel="0" collapsed="false">
      <c r="A65" s="351"/>
      <c r="B65" s="276"/>
      <c r="C65" s="12"/>
      <c r="D65" s="363"/>
      <c r="E65" s="271"/>
      <c r="F65" s="272"/>
      <c r="G65" s="273"/>
      <c r="H65" s="17" t="n">
        <f aca="false">D65-G65</f>
        <v>0</v>
      </c>
      <c r="I65" s="366"/>
    </row>
    <row r="66" customFormat="false" ht="18.6" hidden="false" customHeight="true" outlineLevel="0" collapsed="false">
      <c r="A66" s="351"/>
      <c r="B66" s="276" t="s">
        <v>927</v>
      </c>
      <c r="C66" s="12"/>
      <c r="D66" s="363" t="n">
        <v>40000</v>
      </c>
      <c r="E66" s="271"/>
      <c r="F66" s="272"/>
      <c r="G66" s="273"/>
      <c r="H66" s="17" t="n">
        <f aca="false">D66-G66</f>
        <v>40000</v>
      </c>
      <c r="I66" s="265"/>
    </row>
    <row r="67" customFormat="false" ht="18.6" hidden="false" customHeight="true" outlineLevel="0" collapsed="false">
      <c r="A67" s="351"/>
      <c r="B67" s="11"/>
      <c r="C67" s="12"/>
      <c r="D67" s="264"/>
      <c r="E67" s="14"/>
      <c r="F67" s="267"/>
      <c r="G67" s="266"/>
      <c r="H67" s="17" t="n">
        <f aca="false">D67-G67</f>
        <v>0</v>
      </c>
      <c r="I67" s="265"/>
    </row>
    <row r="68" customFormat="false" ht="18.6" hidden="false" customHeight="true" outlineLevel="0" collapsed="false">
      <c r="A68" s="351"/>
      <c r="B68" s="22"/>
      <c r="C68" s="23"/>
      <c r="D68" s="23"/>
      <c r="E68" s="24"/>
      <c r="F68" s="25"/>
      <c r="G68" s="26"/>
      <c r="H68" s="17" t="n">
        <f aca="false">D68-G68</f>
        <v>0</v>
      </c>
      <c r="I68" s="369"/>
    </row>
    <row r="69" customFormat="false" ht="18.6" hidden="false" customHeight="true" outlineLevel="0" collapsed="false">
      <c r="A69" s="351"/>
      <c r="B69" s="28" t="s">
        <v>35</v>
      </c>
      <c r="C69" s="22"/>
      <c r="D69" s="29" t="n">
        <f aca="false">SUM(D29:D66)</f>
        <v>81507.76</v>
      </c>
      <c r="E69" s="24"/>
      <c r="F69" s="25"/>
      <c r="G69" s="26"/>
      <c r="H69" s="30" t="n">
        <f aca="false">+SUM(H29:H61)</f>
        <v>41507.76</v>
      </c>
      <c r="I69" s="422"/>
    </row>
    <row r="70" customFormat="false" ht="18.6" hidden="false" customHeight="true" outlineLevel="0" collapsed="false">
      <c r="A70" s="370"/>
      <c r="B70" s="318" t="s">
        <v>554</v>
      </c>
      <c r="C70" s="12"/>
      <c r="D70" s="264" t="n">
        <v>1100</v>
      </c>
      <c r="E70" s="14" t="s">
        <v>555</v>
      </c>
      <c r="F70" s="267" t="n">
        <v>44748</v>
      </c>
      <c r="G70" s="266"/>
      <c r="H70" s="17" t="n">
        <f aca="false">D70-G70</f>
        <v>1100</v>
      </c>
      <c r="I70" s="263"/>
    </row>
    <row r="71" customFormat="false" ht="18.6" hidden="false" customHeight="true" outlineLevel="0" collapsed="false">
      <c r="A71" s="370"/>
      <c r="B71" s="374" t="s">
        <v>559</v>
      </c>
      <c r="C71" s="375"/>
      <c r="D71" s="376" t="n">
        <v>500</v>
      </c>
      <c r="E71" s="482" t="s">
        <v>462</v>
      </c>
      <c r="F71" s="267" t="n">
        <v>44748</v>
      </c>
      <c r="G71" s="483"/>
      <c r="H71" s="17" t="n">
        <f aca="false">D71-G71</f>
        <v>500</v>
      </c>
      <c r="I71" s="484"/>
    </row>
    <row r="72" customFormat="false" ht="18.6" hidden="false" customHeight="true" outlineLevel="0" collapsed="false">
      <c r="A72" s="370"/>
      <c r="B72" s="381" t="s">
        <v>686</v>
      </c>
      <c r="C72" s="382"/>
      <c r="D72" s="376" t="n">
        <v>2100</v>
      </c>
      <c r="E72" s="482" t="s">
        <v>688</v>
      </c>
      <c r="F72" s="267" t="n">
        <v>44748</v>
      </c>
      <c r="G72" s="485"/>
      <c r="H72" s="17" t="n">
        <f aca="false">D72-G72</f>
        <v>2100</v>
      </c>
      <c r="I72" s="486"/>
    </row>
    <row r="73" customFormat="false" ht="18.6" hidden="false" customHeight="true" outlineLevel="0" collapsed="false">
      <c r="A73" s="370"/>
      <c r="B73" s="381" t="s">
        <v>772</v>
      </c>
      <c r="C73" s="382"/>
      <c r="D73" s="376" t="n">
        <v>600</v>
      </c>
      <c r="E73" s="482" t="s">
        <v>773</v>
      </c>
      <c r="F73" s="267" t="n">
        <v>44748</v>
      </c>
      <c r="G73" s="485"/>
      <c r="H73" s="17" t="n">
        <f aca="false">D73-G73</f>
        <v>600</v>
      </c>
      <c r="I73" s="486"/>
    </row>
    <row r="74" customFormat="false" ht="18.6" hidden="false" customHeight="true" outlineLevel="0" collapsed="false">
      <c r="A74" s="370"/>
      <c r="B74" s="318"/>
      <c r="C74" s="319"/>
      <c r="D74" s="264"/>
      <c r="E74" s="14"/>
      <c r="F74" s="267"/>
      <c r="G74" s="273"/>
      <c r="H74" s="17" t="n">
        <f aca="false">D74-G74</f>
        <v>0</v>
      </c>
      <c r="I74" s="321"/>
    </row>
    <row r="75" customFormat="false" ht="18.6" hidden="false" customHeight="true" outlineLevel="0" collapsed="false">
      <c r="A75" s="370"/>
      <c r="B75" s="318"/>
      <c r="C75" s="319"/>
      <c r="D75" s="264"/>
      <c r="E75" s="14"/>
      <c r="F75" s="267"/>
      <c r="G75" s="273"/>
      <c r="H75" s="17" t="n">
        <f aca="false">D75-G75</f>
        <v>0</v>
      </c>
      <c r="I75" s="324"/>
    </row>
    <row r="76" customFormat="false" ht="18.6" hidden="false" customHeight="true" outlineLevel="0" collapsed="false">
      <c r="A76" s="370"/>
      <c r="B76" s="318"/>
      <c r="C76" s="12"/>
      <c r="D76" s="325"/>
      <c r="E76" s="14"/>
      <c r="F76" s="267"/>
      <c r="G76" s="16"/>
      <c r="H76" s="17" t="n">
        <f aca="false">D76-G76</f>
        <v>0</v>
      </c>
      <c r="I76" s="321"/>
    </row>
    <row r="77" customFormat="false" ht="18.6" hidden="false" customHeight="true" outlineLevel="0" collapsed="false">
      <c r="A77" s="370"/>
      <c r="B77" s="11"/>
      <c r="C77" s="12"/>
      <c r="D77" s="264"/>
      <c r="E77" s="14"/>
      <c r="F77" s="267"/>
      <c r="G77" s="266"/>
      <c r="H77" s="17" t="n">
        <f aca="false">D77-G77</f>
        <v>0</v>
      </c>
      <c r="I77" s="265"/>
    </row>
    <row r="78" customFormat="false" ht="18.6" hidden="false" customHeight="true" outlineLevel="0" collapsed="false">
      <c r="A78" s="370"/>
      <c r="B78" s="293"/>
      <c r="C78" s="12"/>
      <c r="D78" s="264"/>
      <c r="E78" s="14"/>
      <c r="F78" s="267"/>
      <c r="G78" s="266"/>
      <c r="H78" s="17" t="n">
        <f aca="false">D78-G78</f>
        <v>0</v>
      </c>
      <c r="I78" s="263"/>
    </row>
    <row r="79" customFormat="false" ht="18.6" hidden="false" customHeight="true" outlineLevel="0" collapsed="false">
      <c r="A79" s="370"/>
      <c r="B79" s="293"/>
      <c r="C79" s="12"/>
      <c r="D79" s="264"/>
      <c r="E79" s="458"/>
      <c r="F79" s="267"/>
      <c r="G79" s="266"/>
      <c r="H79" s="17" t="n">
        <f aca="false">D79-G79</f>
        <v>0</v>
      </c>
      <c r="I79" s="265"/>
    </row>
    <row r="80" customFormat="false" ht="18.6" hidden="false" customHeight="true" outlineLevel="0" collapsed="false">
      <c r="A80" s="370"/>
      <c r="B80" s="293"/>
      <c r="C80" s="12"/>
      <c r="D80" s="264"/>
      <c r="E80" s="14"/>
      <c r="F80" s="267"/>
      <c r="G80" s="266"/>
      <c r="H80" s="17" t="n">
        <f aca="false">D80-G80</f>
        <v>0</v>
      </c>
      <c r="I80" s="263"/>
    </row>
    <row r="81" customFormat="false" ht="18.6" hidden="false" customHeight="true" outlineLevel="0" collapsed="false">
      <c r="A81" s="370"/>
      <c r="B81" s="293"/>
      <c r="C81" s="12"/>
      <c r="D81" s="264"/>
      <c r="E81" s="14"/>
      <c r="F81" s="267"/>
      <c r="G81" s="266"/>
      <c r="H81" s="17" t="n">
        <f aca="false">D81-G81</f>
        <v>0</v>
      </c>
      <c r="I81" s="263"/>
    </row>
    <row r="82" customFormat="false" ht="18.6" hidden="false" customHeight="true" outlineLevel="0" collapsed="false">
      <c r="A82" s="370"/>
      <c r="B82" s="318"/>
      <c r="C82" s="319"/>
      <c r="D82" s="264"/>
      <c r="E82" s="14"/>
      <c r="F82" s="320"/>
      <c r="G82" s="266"/>
      <c r="H82" s="17" t="n">
        <f aca="false">D82-G82</f>
        <v>0</v>
      </c>
      <c r="I82" s="321"/>
    </row>
    <row r="83" customFormat="false" ht="18.6" hidden="false" customHeight="true" outlineLevel="0" collapsed="false">
      <c r="A83" s="370"/>
      <c r="B83" s="318"/>
      <c r="C83" s="319"/>
      <c r="D83" s="264"/>
      <c r="E83" s="14"/>
      <c r="F83" s="320"/>
      <c r="G83" s="266"/>
      <c r="H83" s="17" t="n">
        <f aca="false">D83-G83</f>
        <v>0</v>
      </c>
      <c r="I83" s="321"/>
    </row>
    <row r="84" customFormat="false" ht="18.6" hidden="false" customHeight="true" outlineLevel="0" collapsed="false">
      <c r="A84" s="370"/>
      <c r="B84" s="318"/>
      <c r="C84" s="319"/>
      <c r="D84" s="264"/>
      <c r="E84" s="14"/>
      <c r="F84" s="320"/>
      <c r="G84" s="266"/>
      <c r="H84" s="17" t="n">
        <f aca="false">D84-G84</f>
        <v>0</v>
      </c>
      <c r="I84" s="321"/>
    </row>
    <row r="85" customFormat="false" ht="18.6" hidden="false" customHeight="true" outlineLevel="0" collapsed="false">
      <c r="A85" s="370"/>
      <c r="B85" s="318"/>
      <c r="C85" s="319"/>
      <c r="D85" s="264"/>
      <c r="E85" s="14"/>
      <c r="F85" s="320"/>
      <c r="G85" s="266"/>
      <c r="H85" s="17" t="n">
        <f aca="false">D85-G85</f>
        <v>0</v>
      </c>
      <c r="I85" s="321"/>
    </row>
    <row r="86" customFormat="false" ht="20.25" hidden="false" customHeight="true" outlineLevel="0" collapsed="false">
      <c r="A86" s="370"/>
      <c r="B86" s="318"/>
      <c r="C86" s="319"/>
      <c r="D86" s="264"/>
      <c r="E86" s="14"/>
      <c r="F86" s="320"/>
      <c r="G86" s="266"/>
      <c r="H86" s="17" t="n">
        <f aca="false">D86-G86</f>
        <v>0</v>
      </c>
      <c r="I86" s="321"/>
    </row>
    <row r="87" customFormat="false" ht="20.25" hidden="false" customHeight="true" outlineLevel="0" collapsed="false">
      <c r="A87" s="370"/>
      <c r="B87" s="318"/>
      <c r="C87" s="319"/>
      <c r="D87" s="264"/>
      <c r="E87" s="14"/>
      <c r="F87" s="320"/>
      <c r="G87" s="266"/>
      <c r="H87" s="17" t="n">
        <f aca="false">D87-G87</f>
        <v>0</v>
      </c>
      <c r="I87" s="321"/>
    </row>
    <row r="88" customFormat="false" ht="20.25" hidden="false" customHeight="true" outlineLevel="0" collapsed="false">
      <c r="A88" s="370"/>
      <c r="B88" s="318"/>
      <c r="C88" s="319"/>
      <c r="D88" s="264"/>
      <c r="E88" s="14"/>
      <c r="F88" s="320"/>
      <c r="G88" s="268"/>
      <c r="H88" s="17" t="n">
        <f aca="false">D88-G88</f>
        <v>0</v>
      </c>
      <c r="I88" s="321"/>
    </row>
    <row r="89" customFormat="false" ht="20.25" hidden="false" customHeight="true" outlineLevel="0" collapsed="false">
      <c r="A89" s="370"/>
      <c r="B89" s="318"/>
      <c r="C89" s="319"/>
      <c r="D89" s="264"/>
      <c r="E89" s="14"/>
      <c r="F89" s="320"/>
      <c r="G89" s="268"/>
      <c r="H89" s="17" t="n">
        <f aca="false">D89-G89</f>
        <v>0</v>
      </c>
      <c r="I89" s="321"/>
    </row>
    <row r="90" customFormat="false" ht="20.25" hidden="false" customHeight="true" outlineLevel="0" collapsed="false">
      <c r="A90" s="370"/>
      <c r="B90" s="318"/>
      <c r="C90" s="319"/>
      <c r="D90" s="264"/>
      <c r="E90" s="14"/>
      <c r="F90" s="320"/>
      <c r="G90" s="268"/>
      <c r="H90" s="17" t="n">
        <f aca="false">D90-G90</f>
        <v>0</v>
      </c>
      <c r="I90" s="324"/>
    </row>
    <row r="91" customFormat="false" ht="20.25" hidden="false" customHeight="true" outlineLevel="0" collapsed="false">
      <c r="A91" s="370"/>
      <c r="B91" s="318"/>
      <c r="C91" s="319"/>
      <c r="D91" s="264"/>
      <c r="E91" s="14"/>
      <c r="F91" s="320"/>
      <c r="G91" s="268"/>
      <c r="H91" s="17" t="n">
        <f aca="false">D91-G91</f>
        <v>0</v>
      </c>
      <c r="I91" s="321"/>
    </row>
    <row r="92" customFormat="false" ht="20.25" hidden="false" customHeight="true" outlineLevel="0" collapsed="false">
      <c r="A92" s="370"/>
      <c r="B92" s="318"/>
      <c r="C92" s="319"/>
      <c r="D92" s="264"/>
      <c r="E92" s="14"/>
      <c r="F92" s="320"/>
      <c r="G92" s="268"/>
      <c r="H92" s="17" t="n">
        <f aca="false">D92-G92</f>
        <v>0</v>
      </c>
      <c r="I92" s="324"/>
    </row>
    <row r="93" customFormat="false" ht="20.25" hidden="false" customHeight="true" outlineLevel="0" collapsed="false">
      <c r="A93" s="370"/>
      <c r="B93" s="318"/>
      <c r="C93" s="319"/>
      <c r="D93" s="264"/>
      <c r="E93" s="326"/>
      <c r="F93" s="320"/>
      <c r="G93" s="268"/>
      <c r="H93" s="17" t="n">
        <f aca="false">D93-G93</f>
        <v>0</v>
      </c>
      <c r="I93" s="324"/>
    </row>
    <row r="94" customFormat="false" ht="20.25" hidden="false" customHeight="true" outlineLevel="0" collapsed="false">
      <c r="A94" s="370"/>
      <c r="B94" s="293"/>
      <c r="C94" s="12"/>
      <c r="D94" s="264"/>
      <c r="E94" s="14"/>
      <c r="F94" s="267"/>
      <c r="G94" s="268"/>
      <c r="H94" s="17" t="n">
        <f aca="false">D94-G94</f>
        <v>0</v>
      </c>
      <c r="I94" s="263"/>
    </row>
    <row r="95" customFormat="false" ht="20.25" hidden="false" customHeight="true" outlineLevel="0" collapsed="false">
      <c r="A95" s="370"/>
      <c r="B95" s="318"/>
      <c r="C95" s="319"/>
      <c r="D95" s="264"/>
      <c r="E95" s="233"/>
      <c r="F95" s="320"/>
      <c r="G95" s="268"/>
      <c r="H95" s="17" t="n">
        <f aca="false">D95-G95</f>
        <v>0</v>
      </c>
      <c r="I95" s="324"/>
    </row>
    <row r="96" customFormat="false" ht="20.25" hidden="false" customHeight="true" outlineLevel="0" collapsed="false">
      <c r="A96" s="370"/>
      <c r="B96" s="318"/>
      <c r="C96" s="319"/>
      <c r="D96" s="264"/>
      <c r="E96" s="326"/>
      <c r="F96" s="320"/>
      <c r="G96" s="268"/>
      <c r="H96" s="17"/>
      <c r="I96" s="321"/>
    </row>
    <row r="97" customFormat="false" ht="20.25" hidden="false" customHeight="true" outlineLevel="0" collapsed="false">
      <c r="A97" s="370"/>
      <c r="B97" s="318"/>
      <c r="C97" s="319"/>
      <c r="D97" s="264"/>
      <c r="E97" s="326"/>
      <c r="F97" s="320"/>
      <c r="G97" s="268"/>
      <c r="H97" s="17" t="n">
        <f aca="false">D97-G97</f>
        <v>0</v>
      </c>
      <c r="I97" s="321"/>
    </row>
    <row r="98" customFormat="false" ht="20.25" hidden="false" customHeight="true" outlineLevel="0" collapsed="false">
      <c r="A98" s="370"/>
      <c r="B98" s="318"/>
      <c r="C98" s="319"/>
      <c r="D98" s="264"/>
      <c r="E98" s="326"/>
      <c r="F98" s="320"/>
      <c r="G98" s="268"/>
      <c r="H98" s="17" t="n">
        <f aca="false">D98-G98</f>
        <v>0</v>
      </c>
      <c r="I98" s="321"/>
    </row>
    <row r="99" customFormat="false" ht="18.6" hidden="false" customHeight="true" outlineLevel="0" collapsed="false">
      <c r="A99" s="370"/>
      <c r="B99" s="307" t="s">
        <v>35</v>
      </c>
      <c r="C99" s="308"/>
      <c r="D99" s="309" t="n">
        <f aca="false">SUM(D70:D98)</f>
        <v>4300</v>
      </c>
      <c r="E99" s="310"/>
      <c r="F99" s="311"/>
      <c r="G99" s="312"/>
      <c r="H99" s="291" t="n">
        <f aca="false">+SUM(H70:H90)</f>
        <v>4300</v>
      </c>
      <c r="I99" s="292"/>
    </row>
    <row r="100" customFormat="false" ht="21" hidden="false" customHeight="true" outlineLevel="0" collapsed="false">
      <c r="A100" s="327"/>
      <c r="B100" s="31"/>
      <c r="C100" s="32"/>
      <c r="D100" s="33"/>
      <c r="E100" s="34"/>
    </row>
    <row r="101" customFormat="false" ht="21" hidden="false" customHeight="true" outlineLevel="0" collapsed="false">
      <c r="A101" s="327" t="s">
        <v>388</v>
      </c>
      <c r="B101" s="31"/>
      <c r="C101" s="32"/>
      <c r="D101" s="328" t="n">
        <f aca="false">+SUM(D99+D69+D28)</f>
        <v>85807.76</v>
      </c>
      <c r="H101" s="328" t="n">
        <f aca="false">+SUM(H99+H69+H28)</f>
        <v>45807.76</v>
      </c>
    </row>
  </sheetData>
  <mergeCells count="7">
    <mergeCell ref="A2:A27"/>
    <mergeCell ref="K8:M8"/>
    <mergeCell ref="K10:L10"/>
    <mergeCell ref="K13:M13"/>
    <mergeCell ref="K16:M16"/>
    <mergeCell ref="A29:A69"/>
    <mergeCell ref="A70:A99"/>
  </mergeCells>
  <conditionalFormatting sqref="C70:E70 C19:E19 B23 I12:I13 B2:I2 B73:D74 B77:D77 B82:D92 F82:G92 B93:G99 B71:E72 B53:G53 B68:G69 B78:G81 F3:F23 G3:G19 I3:I10 B3:E18 H3:H27 B60:G65 I70:I99 H29:H44 B41:G41 I43 B46:G46 I46 B48:G48 I48 C75:D76 B42:E43 G42:G43 F70:G77 I60:I65 I68 H46:H68 H70:H98">
    <cfRule type="expression" priority="2" aboveAverage="0" equalAverage="0" bottom="0" percent="0" rank="0" text="" dxfId="1053">
      <formula>MOD(ROW(),2)=1</formula>
    </cfRule>
  </conditionalFormatting>
  <conditionalFormatting sqref="F2:G11">
    <cfRule type="timePeriod" priority="3" timePeriod="yesterday" dxfId="1054"/>
    <cfRule type="timePeriod" priority="4" timePeriod="today" dxfId="1055"/>
    <cfRule type="cellIs" priority="5" operator="lessThan" aboveAverage="0" equalAverage="0" bottom="0" percent="0" rank="0" text="" dxfId="1056">
      <formula>_xludf.today()</formula>
    </cfRule>
  </conditionalFormatting>
  <conditionalFormatting sqref="F20:F23 F53:G53 F2:G19 F60:G65 F41:G41 F46:G46 F48:G48 G42:G43 F68:G99">
    <cfRule type="cellIs" priority="6" operator="lessThan" aboveAverage="0" equalAverage="0" bottom="0" percent="0" rank="0" text="" dxfId="1057">
      <formula>TODAY()</formula>
    </cfRule>
    <cfRule type="timePeriod" priority="7" timePeriod="last7Days" dxfId="1058"/>
    <cfRule type="timePeriod" priority="8" timePeriod="yesterday" dxfId="1059"/>
    <cfRule type="timePeriod" priority="9" timePeriod="lastMonth" dxfId="1060"/>
    <cfRule type="timePeriod" priority="10" timePeriod="yesterday" dxfId="1061"/>
    <cfRule type="timePeriod" priority="11" timePeriod="today" dxfId="1062"/>
  </conditionalFormatting>
  <conditionalFormatting sqref="B70">
    <cfRule type="expression" priority="12" aboveAverage="0" equalAverage="0" bottom="0" percent="0" rank="0" text="" dxfId="1063">
      <formula>MOD(ROW(),2)=1</formula>
    </cfRule>
  </conditionalFormatting>
  <conditionalFormatting sqref="F12:G12">
    <cfRule type="timePeriod" priority="13" timePeriod="yesterday" dxfId="1064"/>
    <cfRule type="timePeriod" priority="14" timePeriod="today" dxfId="1065"/>
    <cfRule type="cellIs" priority="15" operator="lessThan" aboveAverage="0" equalAverage="0" bottom="0" percent="0" rank="0" text="" dxfId="1066">
      <formula>_xludf.today()</formula>
    </cfRule>
  </conditionalFormatting>
  <conditionalFormatting sqref="F13:G13">
    <cfRule type="timePeriod" priority="16" timePeriod="yesterday" dxfId="1067"/>
    <cfRule type="timePeriod" priority="17" timePeriod="today" dxfId="1068"/>
    <cfRule type="cellIs" priority="18" operator="lessThan" aboveAverage="0" equalAverage="0" bottom="0" percent="0" rank="0" text="" dxfId="1069">
      <formula>_xludf.today()</formula>
    </cfRule>
  </conditionalFormatting>
  <conditionalFormatting sqref="B20:G23 B24:C24 F24:G24">
    <cfRule type="expression" priority="19" aboveAverage="0" equalAverage="0" bottom="0" percent="0" rank="0" text="" dxfId="1070">
      <formula>MOD(ROW(),2)=1</formula>
    </cfRule>
  </conditionalFormatting>
  <conditionalFormatting sqref="F20:G24">
    <cfRule type="cellIs" priority="20" operator="lessThan" aboveAverage="0" equalAverage="0" bottom="0" percent="0" rank="0" text="" dxfId="1071">
      <formula>TODAY()</formula>
    </cfRule>
    <cfRule type="timePeriod" priority="21" timePeriod="last7Days" dxfId="1072"/>
    <cfRule type="timePeriod" priority="22" timePeriod="yesterday" dxfId="1073"/>
    <cfRule type="timePeriod" priority="23" timePeriod="lastMonth" dxfId="1074"/>
    <cfRule type="timePeriod" priority="24" timePeriod="yesterday" dxfId="1075"/>
    <cfRule type="timePeriod" priority="25" timePeriod="today" dxfId="1076"/>
  </conditionalFormatting>
  <conditionalFormatting sqref="B25:G27">
    <cfRule type="expression" priority="26" aboveAverage="0" equalAverage="0" bottom="0" percent="0" rank="0" text="" dxfId="1077">
      <formula>MOD(ROW(),2)=1</formula>
    </cfRule>
  </conditionalFormatting>
  <conditionalFormatting sqref="F25:G27">
    <cfRule type="cellIs" priority="27" operator="lessThan" aboveAverage="0" equalAverage="0" bottom="0" percent="0" rank="0" text="" dxfId="1078">
      <formula>TODAY()</formula>
    </cfRule>
    <cfRule type="timePeriod" priority="28" timePeriod="last7Days" dxfId="1079"/>
    <cfRule type="timePeriod" priority="29" timePeriod="yesterday" dxfId="1080"/>
    <cfRule type="timePeriod" priority="30" timePeriod="lastMonth" dxfId="1081"/>
    <cfRule type="timePeriod" priority="31" timePeriod="yesterday" dxfId="1082"/>
    <cfRule type="timePeriod" priority="32" timePeriod="today" dxfId="1083"/>
  </conditionalFormatting>
  <conditionalFormatting sqref="I14:I24">
    <cfRule type="expression" priority="33" aboveAverage="0" equalAverage="0" bottom="0" percent="0" rank="0" text="" dxfId="1084">
      <formula>MOD(ROW(),2)=1</formula>
    </cfRule>
  </conditionalFormatting>
  <conditionalFormatting sqref="B75:B76">
    <cfRule type="expression" priority="35" aboveAverage="0" equalAverage="0" bottom="0" percent="0" rank="0" text="" dxfId="1085">
      <formula>MOD(ROW(),2)=1</formula>
    </cfRule>
  </conditionalFormatting>
  <conditionalFormatting sqref="E76">
    <cfRule type="expression" priority="36" aboveAverage="0" equalAverage="0" bottom="0" percent="0" rank="0" text="" dxfId="1086">
      <formula>MOD(ROW(),2)=1</formula>
    </cfRule>
  </conditionalFormatting>
  <conditionalFormatting sqref="F13:F14">
    <cfRule type="timePeriod" priority="37" timePeriod="yesterday" dxfId="1087"/>
    <cfRule type="timePeriod" priority="38" timePeriod="today" dxfId="1088"/>
    <cfRule type="cellIs" priority="39" operator="lessThan" aboveAverage="0" equalAverage="0" bottom="0" percent="0" rank="0" text="" dxfId="1089">
      <formula>_xludf.today()</formula>
    </cfRule>
  </conditionalFormatting>
  <conditionalFormatting sqref="F15">
    <cfRule type="timePeriod" priority="40" timePeriod="yesterday" dxfId="1090"/>
    <cfRule type="timePeriod" priority="41" timePeriod="today" dxfId="1091"/>
    <cfRule type="cellIs" priority="42" operator="lessThan" aboveAverage="0" equalAverage="0" bottom="0" percent="0" rank="0" text="" dxfId="1092">
      <formula>_xludf.today()</formula>
    </cfRule>
  </conditionalFormatting>
  <conditionalFormatting sqref="F18">
    <cfRule type="timePeriod" priority="43" timePeriod="yesterday" dxfId="1093"/>
    <cfRule type="timePeriod" priority="44" timePeriod="today" dxfId="1094"/>
    <cfRule type="cellIs" priority="45" operator="lessThan" aboveAverage="0" equalAverage="0" bottom="0" percent="0" rank="0" text="" dxfId="1095">
      <formula>_xludf.today()</formula>
    </cfRule>
  </conditionalFormatting>
  <conditionalFormatting sqref="B19">
    <cfRule type="expression" priority="46" aboveAverage="0" equalAverage="0" bottom="0" percent="0" rank="0" text="" dxfId="1096">
      <formula>MOD(ROW(),2)=1</formula>
    </cfRule>
  </conditionalFormatting>
  <conditionalFormatting sqref="B19">
    <cfRule type="expression" priority="47" aboveAverage="0" equalAverage="0" bottom="0" percent="0" rank="0" text="" dxfId="1097">
      <formula>MOD(ROW(),2)=1</formula>
    </cfRule>
  </conditionalFormatting>
  <conditionalFormatting sqref="B20:B22">
    <cfRule type="expression" priority="48" aboveAverage="0" equalAverage="0" bottom="0" percent="0" rank="0" text="" dxfId="1098">
      <formula>MOD(ROW(),2)=1</formula>
    </cfRule>
  </conditionalFormatting>
  <conditionalFormatting sqref="I69">
    <cfRule type="expression" priority="49" aboveAverage="0" equalAverage="0" bottom="0" percent="0" rank="0" text="" dxfId="1099">
      <formula>MOD(ROW(),2)=1</formula>
    </cfRule>
  </conditionalFormatting>
  <conditionalFormatting sqref="I69">
    <cfRule type="expression" priority="51" aboveAverage="0" equalAverage="0" bottom="0" percent="0" rank="0" text="" dxfId="1100">
      <formula>MOD(ROW(),2)=1</formula>
    </cfRule>
  </conditionalFormatting>
  <conditionalFormatting sqref="H69">
    <cfRule type="expression" priority="52" aboveAverage="0" equalAverage="0" bottom="0" percent="0" rank="0" text="" dxfId="1101">
      <formula>MOD(ROW(),2)=1</formula>
    </cfRule>
  </conditionalFormatting>
  <conditionalFormatting sqref="H99">
    <cfRule type="expression" priority="53" aboveAverage="0" equalAverage="0" bottom="0" percent="0" rank="0" text="" dxfId="1102">
      <formula>MOD(ROW(),2)=1</formula>
    </cfRule>
  </conditionalFormatting>
  <conditionalFormatting sqref="I25:I27">
    <cfRule type="expression" priority="54" aboveAverage="0" equalAverage="0" bottom="0" percent="0" rank="0" text="" dxfId="1103">
      <formula>MOD(ROW(),2)=1</formula>
    </cfRule>
  </conditionalFormatting>
  <conditionalFormatting sqref="I11">
    <cfRule type="expression" priority="56" aboveAverage="0" equalAverage="0" bottom="0" percent="0" rank="0" text="" dxfId="1104">
      <formula>MOD(ROW(),2)=1</formula>
    </cfRule>
  </conditionalFormatting>
  <conditionalFormatting sqref="D29:G29 D32:E33 D36:E37 D40:G40 D51:E52 D54:E55 D58:E59 G58:G59 G54:G55 G51:G52 G36:G37 G32:G33">
    <cfRule type="expression" priority="58" aboveAverage="0" equalAverage="0" bottom="0" percent="0" rank="0" text="" dxfId="1105">
      <formula>MOD(ROW(),2)=1</formula>
    </cfRule>
  </conditionalFormatting>
  <conditionalFormatting sqref="F29:G29 G32:G33 G36:G37 F40:G40 G51:G52 G54:G55 G58:G59">
    <cfRule type="cellIs" priority="59" operator="lessThan" aboveAverage="0" equalAverage="0" bottom="0" percent="0" rank="0" text="" dxfId="1106">
      <formula>TODAY()</formula>
    </cfRule>
    <cfRule type="timePeriod" priority="60" timePeriod="last7Days" dxfId="1107"/>
    <cfRule type="timePeriod" priority="61" timePeriod="yesterday" dxfId="1108"/>
    <cfRule type="timePeriod" priority="62" timePeriod="lastMonth" dxfId="1109"/>
    <cfRule type="timePeriod" priority="63" timePeriod="yesterday" dxfId="1110"/>
    <cfRule type="timePeriod" priority="64" timePeriod="today" dxfId="1111"/>
  </conditionalFormatting>
  <conditionalFormatting sqref="B30:G30 B34:E35 B39:G39 B44:E44 B47:G47 B49:E50 B56:E57 B29:C29 B32:C33 B36:C37 B40:C40 B51:C52 B54:C55 B58:C59 G56:G57 G49:G50 B38:E38 G38 G34:G35 B31:E31 G31 G44">
    <cfRule type="expression" priority="65" aboveAverage="0" equalAverage="0" bottom="0" percent="0" rank="0" text="" dxfId="1112">
      <formula>MOD(ROW(),2)=1</formula>
    </cfRule>
  </conditionalFormatting>
  <conditionalFormatting sqref="F30:G30 G34:G35 F39:G39 G44 F47:G47 G49:G50 G56:G57 G38 G31">
    <cfRule type="cellIs" priority="66" operator="lessThan" aboveAverage="0" equalAverage="0" bottom="0" percent="0" rank="0" text="" dxfId="1113">
      <formula>TODAY()</formula>
    </cfRule>
    <cfRule type="timePeriod" priority="67" timePeriod="last7Days" dxfId="1114"/>
    <cfRule type="timePeriod" priority="68" timePeriod="yesterday" dxfId="1115"/>
    <cfRule type="timePeriod" priority="69" timePeriod="lastMonth" dxfId="1116"/>
    <cfRule type="timePeriod" priority="70" timePeriod="yesterday" dxfId="1117"/>
    <cfRule type="timePeriod" priority="71" timePeriod="today" dxfId="1118"/>
  </conditionalFormatting>
  <conditionalFormatting sqref="I30 I34 I38 I41 I44 I47 I49 I94">
    <cfRule type="expression" priority="72" aboveAverage="0" equalAverage="0" bottom="0" percent="0" rank="0" text="" dxfId="1119">
      <formula>MOD(ROW(),2)=1</formula>
    </cfRule>
  </conditionalFormatting>
  <conditionalFormatting sqref="I31 I35 I39 I42 I45 I50 I53 I57">
    <cfRule type="expression" priority="73" aboveAverage="0" equalAverage="0" bottom="0" percent="0" rank="0" text="" dxfId="1120">
      <formula>MOD(ROW(),2)=1</formula>
    </cfRule>
  </conditionalFormatting>
  <conditionalFormatting sqref="I29 I32:I33 I36:I37 I40 I51:I52 I54:I55 I58:I59">
    <cfRule type="expression" priority="74" aboveAverage="0" equalAverage="0" bottom="0" percent="0" rank="0" text="" dxfId="1121">
      <formula>MOD(ROW(),2)=1</formula>
    </cfRule>
  </conditionalFormatting>
  <conditionalFormatting sqref="E73:E75">
    <cfRule type="expression" priority="75" aboveAverage="0" equalAverage="0" bottom="0" percent="0" rank="0" text="" dxfId="1122">
      <formula>MOD(ROW(),2)=1</formula>
    </cfRule>
  </conditionalFormatting>
  <conditionalFormatting sqref="E77 E82:E92">
    <cfRule type="expression" priority="76" aboveAverage="0" equalAverage="0" bottom="0" percent="0" rank="0" text="" dxfId="1123">
      <formula>MOD(ROW(),2)=1</formula>
    </cfRule>
  </conditionalFormatting>
  <conditionalFormatting sqref="D24">
    <cfRule type="expression" priority="77" aboveAverage="0" equalAverage="0" bottom="0" percent="0" rank="0" text="" dxfId="1124">
      <formula>MOD(ROW(),2)=1</formula>
    </cfRule>
  </conditionalFormatting>
  <conditionalFormatting sqref="E24">
    <cfRule type="expression" priority="78" aboveAverage="0" equalAverage="0" bottom="0" percent="0" rank="0" text="" dxfId="1125">
      <formula>MOD(ROW(),2)=1</formula>
    </cfRule>
  </conditionalFormatting>
  <conditionalFormatting sqref="H45">
    <cfRule type="expression" priority="79" aboveAverage="0" equalAverage="0" bottom="0" percent="0" rank="0" text="" dxfId="1126">
      <formula>MOD(ROW(),2)=1</formula>
    </cfRule>
  </conditionalFormatting>
  <conditionalFormatting sqref="B45:G45">
    <cfRule type="expression" priority="80" aboveAverage="0" equalAverage="0" bottom="0" percent="0" rank="0" text="" dxfId="1127">
      <formula>MOD(ROW(),2)=1</formula>
    </cfRule>
  </conditionalFormatting>
  <conditionalFormatting sqref="F45:G45">
    <cfRule type="cellIs" priority="81" operator="lessThan" aboveAverage="0" equalAverage="0" bottom="0" percent="0" rank="0" text="" dxfId="1128">
      <formula>TODAY()</formula>
    </cfRule>
    <cfRule type="timePeriod" priority="82" timePeriod="last7Days" dxfId="1129"/>
    <cfRule type="timePeriod" priority="83" timePeriod="yesterday" dxfId="1130"/>
    <cfRule type="timePeriod" priority="84" timePeriod="lastMonth" dxfId="1131"/>
    <cfRule type="timePeriod" priority="85" timePeriod="yesterday" dxfId="1132"/>
    <cfRule type="timePeriod" priority="86" timePeriod="today" dxfId="1133"/>
  </conditionalFormatting>
  <conditionalFormatting sqref="B66:G66">
    <cfRule type="expression" priority="87" aboveAverage="0" equalAverage="0" bottom="0" percent="0" rank="0" text="" dxfId="1134">
      <formula>MOD(ROW(),2)=1</formula>
    </cfRule>
  </conditionalFormatting>
  <conditionalFormatting sqref="F66:G66">
    <cfRule type="cellIs" priority="88" operator="lessThan" aboveAverage="0" equalAverage="0" bottom="0" percent="0" rank="0" text="" dxfId="1135">
      <formula>TODAY()</formula>
    </cfRule>
    <cfRule type="timePeriod" priority="89" timePeriod="last7Days" dxfId="1136"/>
    <cfRule type="timePeriod" priority="90" timePeriod="yesterday" dxfId="1137"/>
    <cfRule type="timePeriod" priority="91" timePeriod="lastMonth" dxfId="1138"/>
    <cfRule type="timePeriod" priority="92" timePeriod="yesterday" dxfId="1139"/>
    <cfRule type="timePeriod" priority="93" timePeriod="today" dxfId="1140"/>
  </conditionalFormatting>
  <conditionalFormatting sqref="I66">
    <cfRule type="expression" priority="94" aboveAverage="0" equalAverage="0" bottom="0" percent="0" rank="0" text="" dxfId="1141">
      <formula>MOD(ROW(),2)=1</formula>
    </cfRule>
  </conditionalFormatting>
  <conditionalFormatting sqref="B67:D67 F67:G67 I67">
    <cfRule type="expression" priority="96" aboveAverage="0" equalAverage="0" bottom="0" percent="0" rank="0" text="" dxfId="1142">
      <formula>MOD(ROW(),2)=1</formula>
    </cfRule>
  </conditionalFormatting>
  <conditionalFormatting sqref="F67:G67">
    <cfRule type="cellIs" priority="97" operator="lessThan" aboveAverage="0" equalAverage="0" bottom="0" percent="0" rank="0" text="" dxfId="1143">
      <formula>TODAY()</formula>
    </cfRule>
    <cfRule type="timePeriod" priority="98" timePeriod="last7Days" dxfId="1144"/>
    <cfRule type="timePeriod" priority="99" timePeriod="yesterday" dxfId="1145"/>
    <cfRule type="timePeriod" priority="100" timePeriod="lastMonth" dxfId="1146"/>
    <cfRule type="timePeriod" priority="101" timePeriod="yesterday" dxfId="1147"/>
    <cfRule type="timePeriod" priority="102" timePeriod="today" dxfId="1148"/>
  </conditionalFormatting>
  <conditionalFormatting sqref="E67">
    <cfRule type="expression" priority="103" aboveAverage="0" equalAverage="0" bottom="0" percent="0" rank="0" text="" dxfId="1149">
      <formula>MOD(ROW(),2)=1</formula>
    </cfRule>
  </conditionalFormatting>
  <conditionalFormatting sqref="B28:G28">
    <cfRule type="expression" priority="104" aboveAverage="0" equalAverage="0" bottom="0" percent="0" rank="0" text="" dxfId="1150">
      <formula>MOD(ROW(),2)=1</formula>
    </cfRule>
  </conditionalFormatting>
  <conditionalFormatting sqref="F28:G28">
    <cfRule type="cellIs" priority="105" operator="lessThan" aboveAverage="0" equalAverage="0" bottom="0" percent="0" rank="0" text="" dxfId="1151">
      <formula>TODAY()</formula>
    </cfRule>
    <cfRule type="timePeriod" priority="106" timePeriod="last7Days" dxfId="1152"/>
    <cfRule type="timePeriod" priority="107" timePeriod="yesterday" dxfId="1153"/>
    <cfRule type="timePeriod" priority="108" timePeriod="lastMonth" dxfId="1154"/>
    <cfRule type="timePeriod" priority="109" timePeriod="yesterday" dxfId="1155"/>
    <cfRule type="timePeriod" priority="110" timePeriod="today" dxfId="1156"/>
  </conditionalFormatting>
  <conditionalFormatting sqref="I28">
    <cfRule type="expression" priority="111" aboveAverage="0" equalAverage="0" bottom="0" percent="0" rank="0" text="" dxfId="1157">
      <formula>MOD(ROW(),2)=1</formula>
    </cfRule>
  </conditionalFormatting>
  <conditionalFormatting sqref="I28">
    <cfRule type="expression" priority="113" aboveAverage="0" equalAverage="0" bottom="0" percent="0" rank="0" text="" dxfId="1158">
      <formula>MOD(ROW(),2)=1</formula>
    </cfRule>
  </conditionalFormatting>
  <conditionalFormatting sqref="H28">
    <cfRule type="expression" priority="114" aboveAverage="0" equalAverage="0" bottom="0" percent="0" rank="0" text="" dxfId="1159">
      <formula>MOD(ROW(),2)=1</formula>
    </cfRule>
  </conditionalFormatting>
  <conditionalFormatting sqref="I56">
    <cfRule type="expression" priority="115" aboveAverage="0" equalAverage="0" bottom="0" percent="0" rank="0" text="" dxfId="1160">
      <formula>MOD(ROW(),2)=1</formula>
    </cfRule>
  </conditionalFormatting>
  <conditionalFormatting sqref="F54:F59">
    <cfRule type="expression" priority="117" aboveAverage="0" equalAverage="0" bottom="0" percent="0" rank="0" text="" dxfId="1161">
      <formula>MOD(ROW(),2)=1</formula>
    </cfRule>
  </conditionalFormatting>
  <conditionalFormatting sqref="F54:F59">
    <cfRule type="cellIs" priority="118" operator="lessThan" aboveAverage="0" equalAverage="0" bottom="0" percent="0" rank="0" text="" dxfId="1162">
      <formula>TODAY()</formula>
    </cfRule>
    <cfRule type="timePeriod" priority="119" timePeriod="last7Days" dxfId="1163"/>
    <cfRule type="timePeriod" priority="120" timePeriod="yesterday" dxfId="1164"/>
    <cfRule type="timePeriod" priority="121" timePeriod="lastMonth" dxfId="1165"/>
    <cfRule type="timePeriod" priority="122" timePeriod="yesterday" dxfId="1166"/>
    <cfRule type="timePeriod" priority="123" timePeriod="today" dxfId="1167"/>
  </conditionalFormatting>
  <conditionalFormatting sqref="F49:F52">
    <cfRule type="expression" priority="124" aboveAverage="0" equalAverage="0" bottom="0" percent="0" rank="0" text="" dxfId="1168">
      <formula>MOD(ROW(),2)=1</formula>
    </cfRule>
  </conditionalFormatting>
  <conditionalFormatting sqref="F49:F52">
    <cfRule type="cellIs" priority="125" operator="lessThan" aboveAverage="0" equalAverage="0" bottom="0" percent="0" rank="0" text="" dxfId="1169">
      <formula>TODAY()</formula>
    </cfRule>
    <cfRule type="timePeriod" priority="126" timePeriod="last7Days" dxfId="1170"/>
    <cfRule type="timePeriod" priority="127" timePeriod="yesterday" dxfId="1171"/>
    <cfRule type="timePeriod" priority="128" timePeriod="lastMonth" dxfId="1172"/>
    <cfRule type="timePeriod" priority="129" timePeriod="yesterday" dxfId="1173"/>
    <cfRule type="timePeriod" priority="130" timePeriod="today" dxfId="1174"/>
  </conditionalFormatting>
  <conditionalFormatting sqref="F31:F38">
    <cfRule type="expression" priority="131" aboveAverage="0" equalAverage="0" bottom="0" percent="0" rank="0" text="" dxfId="1175">
      <formula>MOD(ROW(),2)=1</formula>
    </cfRule>
  </conditionalFormatting>
  <conditionalFormatting sqref="F31:F38">
    <cfRule type="cellIs" priority="132" operator="lessThan" aboveAverage="0" equalAverage="0" bottom="0" percent="0" rank="0" text="" dxfId="1176">
      <formula>TODAY()</formula>
    </cfRule>
    <cfRule type="timePeriod" priority="133" timePeriod="last7Days" dxfId="1177"/>
    <cfRule type="timePeriod" priority="134" timePeriod="yesterday" dxfId="1178"/>
    <cfRule type="timePeriod" priority="135" timePeriod="lastMonth" dxfId="1179"/>
    <cfRule type="timePeriod" priority="136" timePeriod="yesterday" dxfId="1180"/>
    <cfRule type="timePeriod" priority="137" timePeriod="today" dxfId="1181"/>
  </conditionalFormatting>
  <conditionalFormatting sqref="F42:F44">
    <cfRule type="expression" priority="138" aboveAverage="0" equalAverage="0" bottom="0" percent="0" rank="0" text="" dxfId="1182">
      <formula>MOD(ROW(),2)=1</formula>
    </cfRule>
  </conditionalFormatting>
  <conditionalFormatting sqref="F42:F44">
    <cfRule type="cellIs" priority="139" operator="lessThan" aboveAverage="0" equalAverage="0" bottom="0" percent="0" rank="0" text="" dxfId="1183">
      <formula>TODAY()</formula>
    </cfRule>
    <cfRule type="timePeriod" priority="140" timePeriod="last7Days" dxfId="1184"/>
    <cfRule type="timePeriod" priority="141" timePeriod="yesterday" dxfId="1185"/>
    <cfRule type="timePeriod" priority="142" timePeriod="lastMonth" dxfId="1186"/>
    <cfRule type="timePeriod" priority="143" timePeriod="yesterday" dxfId="1187"/>
    <cfRule type="timePeriod" priority="144" timePeriod="today" dxfId="1188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A54EB263-9120-4349-A7AE-4F95ACDFD6A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I14:I24</xm:sqref>
        </x14:conditionalFormatting>
        <x14:conditionalFormatting xmlns:xm="http://schemas.microsoft.com/office/excel/2006/main">
          <x14:cfRule type="iconSet" priority="50" id="{2660E9A9-B7B9-443F-84B3-EB338ED746D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</xm:sqref>
        </x14:conditionalFormatting>
        <x14:conditionalFormatting xmlns:xm="http://schemas.microsoft.com/office/excel/2006/main">
          <x14:cfRule type="iconSet" priority="55" id="{508CCD26-2CFA-4CFF-A77C-FDBEF100BCF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I25:I27</xm:sqref>
        </x14:conditionalFormatting>
        <x14:conditionalFormatting xmlns:xm="http://schemas.microsoft.com/office/excel/2006/main">
          <x14:cfRule type="iconSet" priority="57" id="{A0AB00C8-3D4A-455A-A093-B070D135E02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95" id="{7031C250-E8F3-4DF8-85AE-2CAC96A7791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112" id="{26711468-A032-4214-84F1-5B4783396D9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116" id="{647087E7-D78F-4970-901C-46568A734AD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145" id="{A985B0C5-976E-4297-A945-BC3D3A74B3F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6" id="{6743DAC0-BD63-4E74-B2BD-4BE7BCC8E07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47" id="{6E3D761B-7591-4AEF-98A4-B16228BAE39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48" id="{7B966BF4-AE4A-442D-BDB1-AD8A713664F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49" id="{B2D8D04B-F982-48A3-AF72-732CB4D84B3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50" id="{5EFADDEF-AB48-44DB-B66B-39F03C80534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51" id="{1E9081F3-7A76-40C1-A2AA-919C5E67822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52" id="{4011C3B7-EC58-4761-B112-6FA7D4A0399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153" id="{E8959457-18C5-4C40-9FDD-AF968E75892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54" id="{3EE7A9BD-4C7F-4375-B610-F920251DD0F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55" id="{5CFFE9C8-67D0-4B80-A0E6-EE476CF150F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 I30 I34 I38 I41 I44 I47 I49</xm:sqref>
        </x14:conditionalFormatting>
        <x14:conditionalFormatting xmlns:xm="http://schemas.microsoft.com/office/excel/2006/main">
          <x14:cfRule type="iconSet" priority="156" id="{24CDC09D-708C-4A5F-B61C-219F28CFD43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I82:I93 I77 I95:I99</xm:sqref>
        </x14:conditionalFormatting>
        <x14:conditionalFormatting xmlns:xm="http://schemas.microsoft.com/office/excel/2006/main">
          <x14:cfRule type="iconSet" priority="157" id="{FAAA1C93-99F7-4794-8B4E-30F07D95706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I70:I76</xm:sqref>
        </x14:conditionalFormatting>
        <x14:conditionalFormatting xmlns:xm="http://schemas.microsoft.com/office/excel/2006/main">
          <x14:cfRule type="iconSet" priority="158" id="{23CC40AD-61E3-4276-AEBB-61FE2F6C2B5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 I48 I46 I43 I29 I32:I33 I36:I37 I40 I54:I55 I58:I62</xm:sqref>
        </x14:conditionalFormatting>
        <x14:conditionalFormatting xmlns:xm="http://schemas.microsoft.com/office/excel/2006/main">
          <x14:cfRule type="iconSet" priority="159" id="{91718F45-2784-46A1-A541-499384F3D1E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</xm:sqref>
        </x14:conditionalFormatting>
        <x14:conditionalFormatting xmlns:xm="http://schemas.microsoft.com/office/excel/2006/main">
          <x14:cfRule type="iconSet" priority="160" id="{179FF536-8081-42AC-877C-41FC896AA9D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 I45 I42 I31 I35 I39 I53 I57</xm:sqref>
        </x14:conditionalFormatting>
        <x14:conditionalFormatting xmlns:xm="http://schemas.microsoft.com/office/excel/2006/main">
          <x14:cfRule type="iconSet" priority="161" id="{71407DD9-7552-4E1C-B916-3ED09182CBC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I78:I81</xm:sqref>
        </x14:conditionalFormatting>
        <x14:conditionalFormatting xmlns:xm="http://schemas.microsoft.com/office/excel/2006/main">
          <x14:cfRule type="iconSet" priority="162" id="{A556C5BC-CC4C-401B-95C8-945C8D82A4F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2F5597"/>
    <pageSetUpPr fitToPage="true"/>
  </sheetPr>
  <dimension ref="B1:T2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93" activePane="bottomRight" state="frozen"/>
      <selection pane="topLeft" activeCell="A1" activeCellId="0" sqref="A1"/>
      <selection pane="topRight" activeCell="D1" activeCellId="0" sqref="D1"/>
      <selection pane="bottomLeft" activeCell="A193" activeCellId="0" sqref="A193"/>
      <selection pane="bottomRight" activeCell="K219" activeCellId="0" sqref="K219"/>
    </sheetView>
  </sheetViews>
  <sheetFormatPr defaultColWidth="10.12109375" defaultRowHeight="17.25" zeroHeight="false" outlineLevelRow="0" outlineLevelCol="0"/>
  <cols>
    <col collapsed="false" customWidth="true" hidden="false" outlineLevel="0" max="1" min="1" style="35" width="2.58"/>
    <col collapsed="false" customWidth="true" hidden="false" outlineLevel="0" max="2" min="2" style="36" width="60.58"/>
    <col collapsed="false" customWidth="true" hidden="false" outlineLevel="0" max="3" min="3" style="35" width="4.57"/>
    <col collapsed="false" customWidth="true" hidden="false" outlineLevel="0" max="4" min="4" style="35" width="6.71"/>
    <col collapsed="false" customWidth="true" hidden="false" outlineLevel="0" max="9" min="5" style="35" width="13.84"/>
    <col collapsed="false" customWidth="true" hidden="false" outlineLevel="0" max="16" min="10" style="35" width="15.58"/>
    <col collapsed="false" customWidth="true" hidden="false" outlineLevel="0" max="17" min="17" style="35" width="3.14"/>
    <col collapsed="false" customWidth="true" hidden="false" outlineLevel="0" max="18" min="18" style="35" width="18.43"/>
    <col collapsed="false" customWidth="false" hidden="false" outlineLevel="0" max="1024" min="19" style="35" width="10.13"/>
  </cols>
  <sheetData>
    <row r="1" customFormat="false" ht="25.5" hidden="false" customHeight="true" outlineLevel="0" collapsed="false">
      <c r="B1" s="37" t="s">
        <v>36</v>
      </c>
      <c r="D1" s="38" t="s">
        <v>37</v>
      </c>
      <c r="E1" s="39" t="str">
        <f aca="false">UPPER(TEXT(Débutexercicecomptable,"mmm"))</f>
        <v>JANV</v>
      </c>
      <c r="F1" s="39" t="str">
        <f aca="false">UPPER(TEXT(EOMONTH(Débutexercicecomptable,1),"mmm"))</f>
        <v>FÉVR</v>
      </c>
      <c r="G1" s="39" t="str">
        <f aca="false">UPPER(TEXT(EOMONTH(Débutexercicecomptable,2),"mmm"))</f>
        <v>MARS</v>
      </c>
      <c r="H1" s="39" t="str">
        <f aca="false">UPPER(TEXT(EOMONTH(Débutexercicecomptable,3),"mmm"))</f>
        <v>AVR</v>
      </c>
      <c r="I1" s="39" t="str">
        <f aca="false">UPPER(TEXT(EOMONTH(Débutexercicecomptable,4),"mmm"))</f>
        <v>MAI</v>
      </c>
      <c r="J1" s="39" t="str">
        <f aca="false">UPPER(TEXT(EOMONTH(Débutexercicecomptable,5),"mmm"))</f>
        <v>JUIN</v>
      </c>
      <c r="K1" s="39" t="str">
        <f aca="false">UPPER(TEXT(EOMONTH(Débutexercicecomptable,6),"mmm"))</f>
        <v>JUIL</v>
      </c>
      <c r="L1" s="39" t="str">
        <f aca="false">UPPER(TEXT(EOMONTH(Débutexercicecomptable,7),"mmm"))</f>
        <v>AOÛT</v>
      </c>
      <c r="M1" s="39" t="str">
        <f aca="false">UPPER(TEXT(EOMONTH(Débutexercicecomptable,8),"mmm"))</f>
        <v>SEPT</v>
      </c>
      <c r="N1" s="39" t="str">
        <f aca="false">UPPER(TEXT(EOMONTH(Débutexercicecomptable,9),"mmm"))</f>
        <v>OCT</v>
      </c>
      <c r="O1" s="39" t="str">
        <f aca="false">UPPER(TEXT(EOMONTH(Débutexercicecomptable,10),"mmm"))</f>
        <v>NOV</v>
      </c>
      <c r="P1" s="39" t="str">
        <f aca="false">UPPER(TEXT(EOMONTH(Débutexercicecomptable,11),"mmm"))</f>
        <v>DÉC</v>
      </c>
      <c r="Q1" s="40"/>
      <c r="R1" s="41" t="s">
        <v>38</v>
      </c>
      <c r="T1" s="42" t="n">
        <v>1667.11</v>
      </c>
    </row>
    <row r="2" customFormat="false" ht="12.75" hidden="false" customHeight="true" outlineLevel="0" collapsed="false">
      <c r="B2" s="43" t="n">
        <v>44218</v>
      </c>
      <c r="D2" s="44" t="s">
        <v>39</v>
      </c>
      <c r="E2" s="44" t="n">
        <f aca="false">Débutexercicecomptable</f>
        <v>44218</v>
      </c>
      <c r="F2" s="44" t="n">
        <f aca="false">EOMONTH(E2,0)+DAY(Débutexercicecomptable)</f>
        <v>44249</v>
      </c>
      <c r="G2" s="44" t="n">
        <f aca="false">EOMONTH(F2,0)+DAY(Débutexercicecomptable)</f>
        <v>44277</v>
      </c>
      <c r="H2" s="44" t="n">
        <f aca="false">EOMONTH(G2,0)+DAY(Débutexercicecomptable)</f>
        <v>44308</v>
      </c>
      <c r="I2" s="44" t="n">
        <f aca="false">EOMONTH(H2,0)+DAY(Débutexercicecomptable)</f>
        <v>44338</v>
      </c>
      <c r="J2" s="44" t="n">
        <f aca="false">EOMONTH(I2,0)+DAY(Débutexercicecomptable)</f>
        <v>44369</v>
      </c>
      <c r="K2" s="44" t="n">
        <f aca="false">EOMONTH(J2,0)+DAY(Débutexercicecomptable)</f>
        <v>44399</v>
      </c>
      <c r="L2" s="44" t="n">
        <f aca="false">EOMONTH(K2,0)+DAY(Débutexercicecomptable)</f>
        <v>44430</v>
      </c>
      <c r="M2" s="44" t="n">
        <f aca="false">EOMONTH(L2,0)+DAY(Débutexercicecomptable)</f>
        <v>44461</v>
      </c>
      <c r="N2" s="44" t="n">
        <f aca="false">EOMONTH(M2,0)+DAY(Débutexercicecomptable)</f>
        <v>44491</v>
      </c>
      <c r="O2" s="44" t="n">
        <f aca="false">EOMONTH(N2,0)+DAY(Débutexercicecomptable)</f>
        <v>44522</v>
      </c>
      <c r="P2" s="44" t="n">
        <f aca="false">EOMONTH(O2,0)+DAY(Débutexercicecomptable)</f>
        <v>44552</v>
      </c>
      <c r="Q2" s="45"/>
      <c r="R2" s="46" t="s">
        <v>40</v>
      </c>
    </row>
    <row r="3" customFormat="false" ht="17.25" hidden="false" customHeight="true" outlineLevel="0" collapsed="false">
      <c r="B3" s="43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  <c r="R3" s="48"/>
    </row>
    <row r="4" customFormat="false" ht="17.25" hidden="false" customHeight="true" outlineLevel="0" collapsed="false">
      <c r="B4" s="50" t="s">
        <v>41</v>
      </c>
      <c r="D4" s="51" t="n">
        <v>102548.87</v>
      </c>
      <c r="E4" s="51" t="n">
        <v>15560.61</v>
      </c>
      <c r="F4" s="51" t="n">
        <f aca="false">E214</f>
        <v>6402.19</v>
      </c>
      <c r="G4" s="51" t="n">
        <f aca="false">F214</f>
        <v>29803.49</v>
      </c>
      <c r="H4" s="51" t="n">
        <f aca="false">G214</f>
        <v>21685.09</v>
      </c>
      <c r="I4" s="51" t="n">
        <f aca="false">H214</f>
        <v>97823.1400000001</v>
      </c>
      <c r="J4" s="51" t="n">
        <f aca="false">I214</f>
        <v>15322.9900000001</v>
      </c>
      <c r="K4" s="51" t="n">
        <f aca="false">J214</f>
        <v>60697.1300000001</v>
      </c>
      <c r="L4" s="51" t="n">
        <f aca="false">K214</f>
        <v>60697.1300000001</v>
      </c>
      <c r="M4" s="51" t="n">
        <f aca="false">L214</f>
        <v>60697.1300000001</v>
      </c>
      <c r="N4" s="51" t="n">
        <f aca="false">M214</f>
        <v>60697.1300000001</v>
      </c>
      <c r="O4" s="51" t="n">
        <f aca="false">N214</f>
        <v>60697.1300000001</v>
      </c>
      <c r="P4" s="51" t="n">
        <f aca="false">O214</f>
        <v>60697.1300000001</v>
      </c>
      <c r="Q4" s="52"/>
      <c r="R4" s="51" t="n">
        <f aca="false">P4</f>
        <v>60697.1300000001</v>
      </c>
      <c r="S4" s="53"/>
    </row>
    <row r="5" customFormat="false" ht="17.25" hidden="false" customHeight="true" outlineLevel="0" collapsed="false">
      <c r="B5" s="50" t="s">
        <v>42</v>
      </c>
      <c r="D5" s="54" t="n">
        <f aca="false">SUM(D4:D4)</f>
        <v>102548.87</v>
      </c>
      <c r="E5" s="54" t="n">
        <f aca="false">E4</f>
        <v>15560.61</v>
      </c>
      <c r="F5" s="54" t="n">
        <f aca="false">E214</f>
        <v>6402.19</v>
      </c>
      <c r="G5" s="54" t="n">
        <f aca="false">F214</f>
        <v>29803.49</v>
      </c>
      <c r="H5" s="54" t="n">
        <f aca="false">G214</f>
        <v>21685.09</v>
      </c>
      <c r="I5" s="54" t="n">
        <f aca="false">H214</f>
        <v>97823.1400000001</v>
      </c>
      <c r="J5" s="54" t="n">
        <f aca="false">I214</f>
        <v>15322.9900000001</v>
      </c>
      <c r="K5" s="54" t="n">
        <f aca="false">J214</f>
        <v>60697.1300000001</v>
      </c>
      <c r="L5" s="54" t="n">
        <f aca="false">K214</f>
        <v>60697.1300000001</v>
      </c>
      <c r="M5" s="54" t="n">
        <f aca="false">L214</f>
        <v>60697.1300000001</v>
      </c>
      <c r="N5" s="54" t="n">
        <f aca="false">M214</f>
        <v>60697.1300000001</v>
      </c>
      <c r="O5" s="54" t="n">
        <f aca="false">N214</f>
        <v>60697.1300000001</v>
      </c>
      <c r="P5" s="54" t="n">
        <f aca="false">O214</f>
        <v>60697.1300000001</v>
      </c>
      <c r="Q5" s="52"/>
      <c r="R5" s="51" t="n">
        <f aca="false">P5</f>
        <v>60697.1300000001</v>
      </c>
      <c r="S5" s="53"/>
    </row>
    <row r="6" customFormat="false" ht="11.25" hidden="false" customHeight="true" outlineLevel="0" collapsed="false">
      <c r="B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  <c r="R6" s="56"/>
      <c r="S6" s="58"/>
    </row>
    <row r="7" customFormat="false" ht="17.25" hidden="false" customHeight="true" outlineLevel="0" collapsed="false">
      <c r="B7" s="59" t="s">
        <v>43</v>
      </c>
      <c r="Q7" s="60"/>
    </row>
    <row r="8" customFormat="false" ht="9" hidden="false" customHeight="true" outlineLevel="0" collapsed="false">
      <c r="M8" s="61"/>
    </row>
    <row r="9" customFormat="false" ht="17.25" hidden="false" customHeight="true" outlineLevel="0" collapsed="false">
      <c r="B9" s="62" t="s">
        <v>44</v>
      </c>
      <c r="C9" s="60"/>
      <c r="D9" s="56"/>
      <c r="E9" s="56" t="n">
        <f aca="false">115000+80000+45000</f>
        <v>240000</v>
      </c>
      <c r="F9" s="63" t="n">
        <f aca="false">100000+75000+85000</f>
        <v>260000</v>
      </c>
      <c r="G9" s="63" t="n">
        <f aca="false">40000+110000+70000+60000+175000</f>
        <v>455000</v>
      </c>
      <c r="H9" s="63" t="n">
        <f aca="false">20000+80000+164000</f>
        <v>264000</v>
      </c>
      <c r="I9" s="63" t="n">
        <f aca="false">26000+10000+30000+75000</f>
        <v>141000</v>
      </c>
      <c r="J9" s="63" t="n">
        <f aca="false">30000+30000+60000+30000+170000+46000</f>
        <v>366000</v>
      </c>
      <c r="K9" s="63"/>
      <c r="L9" s="56"/>
      <c r="M9" s="63"/>
      <c r="N9" s="56"/>
      <c r="O9" s="56"/>
      <c r="P9" s="56"/>
      <c r="Q9" s="60"/>
      <c r="R9" s="35" t="n">
        <f aca="false">SUM(Encaissements52[[#This Row],[Période 0]:[Période 12]])</f>
        <v>1726000</v>
      </c>
    </row>
    <row r="10" customFormat="false" ht="17.25" hidden="false" customHeight="true" outlineLevel="0" collapsed="false">
      <c r="B10" s="62" t="s">
        <v>45</v>
      </c>
      <c r="C10" s="60"/>
      <c r="D10" s="56"/>
      <c r="E10" s="56"/>
      <c r="F10" s="63"/>
      <c r="G10" s="56"/>
      <c r="H10" s="63"/>
      <c r="I10" s="63"/>
      <c r="J10" s="63"/>
      <c r="K10" s="63"/>
      <c r="L10" s="56"/>
      <c r="M10" s="56"/>
      <c r="N10" s="56"/>
      <c r="O10" s="56"/>
      <c r="P10" s="56"/>
      <c r="Q10" s="60"/>
      <c r="R10" s="35" t="n">
        <f aca="false">SUM(Encaissements52[[#This Row],[Période 0]:[Période 12]])</f>
        <v>0</v>
      </c>
    </row>
    <row r="11" customFormat="false" ht="17.25" hidden="false" customHeight="true" outlineLevel="0" collapsed="false">
      <c r="B11" s="62" t="s">
        <v>46</v>
      </c>
      <c r="C11" s="64"/>
      <c r="D11" s="56"/>
      <c r="E11" s="56"/>
      <c r="F11" s="56" t="n">
        <f aca="false">108.9+116.43+155.24+388.1</f>
        <v>768.67</v>
      </c>
      <c r="G11" s="56" t="n">
        <v>43</v>
      </c>
      <c r="H11" s="56" t="n">
        <f aca="false">176.67+611.14+248+620+186+1226.46+61.3+186</f>
        <v>3315.57</v>
      </c>
      <c r="I11" s="63" t="n">
        <f aca="false">4.16+68.92+579.73+80.37</f>
        <v>733.18</v>
      </c>
      <c r="J11" s="56" t="n">
        <f aca="false">13711.35+220.8+25.5+201.48+579.73+544.74+1739.99</f>
        <v>17023.59</v>
      </c>
      <c r="K11" s="56"/>
      <c r="L11" s="56"/>
      <c r="M11" s="56"/>
      <c r="N11" s="56"/>
      <c r="O11" s="56"/>
      <c r="P11" s="56"/>
      <c r="Q11" s="60"/>
      <c r="R11" s="35" t="n">
        <f aca="false">SUM(Encaissements52[[#This Row],[Période 0]:[Période 12]])</f>
        <v>21884.01</v>
      </c>
    </row>
    <row r="12" customFormat="false" ht="17.25" hidden="false" customHeight="true" outlineLevel="0" collapsed="false">
      <c r="B12" s="65" t="s">
        <v>38</v>
      </c>
      <c r="C12" s="66"/>
      <c r="D12" s="67" t="n">
        <f aca="false">SUBTOTAL(109,Encaissements52[Période 0])</f>
        <v>0</v>
      </c>
      <c r="E12" s="67" t="n">
        <f aca="false">SUBTOTAL(109,Encaissements52[Période 1])</f>
        <v>240000</v>
      </c>
      <c r="F12" s="67" t="n">
        <f aca="false">SUBTOTAL(109,Encaissements52[Période 2])</f>
        <v>260768.67</v>
      </c>
      <c r="G12" s="67" t="n">
        <f aca="false">SUBTOTAL(109,Encaissements52[Période 3])</f>
        <v>455043</v>
      </c>
      <c r="H12" s="67" t="n">
        <f aca="false">SUBTOTAL(109,Encaissements52[Période 4])</f>
        <v>267315.57</v>
      </c>
      <c r="I12" s="67" t="n">
        <f aca="false">SUBTOTAL(109,Encaissements52[Période 5])</f>
        <v>141733.18</v>
      </c>
      <c r="J12" s="67" t="n">
        <f aca="false">SUBTOTAL(109,Encaissements52[Période 6])</f>
        <v>383023.59</v>
      </c>
      <c r="K12" s="67" t="n">
        <f aca="false">SUBTOTAL(109,Encaissements52[Période 7])</f>
        <v>0</v>
      </c>
      <c r="L12" s="67" t="n">
        <f aca="false">SUBTOTAL(109,Encaissements52[Période 8])</f>
        <v>0</v>
      </c>
      <c r="M12" s="67"/>
      <c r="N12" s="67" t="n">
        <f aca="false">SUBTOTAL(109,Encaissements52[Période 10])</f>
        <v>0</v>
      </c>
      <c r="O12" s="67" t="n">
        <f aca="false">SUBTOTAL(109,Encaissements52[Période 11])</f>
        <v>0</v>
      </c>
      <c r="P12" s="67" t="n">
        <f aca="false">SUBTOTAL(109,Encaissements52[Période 12])</f>
        <v>0</v>
      </c>
      <c r="Q12" s="68"/>
      <c r="R12" s="67" t="n">
        <f aca="false">SUBTOTAL(109,Encaissements52[Total])</f>
        <v>1747884.01</v>
      </c>
      <c r="S12" s="67"/>
      <c r="T12" s="67"/>
    </row>
    <row r="13" customFormat="false" ht="17.25" hidden="false" customHeight="true" outlineLevel="0" collapsed="false">
      <c r="B13" s="69" t="s">
        <v>47</v>
      </c>
      <c r="C13" s="70"/>
      <c r="D13" s="71" t="n">
        <f aca="false">D5+SUM(Encaissements52[Période 0])</f>
        <v>102548.87</v>
      </c>
      <c r="E13" s="71" t="n">
        <f aca="false">E5+SUM(Encaissements52[Période 1])</f>
        <v>255560.61</v>
      </c>
      <c r="F13" s="71" t="n">
        <f aca="false">F4+SUM(Encaissements52[Période 2])</f>
        <v>267170.86</v>
      </c>
      <c r="G13" s="71" t="n">
        <f aca="false">G4+SUM(Encaissements52[Période 3])</f>
        <v>484846.49</v>
      </c>
      <c r="H13" s="71" t="n">
        <f aca="false">H4+SUM(Encaissements52[Période 4])</f>
        <v>289000.66</v>
      </c>
      <c r="I13" s="71" t="n">
        <f aca="false">I4+Encaissements52[[#Totals],[Période 5]]</f>
        <v>239556.32</v>
      </c>
      <c r="J13" s="71" t="n">
        <f aca="false">J4+SUM(Encaissements52[Période 6])</f>
        <v>398346.58</v>
      </c>
      <c r="K13" s="71" t="n">
        <f aca="false">K4+SUM(Encaissements52[Période 7])</f>
        <v>60697.1300000001</v>
      </c>
      <c r="L13" s="71" t="n">
        <f aca="false">L4+SUM(Encaissements52[Période 8])</f>
        <v>60697.1300000001</v>
      </c>
      <c r="M13" s="71" t="n">
        <f aca="false">M4+SUM(Encaissements52[Période 9])</f>
        <v>60697.1300000001</v>
      </c>
      <c r="N13" s="71" t="n">
        <f aca="false">N4+SUM(Encaissements52[Période 10])</f>
        <v>60697.1300000001</v>
      </c>
      <c r="O13" s="71" t="n">
        <f aca="false">O4+SUM(Encaissements52[Période 11])</f>
        <v>60697.1300000001</v>
      </c>
      <c r="P13" s="71" t="n">
        <f aca="false">P4+SUM(Encaissements52[Période 12])</f>
        <v>60697.1300000001</v>
      </c>
      <c r="Q13" s="72"/>
      <c r="R13" s="73" t="n">
        <f aca="false">R4+SUM(Encaissements52[Total])</f>
        <v>1808581.14</v>
      </c>
      <c r="S13" s="74"/>
    </row>
    <row r="14" customFormat="false" ht="8.25" hidden="false" customHeight="true" outlineLevel="0" collapsed="false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</row>
    <row r="15" customFormat="false" ht="17.25" hidden="false" customHeight="true" outlineLevel="0" collapsed="false">
      <c r="B15" s="76" t="s">
        <v>48</v>
      </c>
      <c r="C15" s="60"/>
      <c r="Q15" s="60"/>
    </row>
    <row r="16" customFormat="false" ht="6.75" hidden="false" customHeight="true" outlineLevel="0" collapsed="false"/>
    <row r="17" customFormat="false" ht="17.25" hidden="false" customHeight="true" outlineLevel="0" collapsed="false">
      <c r="B17" s="77" t="s">
        <v>49</v>
      </c>
      <c r="C17" s="60"/>
      <c r="D17" s="56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9"/>
      <c r="R17" s="35" t="n">
        <f aca="false">SUM(Décaissements63[[#This Row],[Période 0]:[Période 12]])</f>
        <v>0</v>
      </c>
      <c r="S17" s="35" t="e">
        <f aca="false">+AVERAGE(Décaissements63[[#This Row],[Période 1]:[Période 12]])</f>
        <v>#DIV/0!</v>
      </c>
    </row>
    <row r="18" customFormat="false" ht="17.25" hidden="false" customHeight="true" outlineLevel="0" collapsed="false">
      <c r="B18" s="80" t="s">
        <v>50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  <c r="R18" s="84" t="n">
        <f aca="false">SUM(Décaissements63[[#This Row],[Période 0]:[Période 12]])</f>
        <v>0</v>
      </c>
      <c r="S18" s="35" t="e">
        <f aca="false">+AVERAGE(Décaissements63[[#This Row],[Période 1]:[Période 12]])</f>
        <v>#DIV/0!</v>
      </c>
    </row>
    <row r="19" customFormat="false" ht="17.25" hidden="false" customHeight="true" outlineLevel="0" collapsed="false">
      <c r="B19" s="85" t="s">
        <v>51</v>
      </c>
      <c r="C19" s="81"/>
      <c r="D19" s="86"/>
      <c r="E19" s="63" t="n">
        <v>5283.09</v>
      </c>
      <c r="F19" s="63" t="n">
        <v>5283.09</v>
      </c>
      <c r="G19" s="63" t="n">
        <v>5283.09</v>
      </c>
      <c r="H19" s="63" t="n">
        <v>5283.09</v>
      </c>
      <c r="I19" s="63" t="n">
        <v>5283.09</v>
      </c>
      <c r="J19" s="87" t="n">
        <v>5283.09</v>
      </c>
      <c r="K19" s="87"/>
      <c r="L19" s="86"/>
      <c r="M19" s="63"/>
      <c r="N19" s="86"/>
      <c r="O19" s="86"/>
      <c r="P19" s="86"/>
      <c r="Q19" s="83"/>
      <c r="R19" s="84" t="n">
        <f aca="false">SUM(Décaissements63[[#This Row],[Période 0]:[Période 12]])</f>
        <v>31698.54</v>
      </c>
      <c r="S19" s="35" t="n">
        <f aca="false">+AVERAGE(Décaissements63[[#This Row],[Période 1]:[Période 12]])</f>
        <v>5283.09</v>
      </c>
    </row>
    <row r="20" customFormat="false" ht="17.25" hidden="false" customHeight="true" outlineLevel="0" collapsed="false">
      <c r="B20" s="88" t="s">
        <v>52</v>
      </c>
      <c r="C20" s="89"/>
      <c r="D20" s="87"/>
      <c r="E20" s="63"/>
      <c r="F20" s="63"/>
      <c r="G20" s="63" t="n">
        <f aca="false">120.9+6</f>
        <v>126.9</v>
      </c>
      <c r="H20" s="87" t="n">
        <f aca="false">186+93.8</f>
        <v>279.8</v>
      </c>
      <c r="I20" s="90"/>
      <c r="J20" s="90"/>
      <c r="K20" s="90"/>
      <c r="L20" s="90"/>
      <c r="M20" s="90"/>
      <c r="N20" s="90"/>
      <c r="O20" s="90"/>
      <c r="P20" s="90"/>
      <c r="Q20" s="91"/>
      <c r="R20" s="61" t="n">
        <f aca="false">SUM(Décaissements63[[#This Row],[Période 0]:[Période 12]])</f>
        <v>406.7</v>
      </c>
      <c r="S20" s="35" t="n">
        <f aca="false">+AVERAGE(Décaissements63[[#This Row],[Période 1]:[Période 12]])</f>
        <v>203.35</v>
      </c>
    </row>
    <row r="21" customFormat="false" ht="17.25" hidden="false" customHeight="true" outlineLevel="0" collapsed="false">
      <c r="B21" s="85" t="s">
        <v>53</v>
      </c>
      <c r="C21" s="81"/>
      <c r="D21" s="86"/>
      <c r="E21" s="63" t="n">
        <v>1128</v>
      </c>
      <c r="F21" s="63" t="n">
        <v>1236</v>
      </c>
      <c r="G21" s="63" t="n">
        <v>1164</v>
      </c>
      <c r="H21" s="63" t="n">
        <v>1188</v>
      </c>
      <c r="I21" s="63" t="n">
        <v>1260</v>
      </c>
      <c r="J21" s="87" t="n">
        <v>1224</v>
      </c>
      <c r="K21" s="87"/>
      <c r="L21" s="86"/>
      <c r="M21" s="63"/>
      <c r="N21" s="86"/>
      <c r="O21" s="86"/>
      <c r="P21" s="86"/>
      <c r="Q21" s="81"/>
      <c r="R21" s="84" t="n">
        <f aca="false">SUM(Décaissements63[[#This Row],[Période 0]:[Période 12]])</f>
        <v>7200</v>
      </c>
      <c r="S21" s="35" t="n">
        <f aca="false">+AVERAGE(Décaissements63[[#This Row],[Période 1]:[Période 12]])</f>
        <v>1200</v>
      </c>
    </row>
    <row r="22" customFormat="false" ht="17.25" hidden="false" customHeight="true" outlineLevel="0" collapsed="false">
      <c r="B22" s="80" t="s">
        <v>54</v>
      </c>
      <c r="C22" s="81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3"/>
      <c r="R22" s="84" t="n">
        <f aca="false">SUM(Décaissements63[[#This Row],[Période 0]:[Période 12]])</f>
        <v>0</v>
      </c>
      <c r="S22" s="35" t="e">
        <f aca="false">+AVERAGE(Décaissements63[[#This Row],[Période 1]:[Période 12]])</f>
        <v>#DIV/0!</v>
      </c>
    </row>
    <row r="23" customFormat="false" ht="17.25" hidden="false" customHeight="true" outlineLevel="0" collapsed="false">
      <c r="B23" s="85" t="s">
        <v>55</v>
      </c>
      <c r="C23" s="81"/>
      <c r="D23" s="86"/>
      <c r="E23" s="63"/>
      <c r="F23" s="63" t="n">
        <v>940</v>
      </c>
      <c r="G23" s="63" t="n">
        <v>940</v>
      </c>
      <c r="H23" s="63"/>
      <c r="I23" s="63"/>
      <c r="J23" s="63"/>
      <c r="K23" s="63"/>
      <c r="L23" s="63"/>
      <c r="M23" s="63"/>
      <c r="N23" s="86"/>
      <c r="O23" s="86"/>
      <c r="P23" s="86"/>
      <c r="Q23" s="81"/>
      <c r="R23" s="84" t="n">
        <f aca="false">SUM(Décaissements63[[#This Row],[Période 0]:[Période 12]])</f>
        <v>1880</v>
      </c>
      <c r="S23" s="35" t="n">
        <f aca="false">+AVERAGE(Décaissements63[[#This Row],[Période 1]:[Période 12]])</f>
        <v>940</v>
      </c>
    </row>
    <row r="24" customFormat="false" ht="17.25" hidden="false" customHeight="true" outlineLevel="0" collapsed="false">
      <c r="B24" s="85" t="s">
        <v>56</v>
      </c>
      <c r="C24" s="81"/>
      <c r="D24" s="86"/>
      <c r="E24" s="63" t="n">
        <v>590</v>
      </c>
      <c r="F24" s="92" t="n">
        <v>590</v>
      </c>
      <c r="G24" s="63" t="n">
        <v>590</v>
      </c>
      <c r="H24" s="63" t="n">
        <v>590</v>
      </c>
      <c r="I24" s="63"/>
      <c r="J24" s="63"/>
      <c r="K24" s="63"/>
      <c r="L24" s="63"/>
      <c r="M24" s="63"/>
      <c r="N24" s="86"/>
      <c r="O24" s="86"/>
      <c r="P24" s="86"/>
      <c r="Q24" s="81"/>
      <c r="R24" s="84" t="n">
        <f aca="false">SUM(Décaissements63[[#This Row],[Période 0]:[Période 12]])</f>
        <v>2360</v>
      </c>
      <c r="S24" s="35" t="n">
        <f aca="false">+AVERAGE(Décaissements63[[#This Row],[Période 1]:[Période 12]])</f>
        <v>590</v>
      </c>
    </row>
    <row r="25" customFormat="false" ht="17.25" hidden="false" customHeight="true" outlineLevel="0" collapsed="false">
      <c r="B25" s="85" t="s">
        <v>57</v>
      </c>
      <c r="C25" s="89"/>
      <c r="D25" s="87"/>
      <c r="E25" s="87"/>
      <c r="F25" s="87"/>
      <c r="G25" s="87"/>
      <c r="H25" s="87"/>
      <c r="I25" s="63"/>
      <c r="J25" s="63"/>
      <c r="K25" s="63"/>
      <c r="L25" s="63"/>
      <c r="M25" s="63"/>
      <c r="N25" s="87"/>
      <c r="O25" s="87"/>
      <c r="P25" s="87"/>
      <c r="Q25" s="91"/>
      <c r="R25" s="61" t="n">
        <f aca="false">SUM(Décaissements63[[#This Row],[Période 0]:[Période 12]])</f>
        <v>0</v>
      </c>
      <c r="S25" s="35" t="e">
        <f aca="false">+AVERAGE(Décaissements63[[#This Row],[Période 1]:[Période 12]])</f>
        <v>#DIV/0!</v>
      </c>
    </row>
    <row r="26" customFormat="false" ht="17.25" hidden="false" customHeight="true" outlineLevel="0" collapsed="false">
      <c r="B26" s="88" t="s">
        <v>58</v>
      </c>
      <c r="C26" s="89"/>
      <c r="D26" s="87"/>
      <c r="E26" s="63"/>
      <c r="F26" s="63"/>
      <c r="G26" s="63"/>
      <c r="H26" s="87"/>
      <c r="I26" s="90"/>
      <c r="J26" s="90"/>
      <c r="K26" s="90"/>
      <c r="L26" s="90"/>
      <c r="M26" s="90"/>
      <c r="N26" s="90"/>
      <c r="O26" s="90"/>
      <c r="P26" s="90"/>
      <c r="Q26" s="91"/>
      <c r="R26" s="61" t="n">
        <f aca="false">SUM(Décaissements63[[#This Row],[Période 0]:[Période 12]])</f>
        <v>0</v>
      </c>
      <c r="S26" s="35" t="e">
        <f aca="false">+AVERAGE(Décaissements63[[#This Row],[Période 1]:[Période 12]])</f>
        <v>#DIV/0!</v>
      </c>
    </row>
    <row r="27" customFormat="false" ht="17.25" hidden="false" customHeight="true" outlineLevel="0" collapsed="false">
      <c r="B27" s="85" t="s">
        <v>59</v>
      </c>
      <c r="C27" s="89"/>
      <c r="D27" s="87"/>
      <c r="E27" s="63" t="n">
        <v>600</v>
      </c>
      <c r="F27" s="63" t="n">
        <v>600</v>
      </c>
      <c r="G27" s="63" t="n">
        <v>600</v>
      </c>
      <c r="H27" s="87" t="n">
        <f aca="false">1200+600</f>
        <v>1800</v>
      </c>
      <c r="I27" s="63"/>
      <c r="J27" s="63"/>
      <c r="K27" s="63"/>
      <c r="L27" s="63"/>
      <c r="M27" s="63"/>
      <c r="N27" s="90"/>
      <c r="O27" s="90"/>
      <c r="P27" s="90"/>
      <c r="Q27" s="91"/>
      <c r="R27" s="61" t="n">
        <f aca="false">SUM(Décaissements63[[#This Row],[Période 0]:[Période 12]])</f>
        <v>3600</v>
      </c>
      <c r="S27" s="35" t="n">
        <f aca="false">+AVERAGE(Décaissements63[[#This Row],[Période 1]:[Période 12]])</f>
        <v>900</v>
      </c>
    </row>
    <row r="28" customFormat="false" ht="17.25" hidden="false" customHeight="true" outlineLevel="0" collapsed="false">
      <c r="B28" s="85" t="s">
        <v>60</v>
      </c>
      <c r="C28" s="81"/>
      <c r="D28" s="86"/>
      <c r="E28" s="63" t="n">
        <v>500</v>
      </c>
      <c r="F28" s="63" t="n">
        <v>500</v>
      </c>
      <c r="G28" s="63" t="n">
        <v>500</v>
      </c>
      <c r="H28" s="63" t="n">
        <v>500</v>
      </c>
      <c r="I28" s="63" t="n">
        <v>500</v>
      </c>
      <c r="J28" s="63" t="n">
        <v>500</v>
      </c>
      <c r="K28" s="63"/>
      <c r="L28" s="63"/>
      <c r="M28" s="63"/>
      <c r="N28" s="86"/>
      <c r="O28" s="86"/>
      <c r="P28" s="86"/>
      <c r="Q28" s="81"/>
      <c r="R28" s="84" t="n">
        <f aca="false">SUM(Décaissements63[[#This Row],[Période 0]:[Période 12]])</f>
        <v>3000</v>
      </c>
      <c r="S28" s="35" t="n">
        <f aca="false">+AVERAGE(Décaissements63[[#This Row],[Période 1]:[Période 12]])</f>
        <v>500</v>
      </c>
    </row>
    <row r="29" customFormat="false" ht="17.25" hidden="false" customHeight="true" outlineLevel="0" collapsed="false">
      <c r="B29" s="85" t="s">
        <v>61</v>
      </c>
      <c r="C29" s="81"/>
      <c r="D29" s="86"/>
      <c r="E29" s="63" t="n">
        <v>1100</v>
      </c>
      <c r="F29" s="63"/>
      <c r="G29" s="63" t="n">
        <v>2200</v>
      </c>
      <c r="H29" s="63" t="n">
        <v>2200</v>
      </c>
      <c r="I29" s="63"/>
      <c r="J29" s="63" t="n">
        <v>1100</v>
      </c>
      <c r="K29" s="63"/>
      <c r="L29" s="63"/>
      <c r="M29" s="63"/>
      <c r="N29" s="86"/>
      <c r="O29" s="86"/>
      <c r="P29" s="86"/>
      <c r="Q29" s="81"/>
      <c r="R29" s="84" t="n">
        <f aca="false">SUM(Décaissements63[[#This Row],[Période 0]:[Période 12]])</f>
        <v>6600</v>
      </c>
      <c r="S29" s="35" t="n">
        <f aca="false">+AVERAGE(Décaissements63[[#This Row],[Période 1]:[Période 12]])</f>
        <v>1650</v>
      </c>
    </row>
    <row r="30" customFormat="false" ht="17.25" hidden="false" customHeight="true" outlineLevel="0" collapsed="false">
      <c r="B30" s="85" t="s">
        <v>62</v>
      </c>
      <c r="C30" s="89"/>
      <c r="D30" s="87"/>
      <c r="E30" s="63" t="n">
        <v>29.45</v>
      </c>
      <c r="F30" s="63"/>
      <c r="G30" s="63" t="n">
        <f aca="false">304.78+1059.3</f>
        <v>1364.08</v>
      </c>
      <c r="H30" s="87" t="n">
        <v>77.3</v>
      </c>
      <c r="I30" s="63"/>
      <c r="J30" s="90" t="n">
        <v>1059.3</v>
      </c>
      <c r="K30" s="63"/>
      <c r="L30" s="63"/>
      <c r="M30" s="63"/>
      <c r="N30" s="90"/>
      <c r="O30" s="90"/>
      <c r="P30" s="90"/>
      <c r="Q30" s="91"/>
      <c r="R30" s="61" t="n">
        <f aca="false">SUM(Décaissements63[[#This Row],[Période 0]:[Période 12]])</f>
        <v>2530.13</v>
      </c>
      <c r="S30" s="35" t="n">
        <f aca="false">+AVERAGE(Décaissements63[[#This Row],[Période 1]:[Période 12]])</f>
        <v>632.5325</v>
      </c>
    </row>
    <row r="31" customFormat="false" ht="17.25" hidden="false" customHeight="true" outlineLevel="0" collapsed="false">
      <c r="B31" s="85" t="s">
        <v>63</v>
      </c>
      <c r="C31" s="89"/>
      <c r="D31" s="87"/>
      <c r="E31" s="63" t="n">
        <f aca="false">162.4+762+822+193.2</f>
        <v>1939.6</v>
      </c>
      <c r="F31" s="63" t="n">
        <v>762</v>
      </c>
      <c r="G31" s="63" t="n">
        <f aca="false">768.98</f>
        <v>768.98</v>
      </c>
      <c r="H31" s="87" t="n">
        <v>891.47</v>
      </c>
      <c r="I31" s="90" t="n">
        <v>891.47</v>
      </c>
      <c r="J31" s="90" t="n">
        <v>891.47</v>
      </c>
      <c r="K31" s="90"/>
      <c r="L31" s="90"/>
      <c r="M31" s="90"/>
      <c r="N31" s="90"/>
      <c r="O31" s="90"/>
      <c r="P31" s="90"/>
      <c r="Q31" s="91"/>
      <c r="R31" s="61" t="n">
        <f aca="false">SUM(Décaissements63[[#This Row],[Période 0]:[Période 12]])</f>
        <v>6144.99</v>
      </c>
      <c r="S31" s="35" t="n">
        <f aca="false">+AVERAGE(Décaissements63[[#This Row],[Période 1]:[Période 12]])</f>
        <v>1024.165</v>
      </c>
    </row>
    <row r="32" customFormat="false" ht="17.25" hidden="false" customHeight="true" outlineLevel="0" collapsed="false">
      <c r="B32" s="85" t="s">
        <v>64</v>
      </c>
      <c r="C32" s="89"/>
      <c r="D32" s="87"/>
      <c r="E32" s="87" t="n">
        <v>1226.46</v>
      </c>
      <c r="F32" s="87"/>
      <c r="G32" s="87"/>
      <c r="H32" s="87" t="n">
        <f aca="false">1226.46</f>
        <v>1226.46</v>
      </c>
      <c r="I32" s="63"/>
      <c r="J32" s="87"/>
      <c r="K32" s="87"/>
      <c r="L32" s="87"/>
      <c r="M32" s="87"/>
      <c r="N32" s="87"/>
      <c r="O32" s="87"/>
      <c r="P32" s="87"/>
      <c r="Q32" s="91"/>
      <c r="R32" s="61" t="n">
        <f aca="false">SUM(Décaissements63[[#This Row],[Période 0]:[Période 12]])</f>
        <v>2452.92</v>
      </c>
      <c r="S32" s="35" t="n">
        <f aca="false">+AVERAGE(Décaissements63[[#This Row],[Période 1]:[Période 12]])</f>
        <v>1226.46</v>
      </c>
    </row>
    <row r="33" customFormat="false" ht="17.25" hidden="false" customHeight="true" outlineLevel="0" collapsed="false">
      <c r="B33" s="85" t="s">
        <v>65</v>
      </c>
      <c r="C33" s="89"/>
      <c r="D33" s="87"/>
      <c r="E33" s="63" t="n">
        <v>2100</v>
      </c>
      <c r="F33" s="63" t="n">
        <v>2100</v>
      </c>
      <c r="G33" s="63" t="n">
        <v>2100</v>
      </c>
      <c r="H33" s="87" t="n">
        <v>2100</v>
      </c>
      <c r="I33" s="90" t="n">
        <v>2100</v>
      </c>
      <c r="J33" s="90" t="n">
        <f aca="false">3000+2100</f>
        <v>5100</v>
      </c>
      <c r="K33" s="90"/>
      <c r="L33" s="90"/>
      <c r="M33" s="90"/>
      <c r="N33" s="90"/>
      <c r="O33" s="90"/>
      <c r="P33" s="90"/>
      <c r="Q33" s="91"/>
      <c r="R33" s="61" t="n">
        <f aca="false">SUM(Décaissements63[[#This Row],[Période 0]:[Période 12]])</f>
        <v>15600</v>
      </c>
      <c r="S33" s="35" t="n">
        <f aca="false">+AVERAGE(Décaissements63[[#This Row],[Période 1]:[Période 12]])</f>
        <v>2600</v>
      </c>
    </row>
    <row r="34" customFormat="false" ht="17.25" hidden="false" customHeight="true" outlineLevel="0" collapsed="false">
      <c r="B34" s="80" t="s">
        <v>66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1"/>
      <c r="R34" s="84" t="n">
        <f aca="false">SUM(Décaissements63[[#This Row],[Période 0]:[Période 12]])</f>
        <v>0</v>
      </c>
      <c r="S34" s="35" t="e">
        <f aca="false">+AVERAGE(Décaissements63[[#This Row],[Période 1]:[Période 12]])</f>
        <v>#DIV/0!</v>
      </c>
    </row>
    <row r="35" customFormat="false" ht="17.25" hidden="false" customHeight="true" outlineLevel="0" collapsed="false">
      <c r="B35" s="85" t="s">
        <v>67</v>
      </c>
      <c r="C35" s="81"/>
      <c r="D35" s="86"/>
      <c r="E35" s="63" t="n">
        <v>3203.09</v>
      </c>
      <c r="F35" s="63" t="n">
        <v>3203.09</v>
      </c>
      <c r="G35" s="63" t="n">
        <v>3203.09</v>
      </c>
      <c r="H35" s="63" t="n">
        <v>3203.09</v>
      </c>
      <c r="I35" s="63" t="n">
        <v>3203.09</v>
      </c>
      <c r="J35" s="63" t="n">
        <v>3203.09</v>
      </c>
      <c r="K35" s="63"/>
      <c r="L35" s="63"/>
      <c r="M35" s="63"/>
      <c r="N35" s="93"/>
      <c r="O35" s="86"/>
      <c r="P35" s="86"/>
      <c r="Q35" s="81"/>
      <c r="R35" s="84" t="n">
        <f aca="false">SUM(Décaissements63[[#This Row],[Période 0]:[Période 12]])</f>
        <v>19218.54</v>
      </c>
      <c r="S35" s="35" t="n">
        <f aca="false">+AVERAGE(Décaissements63[[#This Row],[Période 1]:[Période 12]])</f>
        <v>3203.09</v>
      </c>
    </row>
    <row r="36" customFormat="false" ht="17.25" hidden="false" customHeight="true" outlineLevel="0" collapsed="false">
      <c r="B36" s="85" t="s">
        <v>68</v>
      </c>
      <c r="C36" s="81"/>
      <c r="D36" s="86"/>
      <c r="E36" s="63" t="n">
        <v>99.97</v>
      </c>
      <c r="F36" s="63" t="n">
        <v>99.97</v>
      </c>
      <c r="G36" s="63" t="n">
        <v>99.97</v>
      </c>
      <c r="H36" s="63" t="n">
        <v>99.97</v>
      </c>
      <c r="I36" s="63" t="n">
        <v>99.97</v>
      </c>
      <c r="J36" s="63" t="n">
        <v>99.97</v>
      </c>
      <c r="K36" s="63"/>
      <c r="L36" s="63"/>
      <c r="M36" s="63"/>
      <c r="N36" s="63"/>
      <c r="O36" s="63"/>
      <c r="P36" s="63"/>
      <c r="Q36" s="94"/>
      <c r="R36" s="84" t="n">
        <f aca="false">SUM(Décaissements63[[#This Row],[Période 0]:[Période 12]])</f>
        <v>599.82</v>
      </c>
      <c r="S36" s="35" t="n">
        <f aca="false">+AVERAGE(Décaissements63[[#This Row],[Période 1]:[Période 12]])</f>
        <v>99.97</v>
      </c>
    </row>
    <row r="37" customFormat="false" ht="17.25" hidden="false" customHeight="true" outlineLevel="0" collapsed="false">
      <c r="B37" s="85" t="s">
        <v>69</v>
      </c>
      <c r="C37" s="81"/>
      <c r="D37" s="86"/>
      <c r="E37" s="63" t="n">
        <v>104.12</v>
      </c>
      <c r="F37" s="63" t="n">
        <v>104.12</v>
      </c>
      <c r="G37" s="63" t="n">
        <v>104.12</v>
      </c>
      <c r="H37" s="63" t="n">
        <v>104.12</v>
      </c>
      <c r="I37" s="63" t="n">
        <v>104.12</v>
      </c>
      <c r="J37" s="63" t="n">
        <v>90.74</v>
      </c>
      <c r="K37" s="63"/>
      <c r="L37" s="63"/>
      <c r="M37" s="63"/>
      <c r="N37" s="63"/>
      <c r="O37" s="63"/>
      <c r="P37" s="63"/>
      <c r="Q37" s="83"/>
      <c r="R37" s="84" t="n">
        <f aca="false">SUM(Décaissements63[[#This Row],[Période 0]:[Période 12]])</f>
        <v>611.34</v>
      </c>
      <c r="S37" s="35" t="n">
        <f aca="false">+AVERAGE(Décaissements63[[#This Row],[Période 1]:[Période 12]])</f>
        <v>101.89</v>
      </c>
    </row>
    <row r="38" customFormat="false" ht="17.25" hidden="false" customHeight="true" outlineLevel="0" collapsed="false">
      <c r="B38" s="85" t="s">
        <v>70</v>
      </c>
      <c r="C38" s="81"/>
      <c r="D38" s="86"/>
      <c r="E38" s="63" t="n">
        <v>89.4</v>
      </c>
      <c r="F38" s="63" t="n">
        <v>89.4</v>
      </c>
      <c r="G38" s="63" t="n">
        <v>89.4</v>
      </c>
      <c r="H38" s="63" t="n">
        <v>89.4</v>
      </c>
      <c r="I38" s="63" t="n">
        <v>89.4</v>
      </c>
      <c r="J38" s="63" t="n">
        <v>102.36</v>
      </c>
      <c r="K38" s="63"/>
      <c r="L38" s="63"/>
      <c r="M38" s="63"/>
      <c r="N38" s="95"/>
      <c r="O38" s="63"/>
      <c r="P38" s="63"/>
      <c r="Q38" s="83"/>
      <c r="R38" s="84" t="n">
        <f aca="false">SUM(Décaissements63[[#This Row],[Période 0]:[Période 12]])</f>
        <v>549.36</v>
      </c>
      <c r="S38" s="35" t="n">
        <f aca="false">+AVERAGE(Décaissements63[[#This Row],[Période 1]:[Période 12]])</f>
        <v>91.56</v>
      </c>
    </row>
    <row r="39" customFormat="false" ht="17.25" hidden="false" customHeight="true" outlineLevel="0" collapsed="false">
      <c r="B39" s="85" t="s">
        <v>71</v>
      </c>
      <c r="C39" s="81"/>
      <c r="D39" s="86"/>
      <c r="E39" s="63" t="n">
        <v>100.82</v>
      </c>
      <c r="F39" s="63" t="n">
        <v>100.82</v>
      </c>
      <c r="G39" s="63" t="n">
        <v>100.82</v>
      </c>
      <c r="H39" s="63" t="n">
        <v>100.82</v>
      </c>
      <c r="I39" s="87" t="n">
        <v>100.82</v>
      </c>
      <c r="J39" s="63" t="n">
        <v>85.99</v>
      </c>
      <c r="K39" s="63"/>
      <c r="L39" s="63"/>
      <c r="M39" s="63"/>
      <c r="N39" s="63"/>
      <c r="O39" s="63"/>
      <c r="P39" s="63"/>
      <c r="Q39" s="83"/>
      <c r="R39" s="84" t="n">
        <f aca="false">SUM(Décaissements63[[#This Row],[Période 0]:[Période 12]])</f>
        <v>590.09</v>
      </c>
      <c r="S39" s="35" t="n">
        <f aca="false">+AVERAGE(Décaissements63[[#This Row],[Période 1]:[Période 12]])</f>
        <v>98.3483333333333</v>
      </c>
    </row>
    <row r="40" customFormat="false" ht="17.25" hidden="false" customHeight="true" outlineLevel="0" collapsed="false">
      <c r="B40" s="85" t="s">
        <v>72</v>
      </c>
      <c r="C40" s="81"/>
      <c r="D40" s="86"/>
      <c r="E40" s="63" t="n">
        <v>71.32</v>
      </c>
      <c r="F40" s="63" t="n">
        <v>71.32</v>
      </c>
      <c r="G40" s="63" t="n">
        <v>71.32</v>
      </c>
      <c r="H40" s="63" t="n">
        <v>71.32</v>
      </c>
      <c r="I40" s="87" t="n">
        <v>71.32</v>
      </c>
      <c r="J40" s="63" t="n">
        <v>71.32</v>
      </c>
      <c r="K40" s="63"/>
      <c r="L40" s="63"/>
      <c r="M40" s="63"/>
      <c r="N40" s="63"/>
      <c r="O40" s="63"/>
      <c r="P40" s="63"/>
      <c r="Q40" s="83"/>
      <c r="R40" s="84" t="n">
        <f aca="false">SUM(Décaissements63[[#This Row],[Période 0]:[Période 12]])</f>
        <v>427.92</v>
      </c>
      <c r="S40" s="35" t="n">
        <f aca="false">+AVERAGE(Décaissements63[[#This Row],[Période 1]:[Période 12]])</f>
        <v>71.32</v>
      </c>
    </row>
    <row r="41" customFormat="false" ht="17.25" hidden="false" customHeight="true" outlineLevel="0" collapsed="false">
      <c r="B41" s="85" t="s">
        <v>73</v>
      </c>
      <c r="C41" s="89"/>
      <c r="D41" s="87"/>
      <c r="E41" s="87" t="n">
        <v>127.11</v>
      </c>
      <c r="F41" s="87" t="n">
        <v>127.11</v>
      </c>
      <c r="G41" s="63" t="n">
        <v>127.11</v>
      </c>
      <c r="H41" s="63" t="n">
        <v>127.11</v>
      </c>
      <c r="I41" s="63" t="n">
        <v>127.11</v>
      </c>
      <c r="J41" s="63" t="n">
        <v>127.11</v>
      </c>
      <c r="K41" s="63"/>
      <c r="L41" s="63"/>
      <c r="M41" s="63"/>
      <c r="N41" s="93"/>
      <c r="O41" s="86"/>
      <c r="P41" s="86"/>
      <c r="Q41" s="91"/>
      <c r="R41" s="61" t="n">
        <f aca="false">SUM(Décaissements63[[#This Row],[Période 0]:[Période 12]])</f>
        <v>762.66</v>
      </c>
      <c r="S41" s="35" t="n">
        <f aca="false">+AVERAGE(Décaissements63[[#This Row],[Période 1]:[Période 12]])</f>
        <v>127.11</v>
      </c>
    </row>
    <row r="42" customFormat="false" ht="17.25" hidden="false" customHeight="true" outlineLevel="0" collapsed="false">
      <c r="B42" s="85" t="s">
        <v>74</v>
      </c>
      <c r="C42" s="89"/>
      <c r="D42" s="87"/>
      <c r="E42" s="63" t="n">
        <v>50.31</v>
      </c>
      <c r="F42" s="63" t="n">
        <v>118.69</v>
      </c>
      <c r="G42" s="63" t="n">
        <v>93.87</v>
      </c>
      <c r="H42" s="63" t="n">
        <v>93.87</v>
      </c>
      <c r="I42" s="63" t="n">
        <v>93.87</v>
      </c>
      <c r="J42" s="63" t="n">
        <v>93.87</v>
      </c>
      <c r="K42" s="63"/>
      <c r="L42" s="63"/>
      <c r="M42" s="63"/>
      <c r="N42" s="93"/>
      <c r="O42" s="86"/>
      <c r="P42" s="86"/>
      <c r="Q42" s="91"/>
      <c r="R42" s="61" t="n">
        <f aca="false">SUM(Décaissements63[[#This Row],[Période 0]:[Période 12]])</f>
        <v>544.48</v>
      </c>
      <c r="S42" s="35" t="n">
        <f aca="false">+AVERAGE(Décaissements63[[#This Row],[Période 1]:[Période 12]])</f>
        <v>90.7466666666667</v>
      </c>
    </row>
    <row r="43" customFormat="false" ht="17.25" hidden="false" customHeight="true" outlineLevel="0" collapsed="false">
      <c r="B43" s="85" t="s">
        <v>75</v>
      </c>
      <c r="C43" s="81"/>
      <c r="D43" s="86"/>
      <c r="E43" s="63" t="n">
        <v>15.24</v>
      </c>
      <c r="F43" s="63" t="n">
        <v>15.24</v>
      </c>
      <c r="G43" s="63" t="n">
        <v>15.24</v>
      </c>
      <c r="H43" s="63" t="n">
        <v>15.24</v>
      </c>
      <c r="I43" s="63" t="n">
        <v>15.24</v>
      </c>
      <c r="J43" s="63" t="n">
        <v>15.24</v>
      </c>
      <c r="K43" s="63"/>
      <c r="L43" s="63"/>
      <c r="M43" s="63"/>
      <c r="N43" s="63"/>
      <c r="O43" s="63"/>
      <c r="P43" s="63"/>
      <c r="Q43" s="94"/>
      <c r="R43" s="84" t="n">
        <f aca="false">SUM(Décaissements63[[#This Row],[Période 0]:[Période 12]])</f>
        <v>91.44</v>
      </c>
      <c r="S43" s="35" t="n">
        <f aca="false">+AVERAGE(Décaissements63[[#This Row],[Période 1]:[Période 12]])</f>
        <v>15.24</v>
      </c>
    </row>
    <row r="44" customFormat="false" ht="17.25" hidden="false" customHeight="true" outlineLevel="0" collapsed="false">
      <c r="B44" s="85" t="s">
        <v>76</v>
      </c>
      <c r="C44" s="81"/>
      <c r="D44" s="86"/>
      <c r="E44" s="63" t="n">
        <v>16.99</v>
      </c>
      <c r="F44" s="63" t="n">
        <v>16.99</v>
      </c>
      <c r="G44" s="63" t="n">
        <v>16.99</v>
      </c>
      <c r="H44" s="63" t="n">
        <v>16.99</v>
      </c>
      <c r="I44" s="63" t="n">
        <v>16.99</v>
      </c>
      <c r="J44" s="63" t="n">
        <v>16.99</v>
      </c>
      <c r="K44" s="63"/>
      <c r="L44" s="63"/>
      <c r="M44" s="63"/>
      <c r="N44" s="63"/>
      <c r="O44" s="96"/>
      <c r="P44" s="96"/>
      <c r="Q44" s="86"/>
      <c r="R44" s="84" t="n">
        <f aca="false">SUM(Décaissements63[[#This Row],[Période 0]:[Période 12]])</f>
        <v>101.94</v>
      </c>
      <c r="S44" s="86" t="n">
        <f aca="false">+AVERAGE(Décaissements63[[#This Row],[Période 1]:[Période 12]])</f>
        <v>16.99</v>
      </c>
    </row>
    <row r="45" customFormat="false" ht="17.25" hidden="false" customHeight="true" outlineLevel="0" collapsed="false">
      <c r="B45" s="85" t="s">
        <v>77</v>
      </c>
      <c r="C45" s="81"/>
      <c r="D45" s="86"/>
      <c r="E45" s="63"/>
      <c r="F45" s="63"/>
      <c r="G45" s="56"/>
      <c r="H45" s="86"/>
      <c r="I45" s="63"/>
      <c r="J45" s="63"/>
      <c r="K45" s="86"/>
      <c r="L45" s="86"/>
      <c r="M45" s="63"/>
      <c r="N45" s="86"/>
      <c r="O45" s="86"/>
      <c r="P45" s="86"/>
      <c r="Q45" s="83"/>
      <c r="R45" s="84" t="n">
        <f aca="false">SUM(Décaissements63[[#This Row],[Période 0]:[Période 12]])</f>
        <v>0</v>
      </c>
      <c r="S45" s="35" t="e">
        <f aca="false">+AVERAGE(Décaissements63[[#This Row],[Période 1]:[Période 12]])</f>
        <v>#DIV/0!</v>
      </c>
    </row>
    <row r="46" customFormat="false" ht="17.25" hidden="false" customHeight="true" outlineLevel="0" collapsed="false">
      <c r="B46" s="85" t="s">
        <v>78</v>
      </c>
      <c r="C46" s="89"/>
      <c r="D46" s="87"/>
      <c r="E46" s="63" t="n">
        <f aca="false">15.95+15.95</f>
        <v>31.9</v>
      </c>
      <c r="F46" s="63" t="n">
        <f aca="false">15.95+15.95</f>
        <v>31.9</v>
      </c>
      <c r="G46" s="63" t="n">
        <f aca="false">15.95+15.95</f>
        <v>31.9</v>
      </c>
      <c r="H46" s="87" t="n">
        <f aca="false">15.95+15.95</f>
        <v>31.9</v>
      </c>
      <c r="I46" s="90" t="n">
        <f aca="false">15.95+15.95</f>
        <v>31.9</v>
      </c>
      <c r="J46" s="90" t="n">
        <f aca="false">15.95+15.95</f>
        <v>31.9</v>
      </c>
      <c r="K46" s="90"/>
      <c r="L46" s="90"/>
      <c r="M46" s="90"/>
      <c r="N46" s="90"/>
      <c r="O46" s="90"/>
      <c r="P46" s="90"/>
      <c r="Q46" s="91"/>
      <c r="R46" s="61" t="n">
        <f aca="false">SUM(Décaissements63[[#This Row],[Période 0]:[Période 12]])</f>
        <v>191.4</v>
      </c>
      <c r="S46" s="35" t="n">
        <f aca="false">+AVERAGE(Décaissements63[[#This Row],[Période 1]:[Période 12]])</f>
        <v>31.9</v>
      </c>
    </row>
    <row r="47" customFormat="false" ht="17.25" hidden="false" customHeight="true" outlineLevel="0" collapsed="false">
      <c r="B47" s="85" t="s">
        <v>79</v>
      </c>
      <c r="C47" s="81"/>
      <c r="D47" s="86"/>
      <c r="E47" s="63" t="n">
        <v>142.1</v>
      </c>
      <c r="F47" s="63" t="n">
        <v>142.1</v>
      </c>
      <c r="G47" s="63" t="n">
        <v>142.1</v>
      </c>
      <c r="H47" s="63" t="n">
        <v>143.25</v>
      </c>
      <c r="I47" s="63" t="n">
        <f aca="false">143.25+220</f>
        <v>363.25</v>
      </c>
      <c r="J47" s="63" t="n">
        <v>143.25</v>
      </c>
      <c r="K47" s="63"/>
      <c r="L47" s="63"/>
      <c r="M47" s="63"/>
      <c r="N47" s="93"/>
      <c r="O47" s="86"/>
      <c r="P47" s="86"/>
      <c r="Q47" s="94"/>
      <c r="R47" s="84" t="n">
        <f aca="false">SUM(Décaissements63[[#This Row],[Période 0]:[Période 12]])</f>
        <v>1076.05</v>
      </c>
      <c r="S47" s="35" t="n">
        <f aca="false">+AVERAGE(Décaissements63[[#This Row],[Période 1]:[Période 12]])</f>
        <v>179.341666666667</v>
      </c>
    </row>
    <row r="48" customFormat="false" ht="15.75" hidden="false" customHeight="true" outlineLevel="0" collapsed="false">
      <c r="B48" s="97" t="s">
        <v>80</v>
      </c>
      <c r="C48" s="60"/>
      <c r="D48" s="98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79"/>
      <c r="R48" s="35" t="n">
        <f aca="false">SUM(Décaissements63[[#This Row],[Période 0]:[Période 12]])</f>
        <v>0</v>
      </c>
    </row>
    <row r="49" customFormat="false" ht="17.25" hidden="false" customHeight="true" outlineLevel="0" collapsed="false">
      <c r="B49" s="77" t="s">
        <v>81</v>
      </c>
      <c r="C49" s="89"/>
      <c r="D49" s="100"/>
      <c r="E49" s="100"/>
      <c r="F49" s="100"/>
      <c r="G49" s="98"/>
      <c r="H49" s="100"/>
      <c r="I49" s="100"/>
      <c r="J49" s="100"/>
      <c r="K49" s="100"/>
      <c r="L49" s="100"/>
      <c r="M49" s="100"/>
      <c r="N49" s="100"/>
      <c r="O49" s="100"/>
      <c r="P49" s="100"/>
      <c r="Q49" s="91"/>
      <c r="R49" s="61" t="n">
        <f aca="false">SUM(Décaissements63[[#This Row],[Période 0]:[Période 12]])</f>
        <v>0</v>
      </c>
    </row>
    <row r="50" customFormat="false" ht="17.25" hidden="false" customHeight="true" outlineLevel="0" collapsed="false">
      <c r="B50" s="88" t="s">
        <v>82</v>
      </c>
      <c r="C50" s="89"/>
      <c r="D50" s="87"/>
      <c r="E50" s="63"/>
      <c r="F50" s="63"/>
      <c r="G50" s="56"/>
      <c r="H50" s="87"/>
      <c r="I50" s="87"/>
      <c r="J50" s="87"/>
      <c r="K50" s="87"/>
      <c r="L50" s="87"/>
      <c r="M50" s="87"/>
      <c r="N50" s="87"/>
      <c r="O50" s="87"/>
      <c r="P50" s="87"/>
      <c r="Q50" s="101"/>
      <c r="R50" s="61" t="n">
        <f aca="false">SUM(Décaissements63[[#This Row],[Période 0]:[Période 12]])</f>
        <v>0</v>
      </c>
      <c r="S50" s="35" t="e">
        <f aca="false">+AVERAGE(Décaissements63[[#This Row],[Période 1]:[Période 12]])</f>
        <v>#DIV/0!</v>
      </c>
    </row>
    <row r="51" customFormat="false" ht="17.25" hidden="false" customHeight="true" outlineLevel="0" collapsed="false">
      <c r="B51" s="88" t="s">
        <v>83</v>
      </c>
      <c r="C51" s="89"/>
      <c r="D51" s="87"/>
      <c r="E51" s="63"/>
      <c r="F51" s="63"/>
      <c r="G51" s="63"/>
      <c r="H51" s="87" t="n">
        <f aca="false">39+39+39+39</f>
        <v>156</v>
      </c>
      <c r="I51" s="63" t="n">
        <f aca="false">39</f>
        <v>39</v>
      </c>
      <c r="J51" s="90" t="n">
        <f aca="false">39+39+39</f>
        <v>117</v>
      </c>
      <c r="K51" s="90"/>
      <c r="L51" s="90"/>
      <c r="M51" s="63"/>
      <c r="N51" s="90"/>
      <c r="O51" s="90"/>
      <c r="P51" s="90"/>
      <c r="Q51" s="91"/>
      <c r="R51" s="61" t="n">
        <f aca="false">SUM(Décaissements63[[#This Row],[Période 0]:[Période 12]])</f>
        <v>312</v>
      </c>
      <c r="S51" s="35" t="n">
        <f aca="false">+AVERAGE(Décaissements63[[#This Row],[Période 1]:[Période 12]])</f>
        <v>104</v>
      </c>
    </row>
    <row r="52" customFormat="false" ht="17.25" hidden="false" customHeight="true" outlineLevel="0" collapsed="false">
      <c r="B52" s="88" t="s">
        <v>84</v>
      </c>
      <c r="C52" s="89"/>
      <c r="D52" s="87"/>
      <c r="E52" s="63"/>
      <c r="F52" s="63"/>
      <c r="G52" s="63"/>
      <c r="H52" s="87"/>
      <c r="I52" s="63"/>
      <c r="J52" s="90"/>
      <c r="K52" s="90"/>
      <c r="L52" s="90"/>
      <c r="M52" s="63"/>
      <c r="N52" s="90"/>
      <c r="O52" s="90"/>
      <c r="P52" s="90"/>
      <c r="Q52" s="91"/>
      <c r="R52" s="61" t="n">
        <f aca="false">SUM(Décaissements63[[#This Row],[Période 0]:[Période 12]])</f>
        <v>0</v>
      </c>
      <c r="S52" s="35" t="e">
        <f aca="false">+AVERAGE(Décaissements63[[#This Row],[Période 1]:[Période 12]])</f>
        <v>#DIV/0!</v>
      </c>
    </row>
    <row r="53" customFormat="false" ht="17.25" hidden="false" customHeight="true" outlineLevel="0" collapsed="false">
      <c r="B53" s="88" t="s">
        <v>85</v>
      </c>
      <c r="C53" s="89"/>
      <c r="D53" s="87"/>
      <c r="E53" s="87"/>
      <c r="F53" s="87" t="n">
        <v>1500.57</v>
      </c>
      <c r="G53" s="87"/>
      <c r="H53" s="87"/>
      <c r="I53" s="63"/>
      <c r="J53" s="87"/>
      <c r="K53" s="87"/>
      <c r="L53" s="87"/>
      <c r="M53" s="63"/>
      <c r="N53" s="87"/>
      <c r="O53" s="87"/>
      <c r="P53" s="87"/>
      <c r="Q53" s="91"/>
      <c r="R53" s="61" t="n">
        <f aca="false">SUM(Décaissements63[[#This Row],[Période 0]:[Période 12]])</f>
        <v>1500.57</v>
      </c>
      <c r="S53" s="35" t="n">
        <f aca="false">+AVERAGE(Décaissements63[[#This Row],[Période 1]:[Période 12]])</f>
        <v>1500.57</v>
      </c>
    </row>
    <row r="54" customFormat="false" ht="17.25" hidden="false" customHeight="true" outlineLevel="0" collapsed="false">
      <c r="B54" s="88" t="s">
        <v>86</v>
      </c>
      <c r="C54" s="89"/>
      <c r="D54" s="87"/>
      <c r="E54" s="63" t="n">
        <v>1903.67</v>
      </c>
      <c r="F54" s="63" t="n">
        <v>1891.31</v>
      </c>
      <c r="G54" s="63" t="n">
        <v>2117.11</v>
      </c>
      <c r="H54" s="63" t="n">
        <v>2159.14</v>
      </c>
      <c r="I54" s="63" t="n">
        <v>2054.49</v>
      </c>
      <c r="J54" s="87" t="n">
        <v>2202.95</v>
      </c>
      <c r="K54" s="87"/>
      <c r="L54" s="90"/>
      <c r="M54" s="63"/>
      <c r="N54" s="90"/>
      <c r="O54" s="90"/>
      <c r="P54" s="90"/>
      <c r="Q54" s="102"/>
      <c r="R54" s="61" t="n">
        <f aca="false">SUM(Décaissements63[[#This Row],[Période 0]:[Période 12]])</f>
        <v>12328.67</v>
      </c>
      <c r="S54" s="35" t="n">
        <f aca="false">+AVERAGE(Décaissements63[[#This Row],[Période 1]:[Période 12]])</f>
        <v>2054.77833333333</v>
      </c>
    </row>
    <row r="55" s="103" customFormat="true" ht="17.25" hidden="false" customHeight="true" outlineLevel="0" collapsed="false">
      <c r="B55" s="88" t="s">
        <v>87</v>
      </c>
      <c r="C55" s="89"/>
      <c r="D55" s="87"/>
      <c r="E55" s="63"/>
      <c r="F55" s="63"/>
      <c r="G55" s="63"/>
      <c r="H55" s="90"/>
      <c r="I55" s="63"/>
      <c r="J55" s="87"/>
      <c r="K55" s="87"/>
      <c r="L55" s="90"/>
      <c r="M55" s="63"/>
      <c r="N55" s="90"/>
      <c r="O55" s="90"/>
      <c r="P55" s="90"/>
      <c r="Q55" s="91"/>
      <c r="R55" s="61" t="n">
        <f aca="false">SUM(Décaissements63[[#This Row],[Période 0]:[Période 12]])</f>
        <v>0</v>
      </c>
      <c r="S55" s="35" t="e">
        <f aca="false">+AVERAGE(Décaissements63[[#This Row],[Période 1]:[Période 12]])</f>
        <v>#DIV/0!</v>
      </c>
      <c r="T55" s="35"/>
    </row>
    <row r="56" customFormat="false" ht="17.25" hidden="false" customHeight="true" outlineLevel="0" collapsed="false">
      <c r="B56" s="88" t="s">
        <v>88</v>
      </c>
      <c r="C56" s="89"/>
      <c r="D56" s="87"/>
      <c r="E56" s="63" t="n">
        <v>1761.46</v>
      </c>
      <c r="F56" s="63"/>
      <c r="G56" s="63" t="n">
        <v>1765.42</v>
      </c>
      <c r="H56" s="63" t="n">
        <v>1799.9</v>
      </c>
      <c r="I56" s="63" t="n">
        <v>1659.59</v>
      </c>
      <c r="J56" s="87" t="n">
        <v>1809.12</v>
      </c>
      <c r="K56" s="87"/>
      <c r="L56" s="90"/>
      <c r="M56" s="63"/>
      <c r="N56" s="90"/>
      <c r="O56" s="90"/>
      <c r="P56" s="90"/>
      <c r="Q56" s="91"/>
      <c r="R56" s="61" t="n">
        <f aca="false">SUM(Décaissements63[[#This Row],[Période 0]:[Période 12]])</f>
        <v>8795.49</v>
      </c>
      <c r="S56" s="35" t="n">
        <f aca="false">+AVERAGE(Décaissements63[[#This Row],[Période 1]:[Période 12]])</f>
        <v>1759.098</v>
      </c>
      <c r="T56" s="103"/>
    </row>
    <row r="57" customFormat="false" ht="17.25" hidden="false" customHeight="true" outlineLevel="0" collapsed="false">
      <c r="B57" s="88" t="s">
        <v>89</v>
      </c>
      <c r="C57" s="89"/>
      <c r="D57" s="87"/>
      <c r="E57" s="63"/>
      <c r="F57" s="63"/>
      <c r="G57" s="90"/>
      <c r="H57" s="90"/>
      <c r="I57" s="63"/>
      <c r="J57" s="87"/>
      <c r="K57" s="87"/>
      <c r="L57" s="90"/>
      <c r="M57" s="63"/>
      <c r="N57" s="90"/>
      <c r="O57" s="90"/>
      <c r="P57" s="90"/>
      <c r="Q57" s="91"/>
      <c r="R57" s="61" t="n">
        <f aca="false">SUM(Décaissements63[[#This Row],[Période 0]:[Période 12]])</f>
        <v>0</v>
      </c>
      <c r="S57" s="35" t="e">
        <f aca="false">+AVERAGE(Décaissements63[[#This Row],[Période 1]:[Période 12]])</f>
        <v>#DIV/0!</v>
      </c>
    </row>
    <row r="58" customFormat="false" ht="17.25" hidden="false" customHeight="true" outlineLevel="0" collapsed="false">
      <c r="B58" s="88" t="s">
        <v>90</v>
      </c>
      <c r="C58" s="89"/>
      <c r="D58" s="87"/>
      <c r="E58" s="63"/>
      <c r="F58" s="63" t="n">
        <v>2295</v>
      </c>
      <c r="G58" s="63" t="n">
        <v>342.92</v>
      </c>
      <c r="H58" s="87"/>
      <c r="I58" s="63"/>
      <c r="J58" s="87"/>
      <c r="K58" s="87"/>
      <c r="L58" s="87"/>
      <c r="M58" s="63"/>
      <c r="N58" s="87"/>
      <c r="O58" s="87"/>
      <c r="P58" s="87"/>
      <c r="Q58" s="91"/>
      <c r="R58" s="61" t="n">
        <f aca="false">SUM(Décaissements63[[#This Row],[Période 0]:[Période 12]])</f>
        <v>2637.92</v>
      </c>
      <c r="S58" s="35" t="n">
        <f aca="false">+AVERAGE(Décaissements63[[#This Row],[Période 1]:[Période 12]])</f>
        <v>1318.96</v>
      </c>
    </row>
    <row r="59" customFormat="false" ht="17.25" hidden="false" customHeight="true" outlineLevel="0" collapsed="false">
      <c r="B59" s="88" t="s">
        <v>91</v>
      </c>
      <c r="C59" s="89"/>
      <c r="D59" s="87"/>
      <c r="E59" s="63" t="n">
        <v>7851</v>
      </c>
      <c r="F59" s="63" t="n">
        <v>10078</v>
      </c>
      <c r="G59" s="63" t="n">
        <v>11150</v>
      </c>
      <c r="H59" s="63" t="n">
        <v>11213</v>
      </c>
      <c r="I59" s="63" t="n">
        <v>10494</v>
      </c>
      <c r="J59" s="87" t="n">
        <v>11809</v>
      </c>
      <c r="K59" s="87"/>
      <c r="L59" s="90"/>
      <c r="M59" s="63"/>
      <c r="N59" s="90"/>
      <c r="O59" s="90"/>
      <c r="P59" s="90"/>
      <c r="Q59" s="91"/>
      <c r="R59" s="61" t="n">
        <f aca="false">SUM(Décaissements63[[#This Row],[Période 0]:[Période 12]])</f>
        <v>62595</v>
      </c>
      <c r="S59" s="35" t="n">
        <f aca="false">+AVERAGE(Décaissements63[[#This Row],[Période 1]:[Période 12]])</f>
        <v>10432.5</v>
      </c>
    </row>
    <row r="60" customFormat="false" ht="17.25" hidden="false" customHeight="true" outlineLevel="0" collapsed="false">
      <c r="B60" s="88" t="s">
        <v>92</v>
      </c>
      <c r="C60" s="89"/>
      <c r="D60" s="87"/>
      <c r="E60" s="63" t="n">
        <v>1909.83</v>
      </c>
      <c r="F60" s="63"/>
      <c r="G60" s="56"/>
      <c r="H60" s="63" t="n">
        <v>2210.28</v>
      </c>
      <c r="I60" s="63"/>
      <c r="J60" s="87"/>
      <c r="K60" s="63"/>
      <c r="L60" s="90"/>
      <c r="M60" s="63"/>
      <c r="N60" s="90"/>
      <c r="O60" s="90"/>
      <c r="P60" s="90"/>
      <c r="Q60" s="91"/>
      <c r="R60" s="61" t="n">
        <f aca="false">SUM(Décaissements63[[#This Row],[Période 0]:[Période 12]])</f>
        <v>4120.11</v>
      </c>
      <c r="S60" s="35" t="n">
        <f aca="false">+AVERAGE(Décaissements63[[#This Row],[Période 1]:[Période 12]])</f>
        <v>2060.055</v>
      </c>
    </row>
    <row r="61" customFormat="false" ht="17.25" hidden="false" customHeight="true" outlineLevel="0" collapsed="false">
      <c r="B61" s="88" t="s">
        <v>93</v>
      </c>
      <c r="C61" s="89"/>
      <c r="D61" s="87"/>
      <c r="E61" s="63" t="n">
        <v>5596</v>
      </c>
      <c r="F61" s="63" t="n">
        <v>5074</v>
      </c>
      <c r="G61" s="63" t="n">
        <v>4965</v>
      </c>
      <c r="H61" s="90" t="n">
        <v>6024</v>
      </c>
      <c r="I61" s="63" t="n">
        <v>6112</v>
      </c>
      <c r="J61" s="87" t="n">
        <v>5467</v>
      </c>
      <c r="K61" s="90"/>
      <c r="L61" s="63"/>
      <c r="M61" s="63"/>
      <c r="N61" s="90"/>
      <c r="O61" s="90"/>
      <c r="P61" s="90"/>
      <c r="Q61" s="91"/>
      <c r="R61" s="61" t="n">
        <f aca="false">SUM(Décaissements63[[#This Row],[Période 0]:[Période 12]])</f>
        <v>33238</v>
      </c>
      <c r="S61" s="35" t="n">
        <f aca="false">+AVERAGE(Décaissements63[[#This Row],[Période 1]:[Période 12]])</f>
        <v>5539.66666666667</v>
      </c>
    </row>
    <row r="62" customFormat="false" ht="17.1" hidden="false" customHeight="true" outlineLevel="0" collapsed="false">
      <c r="B62" s="88" t="s">
        <v>94</v>
      </c>
      <c r="C62" s="89"/>
      <c r="D62" s="87"/>
      <c r="E62" s="63"/>
      <c r="F62" s="63"/>
      <c r="G62" s="63"/>
      <c r="H62" s="87"/>
      <c r="I62" s="63"/>
      <c r="J62" s="87"/>
      <c r="K62" s="87"/>
      <c r="L62" s="90"/>
      <c r="M62" s="63"/>
      <c r="N62" s="90"/>
      <c r="O62" s="90"/>
      <c r="P62" s="90"/>
      <c r="Q62" s="91"/>
      <c r="R62" s="61" t="n">
        <f aca="false">SUM(Décaissements63[[#This Row],[Période 0]:[Période 12]])</f>
        <v>0</v>
      </c>
      <c r="S62" s="35" t="e">
        <f aca="false">+AVERAGE(Décaissements63[[#This Row],[Période 1]:[Période 12]])</f>
        <v>#DIV/0!</v>
      </c>
    </row>
    <row r="63" customFormat="false" ht="17.25" hidden="false" customHeight="true" outlineLevel="0" collapsed="false">
      <c r="B63" s="88" t="s">
        <v>95</v>
      </c>
      <c r="C63" s="89"/>
      <c r="D63" s="87"/>
      <c r="E63" s="63"/>
      <c r="F63" s="63"/>
      <c r="G63" s="63"/>
      <c r="H63" s="63"/>
      <c r="I63" s="63"/>
      <c r="J63" s="87"/>
      <c r="K63" s="87"/>
      <c r="L63" s="56"/>
      <c r="M63" s="63"/>
      <c r="N63" s="56"/>
      <c r="O63" s="56"/>
      <c r="P63" s="56"/>
      <c r="Q63" s="91"/>
      <c r="R63" s="61" t="n">
        <f aca="false">SUM(Décaissements63[[#This Row],[Période 0]:[Période 12]])</f>
        <v>0</v>
      </c>
      <c r="S63" s="35" t="e">
        <f aca="false">+AVERAGE(Décaissements63[[#This Row],[Période 1]:[Période 12]])</f>
        <v>#DIV/0!</v>
      </c>
    </row>
    <row r="64" customFormat="false" ht="17.25" hidden="false" customHeight="true" outlineLevel="0" collapsed="false">
      <c r="B64" s="77" t="s">
        <v>96</v>
      </c>
      <c r="C64" s="104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6"/>
      <c r="R64" s="107" t="n">
        <f aca="false">SUM(Décaissements63[[#This Row],[Période 0]:[Période 12]])</f>
        <v>0</v>
      </c>
    </row>
    <row r="65" customFormat="false" ht="17.25" hidden="false" customHeight="true" outlineLevel="0" collapsed="false">
      <c r="B65" s="88" t="s">
        <v>97</v>
      </c>
      <c r="C65" s="89"/>
      <c r="D65" s="87"/>
      <c r="E65" s="63" t="n">
        <v>96.8</v>
      </c>
      <c r="F65" s="63" t="n">
        <v>117.19</v>
      </c>
      <c r="G65" s="63" t="n">
        <v>31.66</v>
      </c>
      <c r="H65" s="90" t="n">
        <v>58.93</v>
      </c>
      <c r="I65" s="87" t="n">
        <v>25.28</v>
      </c>
      <c r="J65" s="90"/>
      <c r="K65" s="87"/>
      <c r="L65" s="90"/>
      <c r="M65" s="87"/>
      <c r="N65" s="90"/>
      <c r="O65" s="90"/>
      <c r="P65" s="90"/>
      <c r="Q65" s="89"/>
      <c r="R65" s="61" t="n">
        <f aca="false">SUM(Décaissements63[[#This Row],[Période 0]:[Période 12]])</f>
        <v>329.86</v>
      </c>
      <c r="S65" s="35" t="n">
        <f aca="false">+AVERAGE(Décaissements63[[#This Row],[Période 1]:[Période 12]])</f>
        <v>65.972</v>
      </c>
    </row>
    <row r="66" customFormat="false" ht="17.25" hidden="false" customHeight="true" outlineLevel="0" collapsed="false">
      <c r="B66" s="88" t="s">
        <v>98</v>
      </c>
      <c r="C66" s="89"/>
      <c r="D66" s="87"/>
      <c r="E66" s="63" t="n">
        <v>228.84</v>
      </c>
      <c r="F66" s="63" t="n">
        <v>163.77</v>
      </c>
      <c r="G66" s="63" t="n">
        <v>295.19</v>
      </c>
      <c r="H66" s="63" t="n">
        <v>277.96</v>
      </c>
      <c r="I66" s="87" t="n">
        <v>224.93</v>
      </c>
      <c r="J66" s="87" t="n">
        <v>135.38</v>
      </c>
      <c r="K66" s="87"/>
      <c r="L66" s="87"/>
      <c r="M66" s="87"/>
      <c r="N66" s="90"/>
      <c r="O66" s="90"/>
      <c r="P66" s="90"/>
      <c r="Q66" s="89"/>
      <c r="R66" s="61" t="n">
        <f aca="false">SUM(Décaissements63[[#This Row],[Période 0]:[Période 12]])</f>
        <v>1326.07</v>
      </c>
      <c r="S66" s="35" t="n">
        <f aca="false">+AVERAGE(Décaissements63[[#This Row],[Période 1]:[Période 12]])</f>
        <v>221.011666666667</v>
      </c>
    </row>
    <row r="67" customFormat="false" ht="17.25" hidden="false" customHeight="true" outlineLevel="0" collapsed="false">
      <c r="B67" s="88" t="s">
        <v>99</v>
      </c>
      <c r="C67" s="89"/>
      <c r="D67" s="87"/>
      <c r="E67" s="87" t="n">
        <v>268.67</v>
      </c>
      <c r="F67" s="90" t="n">
        <v>20.24</v>
      </c>
      <c r="G67" s="63" t="n">
        <v>19.97</v>
      </c>
      <c r="H67" s="90" t="n">
        <v>19.38</v>
      </c>
      <c r="I67" s="87" t="n">
        <v>5.31</v>
      </c>
      <c r="J67" s="87"/>
      <c r="K67" s="87"/>
      <c r="L67" s="87"/>
      <c r="M67" s="87"/>
      <c r="N67" s="90"/>
      <c r="O67" s="90"/>
      <c r="P67" s="90"/>
      <c r="Q67" s="89"/>
      <c r="R67" s="61" t="n">
        <f aca="false">SUM(Décaissements63[[#This Row],[Période 0]:[Période 12]])</f>
        <v>333.57</v>
      </c>
      <c r="S67" s="35" t="n">
        <f aca="false">+AVERAGE(Décaissements63[[#This Row],[Période 1]:[Période 12]])</f>
        <v>66.714</v>
      </c>
    </row>
    <row r="68" customFormat="false" ht="17.25" hidden="false" customHeight="true" outlineLevel="0" collapsed="false">
      <c r="B68" s="88" t="s">
        <v>100</v>
      </c>
      <c r="C68" s="89"/>
      <c r="D68" s="87"/>
      <c r="E68" s="87" t="n">
        <v>14.14</v>
      </c>
      <c r="F68" s="87" t="n">
        <v>14.14</v>
      </c>
      <c r="G68" s="63" t="n">
        <v>14.14</v>
      </c>
      <c r="H68" s="87" t="n">
        <v>14.14</v>
      </c>
      <c r="I68" s="87"/>
      <c r="J68" s="87"/>
      <c r="K68" s="87"/>
      <c r="L68" s="87"/>
      <c r="M68" s="87"/>
      <c r="N68" s="87"/>
      <c r="O68" s="87"/>
      <c r="P68" s="87"/>
      <c r="Q68" s="91"/>
      <c r="R68" s="61" t="n">
        <f aca="false">SUM(Décaissements63[[#This Row],[Période 0]:[Période 12]])</f>
        <v>56.56</v>
      </c>
      <c r="S68" s="35" t="n">
        <f aca="false">+AVERAGE(Décaissements63[[#This Row],[Période 1]:[Période 12]])</f>
        <v>14.14</v>
      </c>
    </row>
    <row r="69" customFormat="false" ht="17.25" hidden="false" customHeight="true" outlineLevel="0" collapsed="false">
      <c r="B69" s="88" t="s">
        <v>101</v>
      </c>
      <c r="C69" s="89"/>
      <c r="D69" s="87"/>
      <c r="E69" s="63" t="n">
        <f aca="false">43+32</f>
        <v>75</v>
      </c>
      <c r="F69" s="63" t="n">
        <v>43</v>
      </c>
      <c r="G69" s="63" t="n">
        <f aca="false">43+32</f>
        <v>75</v>
      </c>
      <c r="H69" s="63" t="n">
        <f aca="false">43+34.43</f>
        <v>77.43</v>
      </c>
      <c r="I69" s="87" t="n">
        <f aca="false">43+34.62</f>
        <v>77.62</v>
      </c>
      <c r="J69" s="87" t="n">
        <f aca="false">43+32</f>
        <v>75</v>
      </c>
      <c r="K69" s="87"/>
      <c r="L69" s="87"/>
      <c r="M69" s="87"/>
      <c r="N69" s="90"/>
      <c r="O69" s="90"/>
      <c r="P69" s="90"/>
      <c r="Q69" s="89"/>
      <c r="R69" s="61" t="n">
        <f aca="false">SUM(Décaissements63[[#This Row],[Période 0]:[Période 12]])</f>
        <v>423.05</v>
      </c>
      <c r="S69" s="35" t="n">
        <f aca="false">+AVERAGE(Décaissements63[[#This Row],[Période 1]:[Période 12]])</f>
        <v>70.5083333333333</v>
      </c>
    </row>
    <row r="70" customFormat="false" ht="17.25" hidden="false" customHeight="true" outlineLevel="0" collapsed="false">
      <c r="B70" s="88" t="s">
        <v>102</v>
      </c>
      <c r="C70" s="89"/>
      <c r="D70" s="87"/>
      <c r="E70" s="63" t="n">
        <f aca="false">50+35+31+31+31.67</f>
        <v>178.67</v>
      </c>
      <c r="F70" s="63" t="n">
        <f aca="false">50+38+36.36+31+31+36.54</f>
        <v>222.9</v>
      </c>
      <c r="G70" s="63" t="n">
        <f aca="false">50+38+31+31+31</f>
        <v>181</v>
      </c>
      <c r="H70" s="63" t="n">
        <f aca="false">50+38+31+31+31</f>
        <v>181</v>
      </c>
      <c r="I70" s="87" t="n">
        <f aca="false">50+38+31+31+35.19</f>
        <v>185.19</v>
      </c>
      <c r="J70" s="87" t="n">
        <f aca="false">50+38+70.98+31+31</f>
        <v>220.98</v>
      </c>
      <c r="K70" s="63"/>
      <c r="L70" s="87"/>
      <c r="M70" s="87"/>
      <c r="N70" s="90"/>
      <c r="O70" s="90"/>
      <c r="P70" s="90"/>
      <c r="Q70" s="91"/>
      <c r="R70" s="61" t="n">
        <f aca="false">SUM(Décaissements63[[#This Row],[Période 0]:[Période 12]])</f>
        <v>1169.74</v>
      </c>
      <c r="S70" s="35" t="n">
        <f aca="false">+AVERAGE(Décaissements63[[#This Row],[Période 1]:[Période 12]])</f>
        <v>194.956666666667</v>
      </c>
    </row>
    <row r="71" customFormat="false" ht="17.25" hidden="false" customHeight="true" outlineLevel="0" collapsed="false">
      <c r="B71" s="88" t="s">
        <v>103</v>
      </c>
      <c r="C71" s="89"/>
      <c r="D71" s="87"/>
      <c r="E71" s="87"/>
      <c r="F71" s="87"/>
      <c r="G71" s="87"/>
      <c r="H71" s="87"/>
      <c r="I71" s="87" t="n">
        <v>307.8</v>
      </c>
      <c r="J71" s="87"/>
      <c r="K71" s="87"/>
      <c r="L71" s="87"/>
      <c r="M71" s="87"/>
      <c r="N71" s="87"/>
      <c r="O71" s="87"/>
      <c r="P71" s="87"/>
      <c r="Q71" s="91"/>
      <c r="R71" s="61" t="n">
        <f aca="false">SUM(Décaissements63[[#This Row],[Période 0]:[Période 12]])</f>
        <v>307.8</v>
      </c>
      <c r="S71" s="35" t="n">
        <f aca="false">+AVERAGE(Décaissements63[[#This Row],[Période 1]:[Période 12]])</f>
        <v>307.8</v>
      </c>
    </row>
    <row r="72" customFormat="false" ht="17.25" hidden="false" customHeight="true" outlineLevel="0" collapsed="false">
      <c r="B72" s="88" t="s">
        <v>104</v>
      </c>
      <c r="C72" s="89"/>
      <c r="D72" s="87"/>
      <c r="E72" s="63" t="n">
        <v>180.56</v>
      </c>
      <c r="F72" s="63"/>
      <c r="G72" s="63" t="n">
        <v>142.33</v>
      </c>
      <c r="H72" s="90"/>
      <c r="I72" s="87" t="n">
        <v>405.73</v>
      </c>
      <c r="J72" s="87"/>
      <c r="K72" s="87"/>
      <c r="L72" s="90"/>
      <c r="M72" s="90"/>
      <c r="N72" s="90"/>
      <c r="O72" s="90"/>
      <c r="P72" s="90"/>
      <c r="Q72" s="102"/>
      <c r="R72" s="61" t="n">
        <f aca="false">SUM(Décaissements63[[#This Row],[Période 0]:[Période 12]])</f>
        <v>728.62</v>
      </c>
      <c r="S72" s="35" t="n">
        <f aca="false">+AVERAGE(Décaissements63[[#This Row],[Période 1]:[Période 12]])</f>
        <v>242.873333333333</v>
      </c>
    </row>
    <row r="73" customFormat="false" ht="17.25" hidden="false" customHeight="true" outlineLevel="0" collapsed="false">
      <c r="B73" s="88" t="s">
        <v>105</v>
      </c>
      <c r="C73" s="89"/>
      <c r="D73" s="87"/>
      <c r="E73" s="63"/>
      <c r="F73" s="63"/>
      <c r="G73" s="63"/>
      <c r="H73" s="90"/>
      <c r="I73" s="87"/>
      <c r="J73" s="87"/>
      <c r="K73" s="90"/>
      <c r="L73" s="90"/>
      <c r="M73" s="90"/>
      <c r="N73" s="90"/>
      <c r="O73" s="90"/>
      <c r="P73" s="90"/>
      <c r="Q73" s="102"/>
      <c r="R73" s="61" t="n">
        <f aca="false">SUM(Décaissements63[[#This Row],[Période 0]:[Période 12]])</f>
        <v>0</v>
      </c>
      <c r="S73" s="35" t="e">
        <f aca="false">+AVERAGE(Décaissements63[[#This Row],[Période 1]:[Période 12]])</f>
        <v>#DIV/0!</v>
      </c>
    </row>
    <row r="74" customFormat="false" ht="17.25" hidden="false" customHeight="true" outlineLevel="0" collapsed="false">
      <c r="B74" s="88" t="s">
        <v>106</v>
      </c>
      <c r="C74" s="89"/>
      <c r="D74" s="87"/>
      <c r="E74" s="87"/>
      <c r="F74" s="87" t="n">
        <v>45.24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91"/>
      <c r="R74" s="61" t="n">
        <f aca="false">SUM(Décaissements63[[#This Row],[Période 0]:[Période 12]])</f>
        <v>45.24</v>
      </c>
      <c r="S74" s="35" t="n">
        <f aca="false">+AVERAGE(Décaissements63[[#This Row],[Période 1]:[Période 12]])</f>
        <v>45.24</v>
      </c>
    </row>
    <row r="75" customFormat="false" ht="17.25" hidden="false" customHeight="true" outlineLevel="0" collapsed="false">
      <c r="B75" s="88" t="s">
        <v>107</v>
      </c>
      <c r="C75" s="89"/>
      <c r="D75" s="87"/>
      <c r="E75" s="63" t="n">
        <f aca="false">980+260+380+1665.67</f>
        <v>3285.67</v>
      </c>
      <c r="F75" s="63"/>
      <c r="G75" s="63" t="n">
        <f aca="false">240.11+1135+237.48</f>
        <v>1612.59</v>
      </c>
      <c r="H75" s="63" t="n">
        <f aca="false">194+130+1600</f>
        <v>1924</v>
      </c>
      <c r="I75" s="87" t="n">
        <f aca="false">515.29+1600+822.05</f>
        <v>2937.34</v>
      </c>
      <c r="J75" s="87" t="n">
        <f aca="false">484.99+17+364+475.87+541.94</f>
        <v>1883.8</v>
      </c>
      <c r="K75" s="87"/>
      <c r="L75" s="87"/>
      <c r="M75" s="90"/>
      <c r="N75" s="90"/>
      <c r="O75" s="90"/>
      <c r="P75" s="90"/>
      <c r="Q75" s="102"/>
      <c r="R75" s="61" t="n">
        <f aca="false">SUM(Décaissements63[[#This Row],[Période 0]:[Période 12]])</f>
        <v>11643.4</v>
      </c>
      <c r="S75" s="35" t="n">
        <f aca="false">+AVERAGE(Décaissements63[[#This Row],[Période 1]:[Période 12]])</f>
        <v>2328.68</v>
      </c>
    </row>
    <row r="76" customFormat="false" ht="17.25" hidden="false" customHeight="true" outlineLevel="0" collapsed="false">
      <c r="B76" s="88" t="s">
        <v>108</v>
      </c>
      <c r="C76" s="89"/>
      <c r="D76" s="87"/>
      <c r="E76" s="63" t="n">
        <f aca="false">8.6+1311.36</f>
        <v>1319.96</v>
      </c>
      <c r="F76" s="63" t="n">
        <v>9.7</v>
      </c>
      <c r="G76" s="63" t="n">
        <f aca="false">936.1+2+1139.27</f>
        <v>2077.37</v>
      </c>
      <c r="H76" s="108" t="n">
        <f aca="false">2.3+1102.38</f>
        <v>1104.68</v>
      </c>
      <c r="I76" s="87" t="n">
        <f aca="false">3.2+919.8</f>
        <v>923</v>
      </c>
      <c r="J76" s="87" t="n">
        <v>811.94</v>
      </c>
      <c r="K76" s="87"/>
      <c r="L76" s="90"/>
      <c r="M76" s="87"/>
      <c r="N76" s="90"/>
      <c r="O76" s="90"/>
      <c r="P76" s="90"/>
      <c r="Q76" s="102"/>
      <c r="R76" s="61" t="n">
        <f aca="false">SUM(Décaissements63[[#This Row],[Période 0]:[Période 12]])</f>
        <v>6246.65</v>
      </c>
      <c r="S76" s="35" t="n">
        <f aca="false">+AVERAGE(Décaissements63[[#This Row],[Période 1]:[Période 12]])</f>
        <v>1041.10833333333</v>
      </c>
    </row>
    <row r="77" customFormat="false" ht="17.25" hidden="false" customHeight="true" outlineLevel="0" collapsed="false">
      <c r="B77" s="88" t="s">
        <v>109</v>
      </c>
      <c r="C77" s="89"/>
      <c r="D77" s="87"/>
      <c r="E77" s="63" t="n">
        <f aca="false">2104.85+1720.53</f>
        <v>3825.38</v>
      </c>
      <c r="F77" s="63" t="n">
        <f aca="false">1966.62+1748.92</f>
        <v>3715.54</v>
      </c>
      <c r="G77" s="63" t="n">
        <f aca="false">1875.91+2345.35+51.73</f>
        <v>4272.99</v>
      </c>
      <c r="H77" s="63" t="n">
        <f aca="false">3143.33+2219.29</f>
        <v>5362.62</v>
      </c>
      <c r="I77" s="87" t="n">
        <f aca="false">2377.72+2029.45</f>
        <v>4407.17</v>
      </c>
      <c r="J77" s="87" t="n">
        <f aca="false">1944.5+2344.68</f>
        <v>4289.18</v>
      </c>
      <c r="K77" s="87"/>
      <c r="L77" s="87"/>
      <c r="M77" s="87"/>
      <c r="N77" s="90"/>
      <c r="O77" s="90"/>
      <c r="P77" s="90"/>
      <c r="Q77" s="102"/>
      <c r="R77" s="61" t="n">
        <f aca="false">SUM(Décaissements63[[#This Row],[Période 0]:[Période 12]])</f>
        <v>25872.88</v>
      </c>
      <c r="S77" s="35" t="n">
        <f aca="false">+AVERAGE(Décaissements63[[#This Row],[Période 1]:[Période 12]])</f>
        <v>4312.14666666667</v>
      </c>
    </row>
    <row r="78" customFormat="false" ht="17.25" hidden="false" customHeight="true" outlineLevel="0" collapsed="false">
      <c r="B78" s="88" t="s">
        <v>110</v>
      </c>
      <c r="C78" s="89"/>
      <c r="D78" s="87"/>
      <c r="E78" s="63"/>
      <c r="F78" s="63"/>
      <c r="G78" s="63" t="n">
        <f aca="false">505.92+3328.92+306.24+427.99+3103.15</f>
        <v>7672.22</v>
      </c>
      <c r="H78" s="87"/>
      <c r="I78" s="87" t="n">
        <f aca="false">2363.02+366.58</f>
        <v>2729.6</v>
      </c>
      <c r="J78" s="109" t="n">
        <f aca="false">3699.65+4679</f>
        <v>8378.65</v>
      </c>
      <c r="K78" s="87"/>
      <c r="L78" s="87"/>
      <c r="M78" s="87"/>
      <c r="N78" s="87"/>
      <c r="O78" s="87"/>
      <c r="P78" s="87"/>
      <c r="Q78" s="91"/>
      <c r="R78" s="61" t="n">
        <f aca="false">SUM(Décaissements63[[#This Row],[Période 0]:[Période 12]])</f>
        <v>18780.47</v>
      </c>
      <c r="S78" s="35" t="n">
        <f aca="false">+AVERAGE(Décaissements63[[#This Row],[Période 1]:[Période 12]])</f>
        <v>6260.15666666667</v>
      </c>
    </row>
    <row r="79" customFormat="false" ht="17.25" hidden="false" customHeight="true" outlineLevel="0" collapsed="false">
      <c r="B79" s="88" t="s">
        <v>111</v>
      </c>
      <c r="C79" s="89"/>
      <c r="D79" s="87"/>
      <c r="E79" s="63"/>
      <c r="F79" s="63"/>
      <c r="G79" s="56"/>
      <c r="H79" s="90"/>
      <c r="I79" s="87"/>
      <c r="J79" s="90"/>
      <c r="K79" s="90"/>
      <c r="L79" s="90"/>
      <c r="M79" s="90"/>
      <c r="N79" s="90"/>
      <c r="O79" s="90"/>
      <c r="P79" s="90"/>
      <c r="Q79" s="102"/>
      <c r="R79" s="61" t="n">
        <f aca="false">SUM(Décaissements63[[#This Row],[Période 0]:[Période 12]])</f>
        <v>0</v>
      </c>
      <c r="S79" s="35" t="e">
        <f aca="false">+AVERAGE(Décaissements63[[#This Row],[Période 1]:[Période 12]])</f>
        <v>#DIV/0!</v>
      </c>
    </row>
    <row r="80" customFormat="false" ht="17.25" hidden="false" customHeight="true" outlineLevel="0" collapsed="false">
      <c r="B80" s="77" t="s">
        <v>112</v>
      </c>
      <c r="C80" s="104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6"/>
      <c r="R80" s="107" t="n">
        <f aca="false">SUM(Décaissements63[[#This Row],[Période 0]:[Période 12]])</f>
        <v>0</v>
      </c>
    </row>
    <row r="81" customFormat="false" ht="17.25" hidden="false" customHeight="true" outlineLevel="0" collapsed="false">
      <c r="B81" s="88" t="s">
        <v>113</v>
      </c>
      <c r="C81" s="89"/>
      <c r="D81" s="87"/>
      <c r="E81" s="63" t="n">
        <v>53.88</v>
      </c>
      <c r="F81" s="63"/>
      <c r="G81" s="63"/>
      <c r="H81" s="87"/>
      <c r="I81" s="87"/>
      <c r="J81" s="87"/>
      <c r="K81" s="87"/>
      <c r="L81" s="87"/>
      <c r="M81" s="87"/>
      <c r="N81" s="87"/>
      <c r="O81" s="87"/>
      <c r="P81" s="87"/>
      <c r="Q81" s="91"/>
      <c r="R81" s="61" t="n">
        <f aca="false">SUM(Décaissements63[[#This Row],[Période 0]:[Période 12]])</f>
        <v>53.88</v>
      </c>
      <c r="S81" s="35" t="n">
        <f aca="false">+AVERAGE(Décaissements63[[#This Row],[Période 1]:[Période 12]])</f>
        <v>53.88</v>
      </c>
    </row>
    <row r="82" customFormat="false" ht="17.25" hidden="false" customHeight="true" outlineLevel="0" collapsed="false">
      <c r="B82" s="88" t="s">
        <v>114</v>
      </c>
      <c r="C82" s="89"/>
      <c r="D82" s="87"/>
      <c r="E82" s="63"/>
      <c r="F82" s="63"/>
      <c r="G82" s="63"/>
      <c r="H82" s="87"/>
      <c r="I82" s="87"/>
      <c r="J82" s="90"/>
      <c r="K82" s="87"/>
      <c r="L82" s="90"/>
      <c r="M82" s="90"/>
      <c r="N82" s="90"/>
      <c r="O82" s="90"/>
      <c r="P82" s="90"/>
      <c r="Q82" s="91"/>
      <c r="R82" s="61" t="n">
        <f aca="false">SUM(Décaissements63[[#This Row],[Période 0]:[Période 12]])</f>
        <v>0</v>
      </c>
      <c r="S82" s="35" t="e">
        <f aca="false">+AVERAGE(Décaissements63[[#This Row],[Période 1]:[Période 12]])</f>
        <v>#DIV/0!</v>
      </c>
    </row>
    <row r="83" customFormat="false" ht="17.25" hidden="false" customHeight="true" outlineLevel="0" collapsed="false">
      <c r="B83" s="88" t="s">
        <v>115</v>
      </c>
      <c r="C83" s="89"/>
      <c r="D83" s="87"/>
      <c r="E83" s="63" t="n">
        <v>100</v>
      </c>
      <c r="F83" s="63"/>
      <c r="G83" s="63" t="n">
        <f aca="false">480+99</f>
        <v>579</v>
      </c>
      <c r="H83" s="87"/>
      <c r="I83" s="87" t="n">
        <v>348</v>
      </c>
      <c r="J83" s="87"/>
      <c r="K83" s="87"/>
      <c r="L83" s="87"/>
      <c r="M83" s="87"/>
      <c r="N83" s="87"/>
      <c r="O83" s="87"/>
      <c r="P83" s="87"/>
      <c r="Q83" s="91"/>
      <c r="R83" s="61" t="n">
        <f aca="false">SUM(Décaissements63[[#This Row],[Période 0]:[Période 12]])</f>
        <v>1027</v>
      </c>
      <c r="S83" s="35" t="n">
        <f aca="false">+AVERAGE(Décaissements63[[#This Row],[Période 1]:[Période 12]])</f>
        <v>342.333333333333</v>
      </c>
    </row>
    <row r="84" customFormat="false" ht="17.25" hidden="false" customHeight="true" outlineLevel="0" collapsed="false">
      <c r="B84" s="88" t="s">
        <v>116</v>
      </c>
      <c r="C84" s="89"/>
      <c r="D84" s="87"/>
      <c r="E84" s="63" t="n">
        <v>19.99</v>
      </c>
      <c r="F84" s="63"/>
      <c r="G84" s="56"/>
      <c r="H84" s="87"/>
      <c r="I84" s="87"/>
      <c r="J84" s="87"/>
      <c r="K84" s="87"/>
      <c r="L84" s="87"/>
      <c r="M84" s="87"/>
      <c r="N84" s="87"/>
      <c r="O84" s="87"/>
      <c r="P84" s="87"/>
      <c r="Q84" s="91"/>
      <c r="R84" s="61" t="n">
        <f aca="false">SUM(Décaissements63[[#This Row],[Période 0]:[Période 12]])</f>
        <v>19.99</v>
      </c>
      <c r="S84" s="35" t="n">
        <f aca="false">+AVERAGE(Décaissements63[[#This Row],[Période 1]:[Période 12]])</f>
        <v>19.99</v>
      </c>
    </row>
    <row r="85" customFormat="false" ht="17.25" hidden="false" customHeight="true" outlineLevel="0" collapsed="false">
      <c r="B85" s="88" t="s">
        <v>117</v>
      </c>
      <c r="C85" s="89"/>
      <c r="D85" s="87"/>
      <c r="E85" s="87"/>
      <c r="F85" s="87"/>
      <c r="G85" s="63"/>
      <c r="H85" s="87"/>
      <c r="I85" s="87"/>
      <c r="J85" s="87"/>
      <c r="K85" s="87"/>
      <c r="L85" s="87"/>
      <c r="M85" s="87"/>
      <c r="N85" s="87"/>
      <c r="O85" s="87"/>
      <c r="P85" s="87"/>
      <c r="Q85" s="91"/>
      <c r="R85" s="61" t="n">
        <f aca="false">SUM(Décaissements63[[#This Row],[Période 0]:[Période 12]])</f>
        <v>0</v>
      </c>
      <c r="S85" s="35" t="e">
        <f aca="false">+AVERAGE(Décaissements63[[#This Row],[Période 1]:[Période 12]])</f>
        <v>#DIV/0!</v>
      </c>
    </row>
    <row r="86" customFormat="false" ht="17.25" hidden="false" customHeight="true" outlineLevel="0" collapsed="false">
      <c r="B86" s="88" t="s">
        <v>118</v>
      </c>
      <c r="C86" s="89"/>
      <c r="D86" s="87"/>
      <c r="E86" s="63"/>
      <c r="F86" s="63"/>
      <c r="G86" s="56"/>
      <c r="H86" s="87"/>
      <c r="I86" s="87"/>
      <c r="J86" s="87"/>
      <c r="K86" s="87"/>
      <c r="L86" s="87"/>
      <c r="M86" s="87"/>
      <c r="N86" s="87"/>
      <c r="O86" s="87"/>
      <c r="P86" s="87"/>
      <c r="Q86" s="91"/>
      <c r="R86" s="61" t="n">
        <f aca="false">SUM(Décaissements63[[#This Row],[Période 0]:[Période 12]])</f>
        <v>0</v>
      </c>
      <c r="S86" s="35" t="e">
        <f aca="false">+AVERAGE(Décaissements63[[#This Row],[Période 1]:[Période 12]])</f>
        <v>#DIV/0!</v>
      </c>
    </row>
    <row r="87" customFormat="false" ht="17.25" hidden="false" customHeight="true" outlineLevel="0" collapsed="false">
      <c r="B87" s="88" t="s">
        <v>119</v>
      </c>
      <c r="C87" s="89"/>
      <c r="D87" s="87"/>
      <c r="E87" s="87"/>
      <c r="F87" s="87"/>
      <c r="G87" s="63" t="n">
        <v>588</v>
      </c>
      <c r="H87" s="87" t="n">
        <v>498</v>
      </c>
      <c r="I87" s="87" t="n">
        <v>570</v>
      </c>
      <c r="J87" s="87"/>
      <c r="K87" s="87"/>
      <c r="L87" s="87"/>
      <c r="M87" s="87"/>
      <c r="N87" s="87"/>
      <c r="O87" s="87"/>
      <c r="P87" s="87"/>
      <c r="Q87" s="91"/>
      <c r="R87" s="61" t="n">
        <f aca="false">SUM(Décaissements63[[#This Row],[Période 0]:[Période 12]])</f>
        <v>1656</v>
      </c>
      <c r="S87" s="35" t="n">
        <f aca="false">+AVERAGE(Décaissements63[[#This Row],[Période 1]:[Période 12]])</f>
        <v>552</v>
      </c>
    </row>
    <row r="88" customFormat="false" ht="17.25" hidden="false" customHeight="true" outlineLevel="0" collapsed="false">
      <c r="B88" s="88" t="s">
        <v>120</v>
      </c>
      <c r="C88" s="89"/>
      <c r="D88" s="87"/>
      <c r="E88" s="63" t="n">
        <v>17.99</v>
      </c>
      <c r="F88" s="63"/>
      <c r="G88" s="63" t="n">
        <f aca="false">17.99+17.99</f>
        <v>35.98</v>
      </c>
      <c r="H88" s="87" t="n">
        <v>17.99</v>
      </c>
      <c r="I88" s="87" t="n">
        <v>17.99</v>
      </c>
      <c r="J88" s="87" t="n">
        <v>17.99</v>
      </c>
      <c r="K88" s="87"/>
      <c r="L88" s="87"/>
      <c r="M88" s="87"/>
      <c r="N88" s="87"/>
      <c r="O88" s="87"/>
      <c r="P88" s="87"/>
      <c r="Q88" s="91"/>
      <c r="R88" s="61" t="n">
        <f aca="false">SUM(Décaissements63[[#This Row],[Période 0]:[Période 12]])</f>
        <v>107.94</v>
      </c>
      <c r="S88" s="35" t="n">
        <f aca="false">+AVERAGE(Décaissements63[[#This Row],[Période 1]:[Période 12]])</f>
        <v>21.588</v>
      </c>
    </row>
    <row r="89" customFormat="false" ht="17.25" hidden="false" customHeight="true" outlineLevel="0" collapsed="false">
      <c r="B89" s="88" t="s">
        <v>94</v>
      </c>
      <c r="C89" s="89"/>
      <c r="D89" s="87"/>
      <c r="E89" s="63" t="n">
        <v>28</v>
      </c>
      <c r="F89" s="63"/>
      <c r="G89" s="63"/>
      <c r="H89" s="87"/>
      <c r="I89" s="87"/>
      <c r="J89" s="87"/>
      <c r="K89" s="87"/>
      <c r="L89" s="87"/>
      <c r="M89" s="87"/>
      <c r="N89" s="87"/>
      <c r="O89" s="87"/>
      <c r="P89" s="87"/>
      <c r="Q89" s="91"/>
      <c r="R89" s="61" t="n">
        <f aca="false">SUM(Décaissements63[[#This Row],[Période 0]:[Période 12]])</f>
        <v>28</v>
      </c>
      <c r="S89" s="35" t="n">
        <f aca="false">+AVERAGE(Décaissements63[[#This Row],[Période 1]:[Période 12]])</f>
        <v>28</v>
      </c>
    </row>
    <row r="90" customFormat="false" ht="17.25" hidden="false" customHeight="true" outlineLevel="0" collapsed="false">
      <c r="B90" s="88" t="s">
        <v>121</v>
      </c>
      <c r="C90" s="89"/>
      <c r="D90" s="87"/>
      <c r="E90" s="87" t="n">
        <f aca="false">5*0.18+1.98</f>
        <v>2.88</v>
      </c>
      <c r="F90" s="87" t="n">
        <f aca="false">2.7+0.9</f>
        <v>3.6</v>
      </c>
      <c r="G90" s="63" t="n">
        <f aca="false">(13*0.18)+1.08</f>
        <v>3.42</v>
      </c>
      <c r="H90" s="87" t="n">
        <f aca="false">16*0.18</f>
        <v>2.88</v>
      </c>
      <c r="I90" s="87" t="n">
        <f aca="false">0.18+0.54</f>
        <v>0.72</v>
      </c>
      <c r="J90" s="87" t="n">
        <f aca="false">3.24+18.6+1.8</f>
        <v>23.64</v>
      </c>
      <c r="K90" s="87"/>
      <c r="L90" s="87"/>
      <c r="M90" s="87"/>
      <c r="N90" s="87"/>
      <c r="O90" s="87"/>
      <c r="P90" s="87"/>
      <c r="Q90" s="91"/>
      <c r="R90" s="61" t="n">
        <f aca="false">SUM(Décaissements63[[#This Row],[Période 0]:[Période 12]])</f>
        <v>37.14</v>
      </c>
      <c r="S90" s="35" t="n">
        <f aca="false">+AVERAGE(Décaissements63[[#This Row],[Période 1]:[Période 12]])</f>
        <v>6.19</v>
      </c>
    </row>
    <row r="91" customFormat="false" ht="17.25" hidden="false" customHeight="true" outlineLevel="0" collapsed="false">
      <c r="B91" s="88" t="s">
        <v>122</v>
      </c>
      <c r="C91" s="89"/>
      <c r="D91" s="87"/>
      <c r="E91" s="63"/>
      <c r="F91" s="63"/>
      <c r="G91" s="63"/>
      <c r="H91" s="87"/>
      <c r="I91" s="90"/>
      <c r="J91" s="110"/>
      <c r="K91" s="87"/>
      <c r="L91" s="87"/>
      <c r="M91" s="87"/>
      <c r="N91" s="87"/>
      <c r="O91" s="87"/>
      <c r="P91" s="87"/>
      <c r="Q91" s="91"/>
      <c r="R91" s="61" t="n">
        <f aca="false">SUM(Décaissements63[[#This Row],[Période 0]:[Période 12]])</f>
        <v>0</v>
      </c>
      <c r="S91" s="35" t="e">
        <f aca="false">+AVERAGE(Décaissements63[[#This Row],[Période 1]:[Période 12]])</f>
        <v>#DIV/0!</v>
      </c>
    </row>
    <row r="92" customFormat="false" ht="16.5" hidden="false" customHeight="true" outlineLevel="0" collapsed="false">
      <c r="B92" s="88" t="s">
        <v>123</v>
      </c>
      <c r="C92" s="89"/>
      <c r="D92" s="87"/>
      <c r="E92" s="63"/>
      <c r="F92" s="63"/>
      <c r="G92" s="63"/>
      <c r="H92" s="87"/>
      <c r="I92" s="87"/>
      <c r="J92" s="87"/>
      <c r="K92" s="87"/>
      <c r="L92" s="87"/>
      <c r="M92" s="87"/>
      <c r="N92" s="87"/>
      <c r="O92" s="87"/>
      <c r="P92" s="87"/>
      <c r="Q92" s="91"/>
      <c r="R92" s="61" t="n">
        <f aca="false">SUM(Décaissements63[[#This Row],[Période 0]:[Période 12]])</f>
        <v>0</v>
      </c>
      <c r="S92" s="35" t="e">
        <f aca="false">+AVERAGE(Décaissements63[[#This Row],[Période 1]:[Période 12]])</f>
        <v>#DIV/0!</v>
      </c>
    </row>
    <row r="93" customFormat="false" ht="17.25" hidden="false" customHeight="true" outlineLevel="0" collapsed="false">
      <c r="B93" s="77" t="s">
        <v>124</v>
      </c>
      <c r="C93" s="104"/>
      <c r="D93" s="105"/>
      <c r="E93" s="105"/>
      <c r="F93" s="105"/>
      <c r="G93" s="105"/>
      <c r="H93" s="105"/>
      <c r="I93" s="105"/>
      <c r="J93" s="111"/>
      <c r="K93" s="105"/>
      <c r="L93" s="105"/>
      <c r="M93" s="105"/>
      <c r="N93" s="105"/>
      <c r="O93" s="105"/>
      <c r="P93" s="105"/>
      <c r="Q93" s="106"/>
      <c r="R93" s="107" t="n">
        <f aca="false">SUM(Décaissements63[[#This Row],[Période 0]:[Période 12]])</f>
        <v>0</v>
      </c>
    </row>
    <row r="94" customFormat="false" ht="17.25" hidden="false" customHeight="true" outlineLevel="0" collapsed="false">
      <c r="B94" s="62" t="s">
        <v>125</v>
      </c>
      <c r="C94" s="89"/>
      <c r="D94" s="87"/>
      <c r="E94" s="63" t="n">
        <v>4000</v>
      </c>
      <c r="F94" s="63"/>
      <c r="G94" s="56"/>
      <c r="H94" s="90"/>
      <c r="I94" s="90"/>
      <c r="J94" s="109"/>
      <c r="K94" s="90"/>
      <c r="L94" s="90"/>
      <c r="M94" s="90"/>
      <c r="N94" s="90"/>
      <c r="O94" s="90"/>
      <c r="P94" s="90"/>
      <c r="Q94" s="89"/>
      <c r="R94" s="61" t="n">
        <f aca="false">SUM(Décaissements63[[#This Row],[Période 0]:[Période 12]])</f>
        <v>4000</v>
      </c>
      <c r="S94" s="35" t="n">
        <f aca="false">+AVERAGE(Décaissements63[[#This Row],[Période 1]:[Période 12]])</f>
        <v>4000</v>
      </c>
    </row>
    <row r="95" customFormat="false" ht="17.25" hidden="false" customHeight="true" outlineLevel="0" collapsed="false">
      <c r="B95" s="62" t="s">
        <v>126</v>
      </c>
      <c r="C95" s="89"/>
      <c r="D95" s="87"/>
      <c r="E95" s="63"/>
      <c r="F95" s="63"/>
      <c r="G95" s="56"/>
      <c r="H95" s="90"/>
      <c r="I95" s="90"/>
      <c r="J95" s="109"/>
      <c r="K95" s="90"/>
      <c r="L95" s="90"/>
      <c r="M95" s="90"/>
      <c r="N95" s="90"/>
      <c r="O95" s="90"/>
      <c r="P95" s="90"/>
      <c r="Q95" s="102"/>
      <c r="R95" s="61"/>
      <c r="S95" s="35" t="e">
        <f aca="false">+AVERAGE(Décaissements63[[#This Row],[Période 1]:[Période 12]])</f>
        <v>#DIV/0!</v>
      </c>
    </row>
    <row r="96" customFormat="false" ht="17.25" hidden="false" customHeight="true" outlineLevel="0" collapsed="false">
      <c r="B96" s="62" t="s">
        <v>127</v>
      </c>
      <c r="C96" s="89"/>
      <c r="D96" s="87"/>
      <c r="E96" s="63" t="n">
        <v>8200</v>
      </c>
      <c r="F96" s="63" t="n">
        <v>1440</v>
      </c>
      <c r="G96" s="63" t="n">
        <v>511.2</v>
      </c>
      <c r="H96" s="87" t="n">
        <v>4680</v>
      </c>
      <c r="I96" s="87"/>
      <c r="J96" s="109"/>
      <c r="K96" s="87"/>
      <c r="L96" s="87"/>
      <c r="M96" s="90"/>
      <c r="N96" s="90"/>
      <c r="O96" s="90"/>
      <c r="P96" s="90"/>
      <c r="Q96" s="102"/>
      <c r="R96" s="61"/>
      <c r="S96" s="35" t="n">
        <f aca="false">+AVERAGE(Décaissements63[[#This Row],[Période 1]:[Période 12]])</f>
        <v>3707.8</v>
      </c>
    </row>
    <row r="97" customFormat="false" ht="17.25" hidden="false" customHeight="true" outlineLevel="0" collapsed="false">
      <c r="B97" s="62" t="s">
        <v>128</v>
      </c>
      <c r="C97" s="89"/>
      <c r="D97" s="87"/>
      <c r="E97" s="63" t="n">
        <v>2000</v>
      </c>
      <c r="F97" s="63" t="n">
        <v>9000</v>
      </c>
      <c r="G97" s="63"/>
      <c r="H97" s="87" t="n">
        <f aca="false">9000+4000</f>
        <v>13000</v>
      </c>
      <c r="I97" s="90"/>
      <c r="J97" s="90" t="n">
        <v>4000</v>
      </c>
      <c r="K97" s="90"/>
      <c r="L97" s="87"/>
      <c r="M97" s="87"/>
      <c r="N97" s="90"/>
      <c r="O97" s="90"/>
      <c r="P97" s="90"/>
      <c r="Q97" s="91"/>
      <c r="R97" s="61" t="n">
        <f aca="false">SUM(Décaissements63[[#This Row],[Période 0]:[Période 12]])</f>
        <v>28000</v>
      </c>
      <c r="S97" s="35" t="n">
        <f aca="false">+AVERAGE(Décaissements63[[#This Row],[Période 1]:[Période 12]])</f>
        <v>7000</v>
      </c>
    </row>
    <row r="98" customFormat="false" ht="17.25" hidden="false" customHeight="true" outlineLevel="0" collapsed="false">
      <c r="B98" s="62" t="s">
        <v>129</v>
      </c>
      <c r="C98" s="89"/>
      <c r="D98" s="87"/>
      <c r="E98" s="63"/>
      <c r="F98" s="63"/>
      <c r="G98" s="56"/>
      <c r="H98" s="90"/>
      <c r="I98" s="90"/>
      <c r="J98" s="109"/>
      <c r="K98" s="90"/>
      <c r="L98" s="90"/>
      <c r="M98" s="87"/>
      <c r="N98" s="90"/>
      <c r="O98" s="90"/>
      <c r="P98" s="90"/>
      <c r="Q98" s="102"/>
      <c r="R98" s="61"/>
      <c r="S98" s="35" t="e">
        <f aca="false">+AVERAGE(Décaissements63[[#This Row],[Période 1]:[Période 12]])</f>
        <v>#DIV/0!</v>
      </c>
    </row>
    <row r="99" customFormat="false" ht="17.25" hidden="false" customHeight="true" outlineLevel="0" collapsed="false">
      <c r="B99" s="62" t="s">
        <v>130</v>
      </c>
      <c r="C99" s="89"/>
      <c r="D99" s="87"/>
      <c r="E99" s="63" t="n">
        <v>10000</v>
      </c>
      <c r="F99" s="63"/>
      <c r="G99" s="63"/>
      <c r="H99" s="87" t="n">
        <f aca="false">7657+12965</f>
        <v>20622</v>
      </c>
      <c r="I99" s="90"/>
      <c r="J99" s="90" t="n">
        <v>16160</v>
      </c>
      <c r="K99" s="90"/>
      <c r="L99" s="90"/>
      <c r="M99" s="90"/>
      <c r="N99" s="90"/>
      <c r="O99" s="90"/>
      <c r="P99" s="90"/>
      <c r="Q99" s="91"/>
      <c r="R99" s="61" t="n">
        <f aca="false">SUM(Décaissements63[[#This Row],[Période 0]:[Période 12]])</f>
        <v>46782</v>
      </c>
      <c r="S99" s="35" t="n">
        <f aca="false">+AVERAGE(Décaissements63[[#This Row],[Période 1]:[Période 12]])</f>
        <v>15594</v>
      </c>
    </row>
    <row r="100" customFormat="false" ht="17.25" hidden="false" customHeight="true" outlineLevel="0" collapsed="false">
      <c r="B100" s="62" t="s">
        <v>131</v>
      </c>
      <c r="C100" s="89"/>
      <c r="D100" s="87"/>
      <c r="E100" s="63"/>
      <c r="F100" s="63"/>
      <c r="G100" s="63"/>
      <c r="H100" s="87"/>
      <c r="I100" s="90"/>
      <c r="J100" s="90" t="n">
        <v>5000</v>
      </c>
      <c r="K100" s="90"/>
      <c r="L100" s="90"/>
      <c r="M100" s="87"/>
      <c r="N100" s="90"/>
      <c r="O100" s="90"/>
      <c r="P100" s="90"/>
      <c r="Q100" s="91"/>
      <c r="R100" s="61" t="n">
        <f aca="false">SUM(Décaissements63[[#This Row],[Période 0]:[Période 12]])</f>
        <v>5000</v>
      </c>
      <c r="S100" s="35" t="n">
        <f aca="false">+AVERAGE(Décaissements63[[#This Row],[Période 1]:[Période 12]])</f>
        <v>5000</v>
      </c>
    </row>
    <row r="101" customFormat="false" ht="17.25" hidden="false" customHeight="true" outlineLevel="0" collapsed="false">
      <c r="B101" s="62" t="s">
        <v>132</v>
      </c>
      <c r="C101" s="89"/>
      <c r="D101" s="87"/>
      <c r="E101" s="63"/>
      <c r="F101" s="63"/>
      <c r="G101" s="63" t="n">
        <v>1900</v>
      </c>
      <c r="H101" s="87"/>
      <c r="I101" s="90"/>
      <c r="J101" s="90"/>
      <c r="K101" s="90"/>
      <c r="L101" s="90"/>
      <c r="M101" s="87"/>
      <c r="N101" s="90"/>
      <c r="O101" s="90"/>
      <c r="P101" s="90"/>
      <c r="Q101" s="91"/>
      <c r="R101" s="61" t="n">
        <f aca="false">SUM(Décaissements63[[#This Row],[Période 0]:[Période 12]])</f>
        <v>1900</v>
      </c>
      <c r="S101" s="35" t="n">
        <f aca="false">+AVERAGE(Décaissements63[[#This Row],[Période 1]:[Période 12]])</f>
        <v>1900</v>
      </c>
    </row>
    <row r="102" customFormat="false" ht="17.25" hidden="false" customHeight="true" outlineLevel="0" collapsed="false">
      <c r="B102" s="62" t="s">
        <v>133</v>
      </c>
      <c r="C102" s="89"/>
      <c r="D102" s="87"/>
      <c r="E102" s="63"/>
      <c r="F102" s="63"/>
      <c r="G102" s="63"/>
      <c r="H102" s="87" t="n">
        <v>3600</v>
      </c>
      <c r="I102" s="90"/>
      <c r="J102" s="90"/>
      <c r="K102" s="87"/>
      <c r="L102" s="90"/>
      <c r="M102" s="87"/>
      <c r="N102" s="90"/>
      <c r="O102" s="90"/>
      <c r="P102" s="90"/>
      <c r="Q102" s="91"/>
      <c r="R102" s="61" t="n">
        <f aca="false">SUM(Décaissements63[[#This Row],[Période 0]:[Période 12]])</f>
        <v>3600</v>
      </c>
      <c r="S102" s="35" t="n">
        <f aca="false">+AVERAGE(Décaissements63[[#This Row],[Période 1]:[Période 12]])</f>
        <v>3600</v>
      </c>
    </row>
    <row r="103" customFormat="false" ht="17.25" hidden="false" customHeight="true" outlineLevel="0" collapsed="false">
      <c r="B103" s="62" t="s">
        <v>134</v>
      </c>
      <c r="C103" s="89"/>
      <c r="D103" s="87"/>
      <c r="E103" s="63"/>
      <c r="F103" s="63"/>
      <c r="G103" s="63"/>
      <c r="H103" s="63"/>
      <c r="I103" s="90"/>
      <c r="J103" s="87" t="n">
        <v>5060</v>
      </c>
      <c r="K103" s="90"/>
      <c r="L103" s="87"/>
      <c r="M103" s="87"/>
      <c r="N103" s="90"/>
      <c r="O103" s="90"/>
      <c r="P103" s="90"/>
      <c r="Q103" s="91"/>
      <c r="R103" s="61" t="n">
        <f aca="false">SUM(Décaissements63[[#This Row],[Période 0]:[Période 12]])</f>
        <v>5060</v>
      </c>
      <c r="S103" s="35" t="n">
        <f aca="false">+AVERAGE(Décaissements63[[#This Row],[Période 1]:[Période 12]])</f>
        <v>5060</v>
      </c>
    </row>
    <row r="104" customFormat="false" ht="17.25" hidden="false" customHeight="true" outlineLevel="0" collapsed="false">
      <c r="B104" s="62" t="s">
        <v>135</v>
      </c>
      <c r="C104" s="89"/>
      <c r="D104" s="87"/>
      <c r="E104" s="63"/>
      <c r="F104" s="63"/>
      <c r="G104" s="56"/>
      <c r="H104" s="87"/>
      <c r="I104" s="87"/>
      <c r="J104" s="87"/>
      <c r="K104" s="90"/>
      <c r="L104" s="90"/>
      <c r="M104" s="90"/>
      <c r="N104" s="90"/>
      <c r="O104" s="90"/>
      <c r="P104" s="90"/>
      <c r="Q104" s="91"/>
      <c r="R104" s="61" t="n">
        <f aca="false">SUM(Décaissements63[[#This Row],[Période 0]:[Période 12]])</f>
        <v>0</v>
      </c>
      <c r="S104" s="35" t="e">
        <f aca="false">+AVERAGE(Décaissements63[[#This Row],[Période 1]:[Période 12]])</f>
        <v>#DIV/0!</v>
      </c>
    </row>
    <row r="105" customFormat="false" ht="17.25" hidden="false" customHeight="true" outlineLevel="0" collapsed="false">
      <c r="B105" s="62" t="s">
        <v>136</v>
      </c>
      <c r="C105" s="89"/>
      <c r="D105" s="87"/>
      <c r="E105" s="63"/>
      <c r="F105" s="63"/>
      <c r="G105" s="56"/>
      <c r="H105" s="87"/>
      <c r="I105" s="87"/>
      <c r="J105" s="109" t="n">
        <v>10750</v>
      </c>
      <c r="K105" s="90"/>
      <c r="L105" s="90"/>
      <c r="M105" s="90"/>
      <c r="N105" s="90"/>
      <c r="O105" s="90"/>
      <c r="P105" s="90"/>
      <c r="Q105" s="91"/>
      <c r="R105" s="61" t="n">
        <f aca="false">SUM(Décaissements63[[#This Row],[Période 0]:[Période 12]])</f>
        <v>10750</v>
      </c>
      <c r="S105" s="35" t="n">
        <f aca="false">+AVERAGE(Décaissements63[[#This Row],[Période 1]:[Période 12]])</f>
        <v>10750</v>
      </c>
    </row>
    <row r="106" customFormat="false" ht="17.25" hidden="false" customHeight="true" outlineLevel="0" collapsed="false">
      <c r="B106" s="62" t="s">
        <v>137</v>
      </c>
      <c r="C106" s="89"/>
      <c r="D106" s="87"/>
      <c r="E106" s="87"/>
      <c r="F106" s="87"/>
      <c r="G106" s="63"/>
      <c r="H106" s="87"/>
      <c r="I106" s="87"/>
      <c r="J106" s="90" t="n">
        <v>6000</v>
      </c>
      <c r="K106" s="87"/>
      <c r="L106" s="90"/>
      <c r="M106" s="90"/>
      <c r="N106" s="90"/>
      <c r="O106" s="90"/>
      <c r="P106" s="90"/>
      <c r="Q106" s="91"/>
      <c r="R106" s="61" t="n">
        <f aca="false">SUM(Décaissements63[[#This Row],[Période 0]:[Période 12]])</f>
        <v>6000</v>
      </c>
      <c r="S106" s="35" t="n">
        <f aca="false">+AVERAGE(Décaissements63[[#This Row],[Période 1]:[Période 12]])</f>
        <v>6000</v>
      </c>
    </row>
    <row r="107" customFormat="false" ht="17.25" hidden="false" customHeight="true" outlineLevel="0" collapsed="false">
      <c r="B107" s="62" t="s">
        <v>138</v>
      </c>
      <c r="C107" s="89"/>
      <c r="D107" s="87"/>
      <c r="E107" s="63"/>
      <c r="F107" s="63"/>
      <c r="G107" s="63"/>
      <c r="H107" s="87"/>
      <c r="I107" s="90"/>
      <c r="J107" s="90"/>
      <c r="K107" s="90"/>
      <c r="L107" s="87"/>
      <c r="M107" s="90"/>
      <c r="N107" s="90"/>
      <c r="O107" s="90"/>
      <c r="P107" s="90"/>
      <c r="Q107" s="91"/>
      <c r="R107" s="61" t="n">
        <f aca="false">SUM(Décaissements63[[#This Row],[Période 0]:[Période 12]])</f>
        <v>0</v>
      </c>
      <c r="S107" s="35" t="e">
        <f aca="false">+AVERAGE(Décaissements63[[#This Row],[Période 1]:[Période 12]])</f>
        <v>#DIV/0!</v>
      </c>
    </row>
    <row r="108" customFormat="false" ht="17.25" hidden="false" customHeight="true" outlineLevel="0" collapsed="false">
      <c r="B108" s="62" t="s">
        <v>139</v>
      </c>
      <c r="C108" s="89"/>
      <c r="D108" s="87"/>
      <c r="E108" s="63"/>
      <c r="F108" s="63"/>
      <c r="G108" s="63"/>
      <c r="H108" s="87"/>
      <c r="I108" s="90"/>
      <c r="J108" s="90"/>
      <c r="K108" s="87"/>
      <c r="L108" s="87"/>
      <c r="M108" s="90"/>
      <c r="N108" s="90"/>
      <c r="O108" s="90"/>
      <c r="P108" s="90"/>
      <c r="Q108" s="91"/>
      <c r="R108" s="61" t="n">
        <f aca="false">SUM(Décaissements63[[#This Row],[Période 0]:[Période 12]])</f>
        <v>0</v>
      </c>
      <c r="S108" s="35" t="e">
        <f aca="false">+AVERAGE(Décaissements63[[#This Row],[Période 1]:[Période 12]])</f>
        <v>#DIV/0!</v>
      </c>
    </row>
    <row r="109" customFormat="false" ht="17.25" hidden="false" customHeight="true" outlineLevel="0" collapsed="false">
      <c r="B109" s="62" t="s">
        <v>140</v>
      </c>
      <c r="C109" s="89"/>
      <c r="D109" s="87"/>
      <c r="E109" s="63"/>
      <c r="F109" s="63"/>
      <c r="G109" s="56"/>
      <c r="H109" s="87"/>
      <c r="I109" s="87"/>
      <c r="J109" s="90"/>
      <c r="K109" s="90"/>
      <c r="L109" s="90"/>
      <c r="M109" s="90"/>
      <c r="N109" s="90"/>
      <c r="O109" s="90"/>
      <c r="P109" s="90"/>
      <c r="Q109" s="91"/>
      <c r="R109" s="61" t="n">
        <f aca="false">SUM(Décaissements63[[#This Row],[Période 0]:[Période 12]])</f>
        <v>0</v>
      </c>
      <c r="S109" s="35" t="e">
        <f aca="false">+AVERAGE(Décaissements63[[#This Row],[Période 1]:[Période 12]])</f>
        <v>#DIV/0!</v>
      </c>
    </row>
    <row r="110" customFormat="false" ht="17.25" hidden="false" customHeight="true" outlineLevel="0" collapsed="false">
      <c r="B110" s="62" t="s">
        <v>141</v>
      </c>
      <c r="C110" s="89"/>
      <c r="D110" s="87"/>
      <c r="E110" s="63"/>
      <c r="F110" s="63" t="n">
        <v>5000</v>
      </c>
      <c r="G110" s="56"/>
      <c r="H110" s="87" t="n">
        <v>6000</v>
      </c>
      <c r="I110" s="87"/>
      <c r="J110" s="90" t="n">
        <v>20000</v>
      </c>
      <c r="K110" s="90"/>
      <c r="L110" s="90"/>
      <c r="M110" s="90"/>
      <c r="N110" s="90"/>
      <c r="O110" s="90"/>
      <c r="P110" s="90"/>
      <c r="Q110" s="91"/>
      <c r="R110" s="61" t="n">
        <f aca="false">SUM(Décaissements63[[#This Row],[Période 0]:[Période 12]])</f>
        <v>31000</v>
      </c>
      <c r="S110" s="35" t="n">
        <f aca="false">+AVERAGE(Décaissements63[[#This Row],[Période 1]:[Période 12]])</f>
        <v>10333.3333333333</v>
      </c>
    </row>
    <row r="111" customFormat="false" ht="17.25" hidden="false" customHeight="true" outlineLevel="0" collapsed="false">
      <c r="B111" s="62" t="s">
        <v>142</v>
      </c>
      <c r="C111" s="89"/>
      <c r="D111" s="87"/>
      <c r="E111" s="63"/>
      <c r="F111" s="63"/>
      <c r="G111" s="63"/>
      <c r="H111" s="87"/>
      <c r="I111" s="87"/>
      <c r="J111" s="90" t="n">
        <v>1440</v>
      </c>
      <c r="K111" s="90"/>
      <c r="L111" s="90"/>
      <c r="M111" s="90"/>
      <c r="N111" s="90"/>
      <c r="O111" s="90"/>
      <c r="P111" s="90"/>
      <c r="Q111" s="91"/>
      <c r="R111" s="61" t="n">
        <f aca="false">SUM(Décaissements63[[#This Row],[Période 0]:[Période 12]])</f>
        <v>1440</v>
      </c>
      <c r="S111" s="35" t="n">
        <f aca="false">+AVERAGE(Décaissements63[[#This Row],[Période 1]:[Période 12]])</f>
        <v>1440</v>
      </c>
    </row>
    <row r="112" customFormat="false" ht="17.25" hidden="false" customHeight="true" outlineLevel="0" collapsed="false">
      <c r="B112" s="77" t="s">
        <v>143</v>
      </c>
      <c r="C112" s="104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6"/>
      <c r="R112" s="107" t="n">
        <f aca="false">SUM(Décaissements63[[#This Row],[Période 0]:[Période 12]])</f>
        <v>0</v>
      </c>
      <c r="S112" s="35" t="e">
        <f aca="false">+AVERAGE(Décaissements63[[#This Row],[Période 1]:[Période 12]])</f>
        <v>#DIV/0!</v>
      </c>
    </row>
    <row r="113" customFormat="false" ht="17.25" hidden="false" customHeight="true" outlineLevel="0" collapsed="false">
      <c r="B113" s="62" t="s">
        <v>144</v>
      </c>
      <c r="C113" s="89"/>
      <c r="D113" s="87"/>
      <c r="E113" s="63" t="n">
        <f aca="false">22063.16+23052.68</f>
        <v>45115.84</v>
      </c>
      <c r="F113" s="63" t="n">
        <f aca="false">33205.11+20983.13</f>
        <v>54188.24</v>
      </c>
      <c r="G113" s="63" t="n">
        <f aca="false">25544.49+35016.95</f>
        <v>60561.44</v>
      </c>
      <c r="H113" s="63" t="n">
        <v>59723.68</v>
      </c>
      <c r="I113" s="87"/>
      <c r="J113" s="87" t="n">
        <f aca="false">4101.12+3513.12+25534.74+26635.04</f>
        <v>59784.02</v>
      </c>
      <c r="K113" s="90"/>
      <c r="L113" s="90"/>
      <c r="M113" s="87"/>
      <c r="N113" s="90"/>
      <c r="O113" s="90"/>
      <c r="P113" s="90"/>
      <c r="Q113" s="91"/>
      <c r="R113" s="61" t="n">
        <f aca="false">SUM(Décaissements63[[#This Row],[Période 0]:[Période 12]])</f>
        <v>279373.22</v>
      </c>
      <c r="S113" s="35" t="n">
        <f aca="false">+AVERAGE(Décaissements63[[#This Row],[Période 1]:[Période 12]])</f>
        <v>55874.644</v>
      </c>
    </row>
    <row r="114" customFormat="false" ht="17.25" hidden="false" customHeight="true" outlineLevel="0" collapsed="false">
      <c r="B114" s="77" t="s">
        <v>145</v>
      </c>
      <c r="C114" s="104"/>
      <c r="D114" s="105"/>
      <c r="E114" s="105"/>
      <c r="F114" s="105"/>
      <c r="G114" s="105"/>
      <c r="H114" s="105"/>
      <c r="I114" s="105"/>
      <c r="J114" s="111"/>
      <c r="K114" s="105"/>
      <c r="L114" s="105"/>
      <c r="M114" s="105"/>
      <c r="N114" s="105"/>
      <c r="O114" s="105"/>
      <c r="P114" s="105"/>
      <c r="Q114" s="106"/>
      <c r="R114" s="107"/>
      <c r="S114" s="35" t="e">
        <f aca="false">+AVERAGE(Décaissements63[[#This Row],[Période 1]:[Période 12]])</f>
        <v>#DIV/0!</v>
      </c>
    </row>
    <row r="115" customFormat="false" ht="17.25" hidden="false" customHeight="true" outlineLevel="0" collapsed="false">
      <c r="B115" s="88" t="s">
        <v>146</v>
      </c>
      <c r="C115" s="89"/>
      <c r="D115" s="87"/>
      <c r="E115" s="63" t="n">
        <f aca="false">5805.04+5503.5</f>
        <v>11308.54</v>
      </c>
      <c r="F115" s="63" t="n">
        <v>7717.52</v>
      </c>
      <c r="G115" s="63"/>
      <c r="H115" s="87"/>
      <c r="I115" s="90"/>
      <c r="J115" s="90"/>
      <c r="K115" s="90"/>
      <c r="L115" s="90"/>
      <c r="M115" s="90"/>
      <c r="N115" s="90"/>
      <c r="O115" s="90"/>
      <c r="P115" s="90"/>
      <c r="Q115" s="91"/>
      <c r="R115" s="61" t="n">
        <f aca="false">SUM(Décaissements63[[#This Row],[Période 0]:[Période 12]])</f>
        <v>19026.06</v>
      </c>
      <c r="S115" s="35" t="n">
        <f aca="false">+AVERAGE(Décaissements63[[#This Row],[Période 1]:[Période 12]])</f>
        <v>9513.03</v>
      </c>
    </row>
    <row r="116" customFormat="false" ht="17.25" hidden="false" customHeight="true" outlineLevel="0" collapsed="false">
      <c r="B116" s="88" t="s">
        <v>147</v>
      </c>
      <c r="C116" s="89"/>
      <c r="D116" s="87"/>
      <c r="E116" s="63" t="n">
        <f aca="false">6727.71+6594.44+6639.05</f>
        <v>19961.2</v>
      </c>
      <c r="F116" s="63"/>
      <c r="G116" s="63" t="n">
        <v>23728.57</v>
      </c>
      <c r="H116" s="87"/>
      <c r="I116" s="90" t="n">
        <v>7215.6</v>
      </c>
      <c r="J116" s="90"/>
      <c r="K116" s="90"/>
      <c r="L116" s="90"/>
      <c r="M116" s="90"/>
      <c r="N116" s="90"/>
      <c r="O116" s="90"/>
      <c r="P116" s="90"/>
      <c r="Q116" s="91"/>
      <c r="R116" s="61" t="n">
        <f aca="false">SUM(Décaissements63[[#This Row],[Période 0]:[Période 12]])</f>
        <v>50905.37</v>
      </c>
      <c r="S116" s="35" t="n">
        <f aca="false">+AVERAGE(Décaissements63[[#This Row],[Période 1]:[Période 12]])</f>
        <v>16968.4566666667</v>
      </c>
    </row>
    <row r="117" customFormat="false" ht="17.25" hidden="false" customHeight="true" outlineLevel="0" collapsed="false">
      <c r="B117" s="112" t="s">
        <v>148</v>
      </c>
      <c r="C117" s="89"/>
      <c r="D117" s="87"/>
      <c r="E117" s="63"/>
      <c r="F117" s="63"/>
      <c r="G117" s="63" t="n">
        <v>321.25</v>
      </c>
      <c r="H117" s="87"/>
      <c r="I117" s="90" t="n">
        <v>3527.01</v>
      </c>
      <c r="J117" s="90" t="n">
        <v>1500</v>
      </c>
      <c r="K117" s="90"/>
      <c r="L117" s="90"/>
      <c r="M117" s="87"/>
      <c r="N117" s="90"/>
      <c r="O117" s="90"/>
      <c r="P117" s="90"/>
      <c r="Q117" s="91"/>
      <c r="R117" s="61" t="n">
        <f aca="false">SUM(Décaissements63[[#This Row],[Période 0]:[Période 12]])</f>
        <v>5348.26</v>
      </c>
      <c r="S117" s="35" t="n">
        <f aca="false">+AVERAGE(Décaissements63[[#This Row],[Période 1]:[Période 12]])</f>
        <v>1782.75333333333</v>
      </c>
    </row>
    <row r="118" customFormat="false" ht="17.25" hidden="false" customHeight="true" outlineLevel="0" collapsed="false">
      <c r="B118" s="112" t="s">
        <v>149</v>
      </c>
      <c r="C118" s="89"/>
      <c r="D118" s="87"/>
      <c r="E118" s="63"/>
      <c r="F118" s="63" t="n">
        <v>42284.94</v>
      </c>
      <c r="G118" s="63" t="n">
        <f aca="false">28711.63+18140.15+46530.36</f>
        <v>93382.14</v>
      </c>
      <c r="H118" s="63"/>
      <c r="I118" s="90" t="n">
        <f aca="false">13761.95</f>
        <v>13761.95</v>
      </c>
      <c r="J118" s="87" t="n">
        <v>34735.76</v>
      </c>
      <c r="K118" s="87"/>
      <c r="L118" s="87"/>
      <c r="M118" s="87"/>
      <c r="N118" s="90"/>
      <c r="O118" s="90"/>
      <c r="P118" s="90"/>
      <c r="Q118" s="91"/>
      <c r="R118" s="61" t="n">
        <f aca="false">SUM(Décaissements63[[#This Row],[Période 0]:[Période 12]])</f>
        <v>184164.79</v>
      </c>
      <c r="S118" s="35" t="n">
        <f aca="false">+AVERAGE(Décaissements63[[#This Row],[Période 1]:[Période 12]])</f>
        <v>46041.1975</v>
      </c>
    </row>
    <row r="119" customFormat="false" ht="17.25" hidden="false" customHeight="true" outlineLevel="0" collapsed="false">
      <c r="B119" s="112" t="s">
        <v>150</v>
      </c>
      <c r="C119" s="89"/>
      <c r="D119" s="87"/>
      <c r="E119" s="63" t="n">
        <v>2599.13</v>
      </c>
      <c r="F119" s="63" t="n">
        <v>1299.56</v>
      </c>
      <c r="G119" s="63"/>
      <c r="H119" s="87"/>
      <c r="I119" s="90"/>
      <c r="J119" s="90"/>
      <c r="K119" s="90"/>
      <c r="L119" s="90"/>
      <c r="M119" s="87"/>
      <c r="N119" s="90"/>
      <c r="O119" s="90"/>
      <c r="P119" s="90"/>
      <c r="Q119" s="91"/>
      <c r="R119" s="61" t="n">
        <f aca="false">SUM(Décaissements63[[#This Row],[Période 0]:[Période 12]])</f>
        <v>3898.69</v>
      </c>
      <c r="S119" s="35" t="n">
        <f aca="false">+AVERAGE(Décaissements63[[#This Row],[Période 1]:[Période 12]])</f>
        <v>1949.345</v>
      </c>
    </row>
    <row r="120" customFormat="false" ht="17.25" hidden="false" customHeight="true" outlineLevel="0" collapsed="false">
      <c r="B120" s="112" t="s">
        <v>151</v>
      </c>
      <c r="C120" s="89"/>
      <c r="D120" s="87"/>
      <c r="E120" s="63"/>
      <c r="F120" s="63"/>
      <c r="G120" s="63"/>
      <c r="H120" s="63"/>
      <c r="I120" s="87"/>
      <c r="J120" s="87"/>
      <c r="K120" s="90"/>
      <c r="L120" s="90"/>
      <c r="M120" s="90"/>
      <c r="N120" s="90"/>
      <c r="O120" s="90"/>
      <c r="P120" s="90"/>
      <c r="Q120" s="91"/>
      <c r="R120" s="61" t="n">
        <f aca="false">SUM(Décaissements63[[#This Row],[Période 0]:[Période 12]])</f>
        <v>0</v>
      </c>
      <c r="S120" s="35" t="e">
        <f aca="false">+AVERAGE(Décaissements63[[#This Row],[Période 1]:[Période 12]])</f>
        <v>#DIV/0!</v>
      </c>
    </row>
    <row r="121" customFormat="false" ht="17.25" hidden="false" customHeight="true" outlineLevel="0" collapsed="false">
      <c r="B121" s="112" t="s">
        <v>152</v>
      </c>
      <c r="C121" s="89"/>
      <c r="D121" s="87"/>
      <c r="E121" s="87"/>
      <c r="F121" s="63"/>
      <c r="G121" s="63"/>
      <c r="H121" s="63"/>
      <c r="I121" s="63"/>
      <c r="J121" s="87" t="n">
        <v>1082.16</v>
      </c>
      <c r="K121" s="90"/>
      <c r="L121" s="87"/>
      <c r="M121" s="90"/>
      <c r="N121" s="90"/>
      <c r="O121" s="90"/>
      <c r="P121" s="90"/>
      <c r="Q121" s="91"/>
      <c r="R121" s="61" t="n">
        <f aca="false">SUM(Décaissements63[[#This Row],[Période 0]:[Période 12]])</f>
        <v>1082.16</v>
      </c>
      <c r="S121" s="35" t="n">
        <f aca="false">+AVERAGE(Décaissements63[[#This Row],[Période 1]:[Période 12]])</f>
        <v>1082.16</v>
      </c>
    </row>
    <row r="122" customFormat="false" ht="17.25" hidden="false" customHeight="true" outlineLevel="0" collapsed="false">
      <c r="B122" s="112" t="s">
        <v>153</v>
      </c>
      <c r="C122" s="89"/>
      <c r="D122" s="87"/>
      <c r="E122" s="63" t="n">
        <f aca="false">579.72+3173.34+3456.06+4814.58+22364.4</f>
        <v>34388.1</v>
      </c>
      <c r="F122" s="63" t="n">
        <f aca="false">3667.2+3732.36</f>
        <v>7399.56</v>
      </c>
      <c r="G122" s="63" t="n">
        <f aca="false">4928.88+40573.92+1014.6+2588.04+2690.4+3655.92+4572.24+9397.2+23709.96</f>
        <v>93131.16</v>
      </c>
      <c r="H122" s="63"/>
      <c r="I122" s="90" t="n">
        <f aca="false">806.64+818.88+906.6+1408.56+1706.52+2734.8+4089.96+7864.68+27751.68+579.73+768.36+906.6+2524.92+14185.92</f>
        <v>67053.85</v>
      </c>
      <c r="J122" s="87" t="n">
        <f aca="false">1316.88+1437.36+2299.32+4394.4+6544.32+7242.84</f>
        <v>23235.12</v>
      </c>
      <c r="K122" s="90"/>
      <c r="L122" s="87"/>
      <c r="M122" s="90"/>
      <c r="N122" s="90"/>
      <c r="O122" s="90"/>
      <c r="P122" s="90"/>
      <c r="Q122" s="89"/>
      <c r="R122" s="61"/>
      <c r="S122" s="35" t="n">
        <f aca="false">+AVERAGE(Décaissements63[[#This Row],[Période 1]:[Période 12]])</f>
        <v>45041.558</v>
      </c>
    </row>
    <row r="123" customFormat="false" ht="17.25" hidden="false" customHeight="true" outlineLevel="0" collapsed="false">
      <c r="B123" s="112" t="s">
        <v>154</v>
      </c>
      <c r="C123" s="89"/>
      <c r="D123" s="87"/>
      <c r="E123" s="63"/>
      <c r="F123" s="63"/>
      <c r="G123" s="63"/>
      <c r="H123" s="87"/>
      <c r="I123" s="63"/>
      <c r="J123" s="87"/>
      <c r="K123" s="87"/>
      <c r="L123" s="87"/>
      <c r="M123" s="90"/>
      <c r="N123" s="90"/>
      <c r="O123" s="90"/>
      <c r="P123" s="90"/>
      <c r="Q123" s="91"/>
      <c r="R123" s="61" t="n">
        <f aca="false">SUM(Décaissements63[[#This Row],[Période 0]:[Période 12]])</f>
        <v>0</v>
      </c>
      <c r="S123" s="35" t="e">
        <f aca="false">+AVERAGE(Décaissements63[[#This Row],[Période 1]:[Période 12]])</f>
        <v>#DIV/0!</v>
      </c>
    </row>
    <row r="124" customFormat="false" ht="17.25" hidden="false" customHeight="true" outlineLevel="0" collapsed="false">
      <c r="B124" s="112" t="s">
        <v>155</v>
      </c>
      <c r="C124" s="89"/>
      <c r="D124" s="87"/>
      <c r="E124" s="63"/>
      <c r="F124" s="63" t="n">
        <v>381.78</v>
      </c>
      <c r="G124" s="63" t="n">
        <v>886</v>
      </c>
      <c r="H124" s="87" t="n">
        <v>1202.5</v>
      </c>
      <c r="I124" s="63"/>
      <c r="J124" s="87" t="n">
        <f aca="false">1739.99+1739.99</f>
        <v>3479.98</v>
      </c>
      <c r="K124" s="87"/>
      <c r="L124" s="87"/>
      <c r="M124" s="90"/>
      <c r="N124" s="90"/>
      <c r="O124" s="90"/>
      <c r="P124" s="90"/>
      <c r="Q124" s="91"/>
      <c r="R124" s="61" t="n">
        <f aca="false">SUM(Décaissements63[[#This Row],[Période 0]:[Période 12]])</f>
        <v>5950.26</v>
      </c>
      <c r="S124" s="35" t="n">
        <f aca="false">+AVERAGE(Décaissements63[[#This Row],[Période 1]:[Période 12]])</f>
        <v>1487.565</v>
      </c>
    </row>
    <row r="125" customFormat="false" ht="17.25" hidden="false" customHeight="true" outlineLevel="0" collapsed="false">
      <c r="B125" s="112" t="s">
        <v>156</v>
      </c>
      <c r="C125" s="89"/>
      <c r="D125" s="87"/>
      <c r="E125" s="63"/>
      <c r="F125" s="63"/>
      <c r="G125" s="63"/>
      <c r="H125" s="63"/>
      <c r="I125" s="63"/>
      <c r="J125" s="87" t="n">
        <f aca="false">121.82+178.33+121.82</f>
        <v>421.97</v>
      </c>
      <c r="K125" s="87"/>
      <c r="L125" s="87"/>
      <c r="M125" s="90"/>
      <c r="N125" s="90"/>
      <c r="O125" s="90"/>
      <c r="P125" s="90"/>
      <c r="Q125" s="91"/>
      <c r="R125" s="61" t="n">
        <f aca="false">SUM(Décaissements63[[#This Row],[Période 0]:[Période 12]])</f>
        <v>421.97</v>
      </c>
      <c r="S125" s="35" t="n">
        <f aca="false">+AVERAGE(Décaissements63[[#This Row],[Période 1]:[Période 12]])</f>
        <v>421.97</v>
      </c>
    </row>
    <row r="126" customFormat="false" ht="17.25" hidden="false" customHeight="true" outlineLevel="0" collapsed="false">
      <c r="B126" s="112" t="s">
        <v>157</v>
      </c>
      <c r="C126" s="89"/>
      <c r="D126" s="87"/>
      <c r="E126" s="63"/>
      <c r="F126" s="63"/>
      <c r="G126" s="63" t="n">
        <v>200.88</v>
      </c>
      <c r="H126" s="87"/>
      <c r="I126" s="63"/>
      <c r="J126" s="87" t="n">
        <v>587.4</v>
      </c>
      <c r="K126" s="87"/>
      <c r="L126" s="87"/>
      <c r="M126" s="90"/>
      <c r="N126" s="90"/>
      <c r="O126" s="90"/>
      <c r="P126" s="90"/>
      <c r="Q126" s="91"/>
      <c r="R126" s="61" t="n">
        <f aca="false">SUM(Décaissements63[[#This Row],[Période 0]:[Période 12]])</f>
        <v>788.28</v>
      </c>
      <c r="S126" s="35" t="n">
        <f aca="false">+AVERAGE(Décaissements63[[#This Row],[Période 1]:[Période 12]])</f>
        <v>394.14</v>
      </c>
    </row>
    <row r="127" customFormat="false" ht="17.25" hidden="false" customHeight="true" outlineLevel="0" collapsed="false">
      <c r="B127" s="112" t="s">
        <v>158</v>
      </c>
      <c r="C127" s="89"/>
      <c r="D127" s="87"/>
      <c r="E127" s="63" t="n">
        <v>11346.32</v>
      </c>
      <c r="F127" s="63"/>
      <c r="G127" s="63" t="n">
        <f aca="false">2332.25+689.4+29558.22+1980.92+330.25+510.52+16391.28</f>
        <v>51792.84</v>
      </c>
      <c r="H127" s="63"/>
      <c r="I127" s="63" t="n">
        <f aca="false">18196.19+13719.44</f>
        <v>31915.63</v>
      </c>
      <c r="J127" s="87" t="n">
        <v>14286.57</v>
      </c>
      <c r="K127" s="87"/>
      <c r="L127" s="87"/>
      <c r="M127" s="90"/>
      <c r="N127" s="90"/>
      <c r="O127" s="90"/>
      <c r="P127" s="90"/>
      <c r="Q127" s="89"/>
      <c r="R127" s="61"/>
      <c r="S127" s="35" t="n">
        <f aca="false">+AVERAGE(Décaissements63[[#This Row],[Période 1]:[Période 12]])</f>
        <v>27335.34</v>
      </c>
    </row>
    <row r="128" customFormat="false" ht="17.25" hidden="false" customHeight="true" outlineLevel="0" collapsed="false">
      <c r="B128" s="112" t="s">
        <v>159</v>
      </c>
      <c r="C128" s="89"/>
      <c r="D128" s="87"/>
      <c r="E128" s="63" t="n">
        <f aca="false">3071.65+1017.62+75+55.21+56.17+132.69+172.08+81.49</f>
        <v>4661.91</v>
      </c>
      <c r="F128" s="63" t="n">
        <f aca="false">5829.29+457.84+99.28+28.71+711.5+1658.73+1492.81</f>
        <v>10278.16</v>
      </c>
      <c r="G128" s="63" t="n">
        <f aca="false">26.17+937.71+304.87+109.42+109.63+56.71+68.37+278.71+154.81+5829.28+2926.72</f>
        <v>10802.4</v>
      </c>
      <c r="H128" s="63"/>
      <c r="I128" s="63" t="n">
        <f aca="false">27.02+1462.29+563.88+201.19+339.45+86+520.38+742.43+1532.78+2359.56</f>
        <v>7834.98</v>
      </c>
      <c r="J128" s="87" t="n">
        <f aca="false">1250.2+160.17+237.18+569.72+276.74</f>
        <v>2494.01</v>
      </c>
      <c r="K128" s="87"/>
      <c r="L128" s="87"/>
      <c r="M128" s="90"/>
      <c r="N128" s="90"/>
      <c r="O128" s="90"/>
      <c r="P128" s="90"/>
      <c r="Q128" s="89"/>
      <c r="R128" s="61"/>
      <c r="S128" s="35" t="n">
        <f aca="false">+AVERAGE(Décaissements63[[#This Row],[Période 1]:[Période 12]])</f>
        <v>7214.292</v>
      </c>
    </row>
    <row r="129" customFormat="false" ht="17.25" hidden="false" customHeight="true" outlineLevel="0" collapsed="false">
      <c r="B129" s="112" t="s">
        <v>160</v>
      </c>
      <c r="C129" s="89"/>
      <c r="D129" s="87"/>
      <c r="E129" s="63" t="n">
        <v>134.11</v>
      </c>
      <c r="F129" s="63" t="n">
        <v>126.19</v>
      </c>
      <c r="G129" s="63"/>
      <c r="H129" s="63"/>
      <c r="I129" s="63" t="n">
        <v>426.48</v>
      </c>
      <c r="J129" s="87"/>
      <c r="K129" s="87"/>
      <c r="L129" s="87"/>
      <c r="M129" s="90"/>
      <c r="N129" s="90"/>
      <c r="O129" s="90"/>
      <c r="P129" s="90"/>
      <c r="Q129" s="91"/>
      <c r="R129" s="61" t="n">
        <f aca="false">SUM(Décaissements63[[#This Row],[Période 0]:[Période 12]])</f>
        <v>686.78</v>
      </c>
      <c r="S129" s="35" t="n">
        <f aca="false">+AVERAGE(Décaissements63[[#This Row],[Période 1]:[Période 12]])</f>
        <v>228.926666666667</v>
      </c>
    </row>
    <row r="130" customFormat="false" ht="17.25" hidden="false" customHeight="true" outlineLevel="0" collapsed="false">
      <c r="B130" s="112" t="s">
        <v>161</v>
      </c>
      <c r="C130" s="89"/>
      <c r="D130" s="87"/>
      <c r="E130" s="63" t="n">
        <v>12007.62</v>
      </c>
      <c r="F130" s="63" t="n">
        <v>5068.74</v>
      </c>
      <c r="G130" s="63"/>
      <c r="H130" s="63"/>
      <c r="I130" s="63" t="n">
        <f aca="false">9639.44+8611.7</f>
        <v>18251.14</v>
      </c>
      <c r="J130" s="87" t="n">
        <v>10711.84</v>
      </c>
      <c r="K130" s="87"/>
      <c r="L130" s="87"/>
      <c r="M130" s="90"/>
      <c r="N130" s="90"/>
      <c r="O130" s="90"/>
      <c r="P130" s="90"/>
      <c r="Q130" s="91"/>
      <c r="R130" s="61" t="n">
        <f aca="false">SUM(Décaissements63[[#This Row],[Période 0]:[Période 12]])</f>
        <v>46039.34</v>
      </c>
      <c r="S130" s="35" t="n">
        <f aca="false">+AVERAGE(Décaissements63[[#This Row],[Période 1]:[Période 12]])</f>
        <v>11509.835</v>
      </c>
    </row>
    <row r="131" customFormat="false" ht="17.25" hidden="false" customHeight="true" outlineLevel="0" collapsed="false">
      <c r="B131" s="112" t="s">
        <v>162</v>
      </c>
      <c r="C131" s="89"/>
      <c r="D131" s="87"/>
      <c r="E131" s="63"/>
      <c r="F131" s="63"/>
      <c r="G131" s="63"/>
      <c r="H131" s="63"/>
      <c r="I131" s="63"/>
      <c r="J131" s="87"/>
      <c r="K131" s="87"/>
      <c r="L131" s="87"/>
      <c r="M131" s="90"/>
      <c r="N131" s="90"/>
      <c r="O131" s="90"/>
      <c r="P131" s="90"/>
      <c r="Q131" s="91"/>
      <c r="R131" s="61" t="n">
        <f aca="false">SUM(Décaissements63[[#This Row],[Période 0]:[Période 12]])</f>
        <v>0</v>
      </c>
      <c r="S131" s="35" t="e">
        <f aca="false">+AVERAGE(Décaissements63[[#This Row],[Période 1]:[Période 12]])</f>
        <v>#DIV/0!</v>
      </c>
    </row>
    <row r="132" customFormat="false" ht="17.25" hidden="false" customHeight="true" outlineLevel="0" collapsed="false">
      <c r="B132" s="112" t="s">
        <v>163</v>
      </c>
      <c r="C132" s="89"/>
      <c r="D132" s="87"/>
      <c r="E132" s="87" t="n">
        <v>14750.59</v>
      </c>
      <c r="F132" s="87" t="n">
        <f aca="false">768.39</f>
        <v>768.39</v>
      </c>
      <c r="G132" s="63" t="n">
        <v>6016.03</v>
      </c>
      <c r="H132" s="87"/>
      <c r="I132" s="63" t="n">
        <v>6278.22</v>
      </c>
      <c r="J132" s="87"/>
      <c r="K132" s="87"/>
      <c r="L132" s="87"/>
      <c r="M132" s="90"/>
      <c r="N132" s="90"/>
      <c r="O132" s="90"/>
      <c r="P132" s="90"/>
      <c r="Q132" s="91"/>
      <c r="R132" s="61" t="n">
        <f aca="false">SUM(Décaissements63[[#This Row],[Période 0]:[Période 12]])</f>
        <v>27813.23</v>
      </c>
      <c r="S132" s="35" t="n">
        <f aca="false">+AVERAGE(Décaissements63[[#This Row],[Période 1]:[Période 12]])</f>
        <v>6953.3075</v>
      </c>
    </row>
    <row r="133" customFormat="false" ht="17.25" hidden="false" customHeight="true" outlineLevel="0" collapsed="false">
      <c r="B133" s="112" t="s">
        <v>164</v>
      </c>
      <c r="C133" s="89"/>
      <c r="D133" s="87"/>
      <c r="E133" s="87"/>
      <c r="F133" s="87"/>
      <c r="G133" s="63"/>
      <c r="H133" s="63"/>
      <c r="I133" s="63" t="n">
        <v>451.3</v>
      </c>
      <c r="J133" s="87"/>
      <c r="K133" s="87"/>
      <c r="L133" s="87"/>
      <c r="M133" s="90"/>
      <c r="N133" s="90"/>
      <c r="O133" s="90"/>
      <c r="P133" s="90"/>
      <c r="Q133" s="91"/>
      <c r="R133" s="61" t="n">
        <f aca="false">SUM(Décaissements63[[#This Row],[Période 0]:[Période 12]])</f>
        <v>451.3</v>
      </c>
      <c r="S133" s="35" t="n">
        <f aca="false">+AVERAGE(Décaissements63[[#This Row],[Période 1]:[Période 12]])</f>
        <v>451.3</v>
      </c>
    </row>
    <row r="134" customFormat="false" ht="17.25" hidden="false" customHeight="true" outlineLevel="0" collapsed="false">
      <c r="B134" s="112" t="s">
        <v>165</v>
      </c>
      <c r="C134" s="89"/>
      <c r="D134" s="87"/>
      <c r="E134" s="87"/>
      <c r="F134" s="87"/>
      <c r="G134" s="63"/>
      <c r="H134" s="87"/>
      <c r="I134" s="63"/>
      <c r="J134" s="87"/>
      <c r="K134" s="87"/>
      <c r="L134" s="87"/>
      <c r="M134" s="90"/>
      <c r="N134" s="90"/>
      <c r="O134" s="90"/>
      <c r="P134" s="90"/>
      <c r="Q134" s="91"/>
      <c r="R134" s="61" t="n">
        <f aca="false">SUM(Décaissements63[[#This Row],[Période 0]:[Période 12]])</f>
        <v>0</v>
      </c>
      <c r="S134" s="35" t="e">
        <f aca="false">+AVERAGE(Décaissements63[[#This Row],[Période 1]:[Période 12]])</f>
        <v>#DIV/0!</v>
      </c>
    </row>
    <row r="135" customFormat="false" ht="17.25" hidden="false" customHeight="true" outlineLevel="0" collapsed="false">
      <c r="B135" s="112" t="s">
        <v>166</v>
      </c>
      <c r="C135" s="89"/>
      <c r="D135" s="87"/>
      <c r="E135" s="63" t="n">
        <v>182.37</v>
      </c>
      <c r="F135" s="63"/>
      <c r="G135" s="63" t="n">
        <v>4663.56</v>
      </c>
      <c r="H135" s="87"/>
      <c r="I135" s="63" t="n">
        <f aca="false">1008.54-69+1286</f>
        <v>2225.54</v>
      </c>
      <c r="J135" s="63" t="n">
        <f aca="false">4589.64+813.23</f>
        <v>5402.87</v>
      </c>
      <c r="K135" s="87"/>
      <c r="L135" s="87"/>
      <c r="M135" s="90"/>
      <c r="N135" s="90"/>
      <c r="O135" s="90"/>
      <c r="P135" s="90"/>
      <c r="Q135" s="91"/>
      <c r="R135" s="61" t="n">
        <f aca="false">SUM(Décaissements63[[#This Row],[Période 0]:[Période 12]])</f>
        <v>12474.34</v>
      </c>
      <c r="S135" s="35" t="n">
        <f aca="false">+AVERAGE(Décaissements63[[#This Row],[Période 1]:[Période 12]])</f>
        <v>3118.585</v>
      </c>
    </row>
    <row r="136" customFormat="false" ht="17.25" hidden="false" customHeight="true" outlineLevel="0" collapsed="false">
      <c r="B136" s="112" t="s">
        <v>167</v>
      </c>
      <c r="C136" s="89"/>
      <c r="D136" s="87"/>
      <c r="E136" s="63" t="n">
        <v>1906</v>
      </c>
      <c r="F136" s="63" t="n">
        <v>4552.77</v>
      </c>
      <c r="G136" s="63" t="n">
        <f aca="false">6187.88+10623.14</f>
        <v>16811.02</v>
      </c>
      <c r="H136" s="87"/>
      <c r="I136" s="90"/>
      <c r="J136" s="90"/>
      <c r="K136" s="90"/>
      <c r="L136" s="87"/>
      <c r="M136" s="90"/>
      <c r="N136" s="90"/>
      <c r="O136" s="90"/>
      <c r="P136" s="90"/>
      <c r="Q136" s="91"/>
      <c r="R136" s="61" t="n">
        <f aca="false">SUM(Décaissements63[[#This Row],[Période 0]:[Période 12]])</f>
        <v>23269.79</v>
      </c>
      <c r="S136" s="35" t="n">
        <f aca="false">+AVERAGE(Décaissements63[[#This Row],[Période 1]:[Période 12]])</f>
        <v>7756.59666666667</v>
      </c>
    </row>
    <row r="137" customFormat="false" ht="17.25" hidden="false" customHeight="true" outlineLevel="0" collapsed="false">
      <c r="B137" s="112" t="s">
        <v>168</v>
      </c>
      <c r="C137" s="89"/>
      <c r="D137" s="87"/>
      <c r="E137" s="63" t="n">
        <v>903.18</v>
      </c>
      <c r="F137" s="63"/>
      <c r="G137" s="63"/>
      <c r="H137" s="87" t="n">
        <v>499</v>
      </c>
      <c r="I137" s="63"/>
      <c r="J137" s="63"/>
      <c r="K137" s="87"/>
      <c r="L137" s="87"/>
      <c r="M137" s="90"/>
      <c r="N137" s="90"/>
      <c r="O137" s="90"/>
      <c r="P137" s="90"/>
      <c r="Q137" s="91"/>
      <c r="R137" s="61" t="n">
        <f aca="false">SUM(Décaissements63[[#This Row],[Période 0]:[Période 12]])</f>
        <v>1402.18</v>
      </c>
      <c r="S137" s="35" t="n">
        <f aca="false">+AVERAGE(Décaissements63[[#This Row],[Période 1]:[Période 12]])</f>
        <v>701.09</v>
      </c>
    </row>
    <row r="138" customFormat="false" ht="17.25" hidden="false" customHeight="true" outlineLevel="0" collapsed="false">
      <c r="B138" s="112" t="s">
        <v>169</v>
      </c>
      <c r="C138" s="89"/>
      <c r="D138" s="87"/>
      <c r="E138" s="87"/>
      <c r="F138" s="87"/>
      <c r="G138" s="63"/>
      <c r="H138" s="63"/>
      <c r="I138" s="90"/>
      <c r="J138" s="63"/>
      <c r="K138" s="87"/>
      <c r="L138" s="87"/>
      <c r="M138" s="90"/>
      <c r="N138" s="90"/>
      <c r="O138" s="90"/>
      <c r="P138" s="90"/>
      <c r="Q138" s="91"/>
      <c r="R138" s="61" t="n">
        <f aca="false">SUM(Décaissements63[[#This Row],[Période 0]:[Période 12]])</f>
        <v>0</v>
      </c>
      <c r="S138" s="35" t="e">
        <f aca="false">+AVERAGE(Décaissements63[[#This Row],[Période 1]:[Période 12]])</f>
        <v>#DIV/0!</v>
      </c>
    </row>
    <row r="139" customFormat="false" ht="17.25" hidden="false" customHeight="true" outlineLevel="0" collapsed="false">
      <c r="B139" s="112" t="s">
        <v>170</v>
      </c>
      <c r="C139" s="89"/>
      <c r="D139" s="87"/>
      <c r="E139" s="87" t="n">
        <f aca="false">1396.15+1132.2+682.9+847.6</f>
        <v>4058.85</v>
      </c>
      <c r="F139" s="87"/>
      <c r="G139" s="63" t="n">
        <v>10333.17</v>
      </c>
      <c r="H139" s="63"/>
      <c r="I139" s="63" t="n">
        <f aca="false">8638.36+163.72</f>
        <v>8802.08</v>
      </c>
      <c r="J139" s="63" t="n">
        <f aca="false">8802.08+8805.08</f>
        <v>17607.16</v>
      </c>
      <c r="K139" s="63"/>
      <c r="L139" s="87"/>
      <c r="M139" s="90"/>
      <c r="N139" s="90"/>
      <c r="O139" s="90"/>
      <c r="P139" s="90"/>
      <c r="Q139" s="91"/>
      <c r="R139" s="61" t="n">
        <f aca="false">SUM(Décaissements63[[#This Row],[Période 0]:[Période 12]])</f>
        <v>40801.26</v>
      </c>
      <c r="S139" s="35" t="n">
        <f aca="false">+AVERAGE(Décaissements63[[#This Row],[Période 1]:[Période 12]])</f>
        <v>10200.315</v>
      </c>
    </row>
    <row r="140" customFormat="false" ht="17.25" hidden="false" customHeight="true" outlineLevel="0" collapsed="false">
      <c r="B140" s="112" t="s">
        <v>171</v>
      </c>
      <c r="C140" s="89"/>
      <c r="D140" s="87"/>
      <c r="E140" s="87" t="n">
        <v>500.98</v>
      </c>
      <c r="F140" s="87"/>
      <c r="G140" s="87"/>
      <c r="H140" s="63"/>
      <c r="I140" s="63"/>
      <c r="J140" s="63"/>
      <c r="K140" s="90"/>
      <c r="L140" s="87"/>
      <c r="M140" s="90"/>
      <c r="N140" s="90"/>
      <c r="O140" s="90"/>
      <c r="P140" s="90"/>
      <c r="Q140" s="91"/>
      <c r="R140" s="61" t="n">
        <f aca="false">SUM(Décaissements63[[#This Row],[Période 0]:[Période 12]])</f>
        <v>500.98</v>
      </c>
      <c r="S140" s="35" t="n">
        <f aca="false">+AVERAGE(Décaissements63[[#This Row],[Période 1]:[Période 12]])</f>
        <v>500.98</v>
      </c>
    </row>
    <row r="141" customFormat="false" ht="17.25" hidden="false" customHeight="true" outlineLevel="0" collapsed="false">
      <c r="B141" s="88" t="s">
        <v>172</v>
      </c>
      <c r="C141" s="89"/>
      <c r="D141" s="87"/>
      <c r="E141" s="63" t="n">
        <v>78.71</v>
      </c>
      <c r="F141" s="63"/>
      <c r="G141" s="63" t="n">
        <f aca="false">70.92+72</f>
        <v>142.92</v>
      </c>
      <c r="H141" s="87"/>
      <c r="I141" s="90"/>
      <c r="J141" s="90" t="n">
        <v>106.44</v>
      </c>
      <c r="K141" s="90"/>
      <c r="L141" s="90"/>
      <c r="M141" s="63"/>
      <c r="N141" s="90"/>
      <c r="O141" s="90"/>
      <c r="P141" s="90"/>
      <c r="Q141" s="91"/>
      <c r="R141" s="61" t="n">
        <f aca="false">SUM(Décaissements63[[#This Row],[Période 0]:[Période 12]])</f>
        <v>328.07</v>
      </c>
      <c r="S141" s="35" t="n">
        <f aca="false">+AVERAGE(Décaissements63[[#This Row],[Période 1]:[Période 12]])</f>
        <v>109.356666666667</v>
      </c>
    </row>
    <row r="142" customFormat="false" ht="17.25" hidden="false" customHeight="true" outlineLevel="0" collapsed="false">
      <c r="B142" s="112" t="s">
        <v>173</v>
      </c>
      <c r="C142" s="89"/>
      <c r="D142" s="87"/>
      <c r="E142" s="63"/>
      <c r="F142" s="63" t="n">
        <f aca="false">13.55+44.9+44.92</f>
        <v>103.37</v>
      </c>
      <c r="G142" s="63"/>
      <c r="H142" s="63" t="n">
        <f aca="false">32.8+137.5</f>
        <v>170.3</v>
      </c>
      <c r="I142" s="63"/>
      <c r="J142" s="63"/>
      <c r="K142" s="87"/>
      <c r="L142" s="87"/>
      <c r="M142" s="90"/>
      <c r="N142" s="90"/>
      <c r="O142" s="90"/>
      <c r="P142" s="90"/>
      <c r="Q142" s="91"/>
      <c r="R142" s="61" t="n">
        <f aca="false">SUM(Décaissements63[[#This Row],[Période 0]:[Période 12]])</f>
        <v>273.67</v>
      </c>
      <c r="S142" s="35" t="n">
        <f aca="false">+AVERAGE(Décaissements63[[#This Row],[Période 1]:[Période 12]])</f>
        <v>136.835</v>
      </c>
    </row>
    <row r="143" customFormat="false" ht="17.25" hidden="false" customHeight="true" outlineLevel="0" collapsed="false">
      <c r="B143" s="112" t="s">
        <v>174</v>
      </c>
      <c r="C143" s="89"/>
      <c r="D143" s="87"/>
      <c r="E143" s="63" t="n">
        <f aca="false">30.38+30.88+20.88</f>
        <v>82.14</v>
      </c>
      <c r="F143" s="63"/>
      <c r="G143" s="63" t="n">
        <v>12.31</v>
      </c>
      <c r="H143" s="87"/>
      <c r="I143" s="63"/>
      <c r="J143" s="63"/>
      <c r="K143" s="87"/>
      <c r="L143" s="87"/>
      <c r="M143" s="87"/>
      <c r="N143" s="90"/>
      <c r="O143" s="90"/>
      <c r="P143" s="90"/>
      <c r="Q143" s="91"/>
      <c r="R143" s="61" t="n">
        <f aca="false">SUM(Décaissements63[[#This Row],[Période 0]:[Période 12]])</f>
        <v>94.45</v>
      </c>
      <c r="S143" s="35" t="n">
        <f aca="false">+AVERAGE(Décaissements63[[#This Row],[Période 1]:[Période 12]])</f>
        <v>47.225</v>
      </c>
    </row>
    <row r="144" customFormat="false" ht="17.25" hidden="false" customHeight="true" outlineLevel="0" collapsed="false">
      <c r="B144" s="112" t="s">
        <v>175</v>
      </c>
      <c r="C144" s="89"/>
      <c r="D144" s="87"/>
      <c r="E144" s="63"/>
      <c r="F144" s="63"/>
      <c r="G144" s="63"/>
      <c r="H144" s="87"/>
      <c r="I144" s="63"/>
      <c r="J144" s="63"/>
      <c r="K144" s="87"/>
      <c r="L144" s="87"/>
      <c r="M144" s="90"/>
      <c r="N144" s="90"/>
      <c r="O144" s="90"/>
      <c r="P144" s="90"/>
      <c r="Q144" s="91"/>
      <c r="R144" s="61" t="n">
        <f aca="false">SUM(Décaissements63[[#This Row],[Période 0]:[Période 12]])</f>
        <v>0</v>
      </c>
      <c r="S144" s="35" t="e">
        <f aca="false">+AVERAGE(Décaissements63[[#This Row],[Période 1]:[Période 12]])</f>
        <v>#DIV/0!</v>
      </c>
    </row>
    <row r="145" customFormat="false" ht="17.25" hidden="false" customHeight="true" outlineLevel="0" collapsed="false">
      <c r="B145" s="112" t="s">
        <v>176</v>
      </c>
      <c r="C145" s="89"/>
      <c r="D145" s="87"/>
      <c r="E145" s="63"/>
      <c r="F145" s="63" t="n">
        <v>4.41</v>
      </c>
      <c r="G145" s="63"/>
      <c r="H145" s="87"/>
      <c r="I145" s="63"/>
      <c r="J145" s="63"/>
      <c r="K145" s="87"/>
      <c r="L145" s="87"/>
      <c r="M145" s="90"/>
      <c r="N145" s="90"/>
      <c r="O145" s="90"/>
      <c r="P145" s="90"/>
      <c r="Q145" s="91"/>
      <c r="R145" s="61" t="n">
        <f aca="false">SUM(Décaissements63[[#This Row],[Période 0]:[Période 12]])</f>
        <v>4.41</v>
      </c>
      <c r="S145" s="35" t="n">
        <f aca="false">+AVERAGE(Décaissements63[[#This Row],[Période 1]:[Période 12]])</f>
        <v>4.41</v>
      </c>
    </row>
    <row r="146" customFormat="false" ht="17.25" hidden="false" customHeight="true" outlineLevel="0" collapsed="false">
      <c r="B146" s="112" t="s">
        <v>177</v>
      </c>
      <c r="C146" s="89"/>
      <c r="D146" s="87"/>
      <c r="E146" s="87"/>
      <c r="F146" s="87" t="n">
        <f aca="false">25.8+131.8+54.99</f>
        <v>212.59</v>
      </c>
      <c r="G146" s="63"/>
      <c r="H146" s="87"/>
      <c r="I146" s="63"/>
      <c r="J146" s="63"/>
      <c r="K146" s="87"/>
      <c r="L146" s="87"/>
      <c r="M146" s="90"/>
      <c r="N146" s="90"/>
      <c r="O146" s="90"/>
      <c r="P146" s="90"/>
      <c r="Q146" s="91"/>
      <c r="R146" s="61" t="n">
        <f aca="false">SUM(Décaissements63[[#This Row],[Période 0]:[Période 12]])</f>
        <v>212.59</v>
      </c>
      <c r="S146" s="35" t="n">
        <f aca="false">+AVERAGE(Décaissements63[[#This Row],[Période 1]:[Période 12]])</f>
        <v>212.59</v>
      </c>
    </row>
    <row r="147" customFormat="false" ht="17.25" hidden="false" customHeight="true" outlineLevel="0" collapsed="false">
      <c r="B147" s="112" t="s">
        <v>178</v>
      </c>
      <c r="C147" s="89"/>
      <c r="D147" s="87"/>
      <c r="E147" s="63"/>
      <c r="F147" s="63"/>
      <c r="G147" s="63"/>
      <c r="H147" s="87"/>
      <c r="I147" s="90"/>
      <c r="J147" s="90"/>
      <c r="K147" s="90"/>
      <c r="L147" s="87"/>
      <c r="M147" s="90"/>
      <c r="N147" s="90"/>
      <c r="O147" s="90"/>
      <c r="P147" s="90"/>
      <c r="Q147" s="91"/>
      <c r="R147" s="61" t="n">
        <f aca="false">SUM(Décaissements63[[#This Row],[Période 0]:[Période 12]])</f>
        <v>0</v>
      </c>
      <c r="S147" s="35" t="e">
        <f aca="false">+AVERAGE(Décaissements63[[#This Row],[Période 1]:[Période 12]])</f>
        <v>#DIV/0!</v>
      </c>
    </row>
    <row r="148" customFormat="false" ht="17.25" hidden="false" customHeight="true" outlineLevel="0" collapsed="false">
      <c r="B148" s="112" t="s">
        <v>179</v>
      </c>
      <c r="C148" s="89"/>
      <c r="D148" s="87"/>
      <c r="E148" s="63"/>
      <c r="F148" s="63"/>
      <c r="G148" s="63"/>
      <c r="H148" s="87"/>
      <c r="I148" s="90"/>
      <c r="J148" s="90" t="n">
        <f aca="false">5450+459.52</f>
        <v>5909.52</v>
      </c>
      <c r="K148" s="90"/>
      <c r="L148" s="90"/>
      <c r="M148" s="90"/>
      <c r="N148" s="90"/>
      <c r="O148" s="90"/>
      <c r="P148" s="90"/>
      <c r="Q148" s="91"/>
      <c r="R148" s="61" t="n">
        <f aca="false">SUM(Décaissements63[[#This Row],[Période 0]:[Période 12]])</f>
        <v>5909.52</v>
      </c>
      <c r="S148" s="35" t="n">
        <f aca="false">+AVERAGE(Décaissements63[[#This Row],[Période 1]:[Période 12]])</f>
        <v>5909.52</v>
      </c>
    </row>
    <row r="149" customFormat="false" ht="17.25" hidden="false" customHeight="true" outlineLevel="0" collapsed="false">
      <c r="B149" s="112" t="s">
        <v>180</v>
      </c>
      <c r="C149" s="89"/>
      <c r="D149" s="87"/>
      <c r="E149" s="63"/>
      <c r="F149" s="63"/>
      <c r="G149" s="63"/>
      <c r="H149" s="90"/>
      <c r="I149" s="63"/>
      <c r="J149" s="63"/>
      <c r="K149" s="87"/>
      <c r="L149" s="90"/>
      <c r="M149" s="90"/>
      <c r="N149" s="90"/>
      <c r="O149" s="90"/>
      <c r="P149" s="90"/>
      <c r="Q149" s="91"/>
      <c r="R149" s="61" t="n">
        <f aca="false">SUM(Décaissements63[[#This Row],[Période 0]:[Période 12]])</f>
        <v>0</v>
      </c>
      <c r="S149" s="35" t="e">
        <f aca="false">+AVERAGE(Décaissements63[[#This Row],[Période 1]:[Période 12]])</f>
        <v>#DIV/0!</v>
      </c>
    </row>
    <row r="150" customFormat="false" ht="17.25" hidden="false" customHeight="true" outlineLevel="0" collapsed="false">
      <c r="B150" s="112" t="s">
        <v>181</v>
      </c>
      <c r="C150" s="89"/>
      <c r="D150" s="87"/>
      <c r="E150" s="63" t="n">
        <v>300</v>
      </c>
      <c r="F150" s="63"/>
      <c r="G150" s="63" t="n">
        <v>364.8</v>
      </c>
      <c r="H150" s="87"/>
      <c r="I150" s="90" t="n">
        <v>729.6</v>
      </c>
      <c r="J150" s="90"/>
      <c r="K150" s="90"/>
      <c r="L150" s="90"/>
      <c r="M150" s="90"/>
      <c r="N150" s="90"/>
      <c r="O150" s="90"/>
      <c r="P150" s="90"/>
      <c r="Q150" s="91"/>
      <c r="R150" s="61" t="n">
        <f aca="false">SUM(Décaissements63[[#This Row],[Période 0]:[Période 12]])</f>
        <v>1394.4</v>
      </c>
      <c r="S150" s="35" t="n">
        <f aca="false">+AVERAGE(Décaissements63[[#This Row],[Période 1]:[Période 12]])</f>
        <v>464.8</v>
      </c>
    </row>
    <row r="151" customFormat="false" ht="17.25" hidden="false" customHeight="true" outlineLevel="0" collapsed="false">
      <c r="B151" s="112" t="s">
        <v>182</v>
      </c>
      <c r="C151" s="89"/>
      <c r="D151" s="87"/>
      <c r="E151" s="63"/>
      <c r="F151" s="63"/>
      <c r="G151" s="63"/>
      <c r="H151" s="87"/>
      <c r="I151" s="63"/>
      <c r="J151" s="63"/>
      <c r="K151" s="87"/>
      <c r="L151" s="90"/>
      <c r="M151" s="90"/>
      <c r="N151" s="90"/>
      <c r="O151" s="90"/>
      <c r="P151" s="90"/>
      <c r="Q151" s="91"/>
      <c r="R151" s="61" t="n">
        <f aca="false">SUM(Décaissements63[[#This Row],[Période 0]:[Période 12]])</f>
        <v>0</v>
      </c>
      <c r="S151" s="35" t="e">
        <f aca="false">+AVERAGE(Décaissements63[[#This Row],[Période 1]:[Période 12]])</f>
        <v>#DIV/0!</v>
      </c>
    </row>
    <row r="152" customFormat="false" ht="17.25" hidden="false" customHeight="true" outlineLevel="0" collapsed="false">
      <c r="B152" s="112" t="s">
        <v>183</v>
      </c>
      <c r="C152" s="89"/>
      <c r="D152" s="87"/>
      <c r="E152" s="63"/>
      <c r="F152" s="63"/>
      <c r="G152" s="63"/>
      <c r="H152" s="87"/>
      <c r="I152" s="63"/>
      <c r="J152" s="63"/>
      <c r="K152" s="87"/>
      <c r="L152" s="90"/>
      <c r="M152" s="90"/>
      <c r="N152" s="90"/>
      <c r="O152" s="90"/>
      <c r="P152" s="90"/>
      <c r="Q152" s="91"/>
      <c r="R152" s="61" t="n">
        <f aca="false">SUM(Décaissements63[[#This Row],[Période 0]:[Période 12]])</f>
        <v>0</v>
      </c>
      <c r="S152" s="35" t="e">
        <f aca="false">+AVERAGE(Décaissements63[[#This Row],[Période 1]:[Période 12]])</f>
        <v>#DIV/0!</v>
      </c>
    </row>
    <row r="153" customFormat="false" ht="17.25" hidden="false" customHeight="true" outlineLevel="0" collapsed="false">
      <c r="B153" s="77" t="s">
        <v>184</v>
      </c>
      <c r="C153" s="104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6"/>
      <c r="R153" s="107" t="n">
        <f aca="false">SUM(Décaissements63[[#This Row],[Période 0]:[Période 12]])</f>
        <v>0</v>
      </c>
      <c r="S153" s="35" t="e">
        <f aca="false">+AVERAGE(Décaissements63[[#This Row],[Période 1]:[Période 12]])</f>
        <v>#DIV/0!</v>
      </c>
    </row>
    <row r="154" customFormat="false" ht="17.25" hidden="false" customHeight="true" outlineLevel="0" collapsed="false">
      <c r="B154" s="88" t="s">
        <v>185</v>
      </c>
      <c r="C154" s="89"/>
      <c r="D154" s="87"/>
      <c r="E154" s="63" t="n">
        <v>51.84</v>
      </c>
      <c r="F154" s="63"/>
      <c r="G154" s="63"/>
      <c r="H154" s="90"/>
      <c r="I154" s="63"/>
      <c r="J154" s="63"/>
      <c r="K154" s="87"/>
      <c r="L154" s="90"/>
      <c r="M154" s="90"/>
      <c r="N154" s="90"/>
      <c r="O154" s="90"/>
      <c r="P154" s="90"/>
      <c r="Q154" s="91"/>
      <c r="R154" s="61" t="n">
        <f aca="false">SUM(Décaissements63[[#This Row],[Période 0]:[Période 12]])</f>
        <v>51.84</v>
      </c>
      <c r="S154" s="35" t="n">
        <f aca="false">+AVERAGE(Décaissements63[[#This Row],[Période 1]:[Période 12]])</f>
        <v>51.84</v>
      </c>
    </row>
    <row r="155" customFormat="false" ht="17.25" hidden="false" customHeight="true" outlineLevel="0" collapsed="false">
      <c r="B155" s="88" t="s">
        <v>186</v>
      </c>
      <c r="C155" s="89"/>
      <c r="D155" s="87"/>
      <c r="E155" s="63"/>
      <c r="F155" s="63" t="n">
        <v>1524.08</v>
      </c>
      <c r="G155" s="63" t="n">
        <f aca="false">4380.4</f>
        <v>4380.4</v>
      </c>
      <c r="H155" s="87"/>
      <c r="I155" s="90"/>
      <c r="J155" s="90"/>
      <c r="K155" s="90"/>
      <c r="L155" s="90"/>
      <c r="M155" s="90"/>
      <c r="N155" s="90"/>
      <c r="O155" s="90"/>
      <c r="P155" s="90"/>
      <c r="Q155" s="91"/>
      <c r="R155" s="61" t="n">
        <f aca="false">SUM(Décaissements63[[#This Row],[Période 0]:[Période 12]])</f>
        <v>5904.48</v>
      </c>
      <c r="S155" s="35" t="n">
        <f aca="false">+AVERAGE(Décaissements63[[#This Row],[Période 1]:[Période 12]])</f>
        <v>2952.24</v>
      </c>
    </row>
    <row r="156" customFormat="false" ht="17.25" hidden="false" customHeight="true" outlineLevel="0" collapsed="false">
      <c r="B156" s="88" t="s">
        <v>187</v>
      </c>
      <c r="C156" s="89"/>
      <c r="D156" s="87"/>
      <c r="E156" s="63"/>
      <c r="F156" s="63" t="n">
        <v>3000</v>
      </c>
      <c r="G156" s="63" t="n">
        <f aca="false">1500+3000</f>
        <v>4500</v>
      </c>
      <c r="H156" s="87" t="n">
        <v>3000</v>
      </c>
      <c r="I156" s="90"/>
      <c r="J156" s="90" t="n">
        <f aca="false">3000+3000+3000</f>
        <v>9000</v>
      </c>
      <c r="K156" s="90"/>
      <c r="L156" s="90"/>
      <c r="M156" s="90"/>
      <c r="N156" s="90"/>
      <c r="O156" s="90"/>
      <c r="P156" s="90"/>
      <c r="Q156" s="91"/>
      <c r="R156" s="61" t="n">
        <f aca="false">SUM(Décaissements63[[#This Row],[Période 0]:[Période 12]])</f>
        <v>19500</v>
      </c>
      <c r="S156" s="35" t="n">
        <f aca="false">+AVERAGE(Décaissements63[[#This Row],[Période 1]:[Période 12]])</f>
        <v>4875</v>
      </c>
    </row>
    <row r="157" customFormat="false" ht="17.25" hidden="false" customHeight="true" outlineLevel="0" collapsed="false">
      <c r="B157" s="88" t="s">
        <v>188</v>
      </c>
      <c r="C157" s="89"/>
      <c r="D157" s="87"/>
      <c r="E157" s="63"/>
      <c r="F157" s="63" t="n">
        <v>2400</v>
      </c>
      <c r="G157" s="63" t="n">
        <v>2400</v>
      </c>
      <c r="H157" s="87" t="n">
        <v>2400</v>
      </c>
      <c r="I157" s="90"/>
      <c r="J157" s="90" t="n">
        <v>2400</v>
      </c>
      <c r="K157" s="90"/>
      <c r="L157" s="90"/>
      <c r="M157" s="90"/>
      <c r="N157" s="90"/>
      <c r="O157" s="90"/>
      <c r="P157" s="90"/>
      <c r="Q157" s="91"/>
      <c r="R157" s="61" t="n">
        <f aca="false">SUM(Décaissements63[[#This Row],[Période 0]:[Période 12]])</f>
        <v>9600</v>
      </c>
      <c r="S157" s="35" t="n">
        <f aca="false">+AVERAGE(Décaissements63[[#This Row],[Période 1]:[Période 12]])</f>
        <v>2400</v>
      </c>
    </row>
    <row r="158" customFormat="false" ht="17.25" hidden="false" customHeight="true" outlineLevel="0" collapsed="false">
      <c r="B158" s="88" t="s">
        <v>189</v>
      </c>
      <c r="C158" s="89"/>
      <c r="D158" s="87"/>
      <c r="E158" s="63" t="n">
        <v>1077.5</v>
      </c>
      <c r="F158" s="63" t="n">
        <f aca="false">324.46+325.94</f>
        <v>650.4</v>
      </c>
      <c r="G158" s="63" t="n">
        <f aca="false">841.86+292.7+90+973.25</f>
        <v>2197.81</v>
      </c>
      <c r="H158" s="63" t="n">
        <f aca="false">688.21+2856.37</f>
        <v>3544.58</v>
      </c>
      <c r="I158" s="63"/>
      <c r="J158" s="63"/>
      <c r="K158" s="87"/>
      <c r="L158" s="90"/>
      <c r="M158" s="90"/>
      <c r="N158" s="90"/>
      <c r="O158" s="90"/>
      <c r="P158" s="90"/>
      <c r="Q158" s="89"/>
      <c r="R158" s="61"/>
      <c r="S158" s="35" t="n">
        <f aca="false">+AVERAGE(Décaissements63[[#This Row],[Période 1]:[Période 12]])</f>
        <v>1867.5725</v>
      </c>
    </row>
    <row r="159" customFormat="false" ht="17.25" hidden="false" customHeight="true" outlineLevel="0" collapsed="false">
      <c r="B159" s="88" t="s">
        <v>190</v>
      </c>
      <c r="C159" s="89"/>
      <c r="D159" s="87"/>
      <c r="E159" s="63"/>
      <c r="F159" s="63"/>
      <c r="G159" s="63"/>
      <c r="H159" s="63"/>
      <c r="I159" s="63"/>
      <c r="J159" s="63"/>
      <c r="K159" s="87"/>
      <c r="L159" s="87"/>
      <c r="M159" s="87"/>
      <c r="N159" s="90"/>
      <c r="O159" s="90"/>
      <c r="P159" s="90"/>
      <c r="Q159" s="91"/>
      <c r="R159" s="61" t="n">
        <f aca="false">SUM(Décaissements63[[#This Row],[Période 0]:[Période 12]])</f>
        <v>0</v>
      </c>
      <c r="S159" s="35" t="e">
        <f aca="false">+AVERAGE(Décaissements63[[#This Row],[Période 1]:[Période 12]])</f>
        <v>#DIV/0!</v>
      </c>
    </row>
    <row r="160" customFormat="false" ht="17.25" hidden="false" customHeight="true" outlineLevel="0" collapsed="false">
      <c r="B160" s="88" t="s">
        <v>191</v>
      </c>
      <c r="C160" s="89"/>
      <c r="D160" s="87"/>
      <c r="E160" s="63" t="n">
        <v>2034.65</v>
      </c>
      <c r="F160" s="63" t="n">
        <f aca="false">4617.86</f>
        <v>4617.86</v>
      </c>
      <c r="G160" s="63" t="n">
        <f aca="false">2034.65+968.62</f>
        <v>3003.27</v>
      </c>
      <c r="H160" s="87" t="n">
        <v>3308.61</v>
      </c>
      <c r="I160" s="90" t="n">
        <f aca="false">2034.65+466.25</f>
        <v>2500.9</v>
      </c>
      <c r="J160" s="90" t="n">
        <v>860.57</v>
      </c>
      <c r="K160" s="90"/>
      <c r="L160" s="90"/>
      <c r="M160" s="90"/>
      <c r="N160" s="90"/>
      <c r="O160" s="90"/>
      <c r="P160" s="90"/>
      <c r="Q160" s="91"/>
      <c r="R160" s="61" t="n">
        <f aca="false">SUM(Décaissements63[[#This Row],[Période 0]:[Période 12]])</f>
        <v>16325.86</v>
      </c>
      <c r="S160" s="35" t="n">
        <f aca="false">+AVERAGE(Décaissements63[[#This Row],[Période 1]:[Période 12]])</f>
        <v>2720.97666666667</v>
      </c>
    </row>
    <row r="161" customFormat="false" ht="17.25" hidden="false" customHeight="true" outlineLevel="0" collapsed="false">
      <c r="B161" s="88" t="s">
        <v>192</v>
      </c>
      <c r="C161" s="89"/>
      <c r="D161" s="87"/>
      <c r="E161" s="63"/>
      <c r="F161" s="63"/>
      <c r="G161" s="63"/>
      <c r="H161" s="87"/>
      <c r="I161" s="90"/>
      <c r="J161" s="90"/>
      <c r="K161" s="90"/>
      <c r="L161" s="90"/>
      <c r="M161" s="90"/>
      <c r="N161" s="90"/>
      <c r="O161" s="90"/>
      <c r="P161" s="90"/>
      <c r="Q161" s="91"/>
      <c r="R161" s="61" t="n">
        <f aca="false">SUM(Décaissements63[[#This Row],[Période 0]:[Période 12]])</f>
        <v>0</v>
      </c>
      <c r="S161" s="35" t="e">
        <f aca="false">+AVERAGE(Décaissements63[[#This Row],[Période 1]:[Période 12]])</f>
        <v>#DIV/0!</v>
      </c>
    </row>
    <row r="162" customFormat="false" ht="17.25" hidden="false" customHeight="true" outlineLevel="0" collapsed="false">
      <c r="B162" s="88" t="s">
        <v>193</v>
      </c>
      <c r="C162" s="89"/>
      <c r="D162" s="87"/>
      <c r="E162" s="63" t="n">
        <v>796.49</v>
      </c>
      <c r="F162" s="63"/>
      <c r="G162" s="63" t="n">
        <f aca="false">796.49+796.49</f>
        <v>1592.98</v>
      </c>
      <c r="H162" s="87"/>
      <c r="I162" s="63" t="n">
        <f aca="false">1293.37+186.77+186.77+68.76</f>
        <v>1735.67</v>
      </c>
      <c r="J162" s="63" t="n">
        <v>255.53</v>
      </c>
      <c r="K162" s="90"/>
      <c r="L162" s="90"/>
      <c r="M162" s="90"/>
      <c r="N162" s="90"/>
      <c r="O162" s="90"/>
      <c r="P162" s="90"/>
      <c r="Q162" s="91"/>
      <c r="R162" s="61" t="n">
        <f aca="false">SUM(Décaissements63[[#This Row],[Période 0]:[Période 12]])</f>
        <v>4380.67</v>
      </c>
      <c r="S162" s="35" t="n">
        <f aca="false">+AVERAGE(Décaissements63[[#This Row],[Période 1]:[Période 12]])</f>
        <v>1095.1675</v>
      </c>
    </row>
    <row r="163" customFormat="false" ht="17.25" hidden="false" customHeight="true" outlineLevel="0" collapsed="false">
      <c r="B163" s="88" t="s">
        <v>194</v>
      </c>
      <c r="C163" s="89"/>
      <c r="D163" s="87"/>
      <c r="E163" s="87"/>
      <c r="F163" s="90"/>
      <c r="G163" s="63" t="n">
        <v>586.43</v>
      </c>
      <c r="H163" s="90" t="n">
        <v>284.59</v>
      </c>
      <c r="I163" s="63" t="n">
        <v>315.08</v>
      </c>
      <c r="J163" s="90" t="n">
        <f aca="false">454.31+304.92</f>
        <v>759.23</v>
      </c>
      <c r="K163" s="63"/>
      <c r="L163" s="90"/>
      <c r="M163" s="90"/>
      <c r="N163" s="90"/>
      <c r="O163" s="90"/>
      <c r="P163" s="90"/>
      <c r="Q163" s="91"/>
      <c r="R163" s="61" t="n">
        <f aca="false">SUM(Décaissements63[[#This Row],[Période 0]:[Période 12]])</f>
        <v>1945.33</v>
      </c>
      <c r="S163" s="35" t="n">
        <f aca="false">+AVERAGE(Décaissements63[[#This Row],[Période 1]:[Période 12]])</f>
        <v>486.3325</v>
      </c>
    </row>
    <row r="164" customFormat="false" ht="17.25" hidden="false" customHeight="true" outlineLevel="0" collapsed="false">
      <c r="B164" s="88" t="s">
        <v>195</v>
      </c>
      <c r="C164" s="89"/>
      <c r="D164" s="87"/>
      <c r="E164" s="63"/>
      <c r="F164" s="63"/>
      <c r="G164" s="63"/>
      <c r="H164" s="87"/>
      <c r="I164" s="63"/>
      <c r="J164" s="63"/>
      <c r="K164" s="63"/>
      <c r="L164" s="90"/>
      <c r="M164" s="90"/>
      <c r="N164" s="90"/>
      <c r="O164" s="90"/>
      <c r="P164" s="90"/>
      <c r="Q164" s="91"/>
      <c r="R164" s="61" t="n">
        <f aca="false">SUM(Décaissements63[[#This Row],[Période 0]:[Période 12]])</f>
        <v>0</v>
      </c>
      <c r="S164" s="35" t="e">
        <f aca="false">+AVERAGE(Décaissements63[[#This Row],[Période 1]:[Période 12]])</f>
        <v>#DIV/0!</v>
      </c>
    </row>
    <row r="165" customFormat="false" ht="17.25" hidden="false" customHeight="true" outlineLevel="0" collapsed="false">
      <c r="B165" s="88" t="s">
        <v>196</v>
      </c>
      <c r="C165" s="89"/>
      <c r="D165" s="87"/>
      <c r="E165" s="63"/>
      <c r="F165" s="63"/>
      <c r="G165" s="63"/>
      <c r="H165" s="63" t="n">
        <v>1393.52</v>
      </c>
      <c r="I165" s="63" t="n">
        <v>1393.52</v>
      </c>
      <c r="J165" s="63" t="n">
        <v>1329.57</v>
      </c>
      <c r="K165" s="63"/>
      <c r="L165" s="87"/>
      <c r="M165" s="90"/>
      <c r="N165" s="90"/>
      <c r="O165" s="90"/>
      <c r="P165" s="90"/>
      <c r="Q165" s="91"/>
      <c r="R165" s="61" t="n">
        <f aca="false">SUM(Décaissements63[[#This Row],[Période 0]:[Période 12]])</f>
        <v>4116.61</v>
      </c>
      <c r="S165" s="35" t="n">
        <f aca="false">+AVERAGE(Décaissements63[[#This Row],[Période 1]:[Période 12]])</f>
        <v>1372.20333333333</v>
      </c>
    </row>
    <row r="166" customFormat="false" ht="17.25" hidden="false" customHeight="true" outlineLevel="0" collapsed="false">
      <c r="B166" s="88" t="s">
        <v>197</v>
      </c>
      <c r="C166" s="89"/>
      <c r="D166" s="87"/>
      <c r="E166" s="63"/>
      <c r="F166" s="63" t="n">
        <v>19755.24</v>
      </c>
      <c r="G166" s="63"/>
      <c r="H166" s="87" t="n">
        <v>12728.55</v>
      </c>
      <c r="I166" s="90"/>
      <c r="J166" s="90"/>
      <c r="K166" s="90"/>
      <c r="L166" s="90"/>
      <c r="M166" s="90"/>
      <c r="N166" s="90"/>
      <c r="O166" s="90"/>
      <c r="P166" s="90"/>
      <c r="Q166" s="91"/>
      <c r="R166" s="61" t="n">
        <f aca="false">SUM(Décaissements63[[#This Row],[Période 0]:[Période 12]])</f>
        <v>32483.79</v>
      </c>
      <c r="S166" s="35" t="n">
        <f aca="false">+AVERAGE(Décaissements63[[#This Row],[Période 1]:[Période 12]])</f>
        <v>16241.895</v>
      </c>
    </row>
    <row r="167" customFormat="false" ht="17.25" hidden="false" customHeight="true" outlineLevel="0" collapsed="false">
      <c r="B167" s="88" t="s">
        <v>198</v>
      </c>
      <c r="C167" s="89"/>
      <c r="D167" s="87"/>
      <c r="E167" s="63"/>
      <c r="F167" s="63" t="n">
        <v>3398.11</v>
      </c>
      <c r="G167" s="63" t="n">
        <f aca="false">2937.12</f>
        <v>2937.12</v>
      </c>
      <c r="H167" s="87"/>
      <c r="I167" s="90"/>
      <c r="J167" s="90"/>
      <c r="K167" s="90"/>
      <c r="L167" s="87"/>
      <c r="M167" s="90"/>
      <c r="N167" s="90"/>
      <c r="O167" s="90"/>
      <c r="P167" s="90"/>
      <c r="Q167" s="91"/>
      <c r="R167" s="61" t="n">
        <f aca="false">SUM(Décaissements63[[#This Row],[Période 0]:[Période 12]])</f>
        <v>6335.23</v>
      </c>
      <c r="S167" s="35" t="n">
        <f aca="false">+AVERAGE(Décaissements63[[#This Row],[Période 1]:[Période 12]])</f>
        <v>3167.615</v>
      </c>
    </row>
    <row r="168" customFormat="false" ht="17.25" hidden="false" customHeight="true" outlineLevel="0" collapsed="false">
      <c r="B168" s="88" t="s">
        <v>199</v>
      </c>
      <c r="C168" s="89"/>
      <c r="D168" s="87"/>
      <c r="E168" s="87" t="n">
        <f aca="false">2000+600+410.54</f>
        <v>3010.54</v>
      </c>
      <c r="F168" s="63" t="n">
        <f aca="false">40.66+1393.52+457.05+1380+240</f>
        <v>3511.23</v>
      </c>
      <c r="G168" s="56" t="n">
        <v>213.61</v>
      </c>
      <c r="H168" s="87"/>
      <c r="I168" s="87"/>
      <c r="J168" s="63" t="n">
        <v>1957.22</v>
      </c>
      <c r="K168" s="63"/>
      <c r="L168" s="87"/>
      <c r="M168" s="90"/>
      <c r="N168" s="90"/>
      <c r="O168" s="90"/>
      <c r="P168" s="90"/>
      <c r="Q168" s="91"/>
      <c r="R168" s="61" t="n">
        <f aca="false">SUM(Décaissements63[[#This Row],[Période 0]:[Période 12]])</f>
        <v>8692.6</v>
      </c>
      <c r="S168" s="35" t="n">
        <f aca="false">+AVERAGE(Décaissements63[[#This Row],[Période 1]:[Période 12]])</f>
        <v>2173.15</v>
      </c>
    </row>
    <row r="169" customFormat="false" ht="17.25" hidden="false" customHeight="true" outlineLevel="0" collapsed="false">
      <c r="B169" s="77" t="s">
        <v>200</v>
      </c>
      <c r="C169" s="104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6"/>
      <c r="R169" s="107" t="n">
        <f aca="false">SUM(Décaissements63[[#This Row],[Période 0]:[Période 12]])</f>
        <v>0</v>
      </c>
      <c r="S169" s="35" t="e">
        <f aca="false">+AVERAGE(Décaissements63[[#This Row],[Période 1]:[Période 12]])</f>
        <v>#DIV/0!</v>
      </c>
    </row>
    <row r="170" customFormat="false" ht="17.25" hidden="false" customHeight="true" outlineLevel="0" collapsed="false">
      <c r="B170" s="88" t="s">
        <v>201</v>
      </c>
      <c r="C170" s="89"/>
      <c r="D170" s="87"/>
      <c r="E170" s="63"/>
      <c r="F170" s="63"/>
      <c r="G170" s="63"/>
      <c r="H170" s="87"/>
      <c r="I170" s="87"/>
      <c r="J170" s="109"/>
      <c r="K170" s="90"/>
      <c r="L170" s="90"/>
      <c r="M170" s="90"/>
      <c r="N170" s="90"/>
      <c r="O170" s="90"/>
      <c r="P170" s="90"/>
      <c r="Q170" s="91"/>
      <c r="R170" s="61" t="n">
        <f aca="false">SUM(Décaissements63[[#This Row],[Période 0]:[Période 12]])</f>
        <v>0</v>
      </c>
      <c r="S170" s="35" t="e">
        <f aca="false">+AVERAGE(Décaissements63[[#This Row],[Période 1]:[Période 12]])</f>
        <v>#DIV/0!</v>
      </c>
    </row>
    <row r="171" customFormat="false" ht="17.25" hidden="false" customHeight="true" outlineLevel="0" collapsed="false">
      <c r="B171" s="88" t="s">
        <v>202</v>
      </c>
      <c r="C171" s="89"/>
      <c r="D171" s="87"/>
      <c r="E171" s="63"/>
      <c r="F171" s="63"/>
      <c r="G171" s="63"/>
      <c r="H171" s="87"/>
      <c r="I171" s="87"/>
      <c r="J171" s="63"/>
      <c r="K171" s="90"/>
      <c r="L171" s="90"/>
      <c r="M171" s="90"/>
      <c r="N171" s="90"/>
      <c r="O171" s="90"/>
      <c r="P171" s="90"/>
      <c r="Q171" s="91"/>
      <c r="R171" s="61" t="n">
        <f aca="false">SUM(Décaissements63[[#This Row],[Période 0]:[Période 12]])</f>
        <v>0</v>
      </c>
      <c r="S171" s="35" t="e">
        <f aca="false">+AVERAGE(Décaissements63[[#This Row],[Période 1]:[Période 12]])</f>
        <v>#DIV/0!</v>
      </c>
    </row>
    <row r="172" customFormat="false" ht="17.25" hidden="false" customHeight="true" outlineLevel="0" collapsed="false">
      <c r="B172" s="88" t="s">
        <v>203</v>
      </c>
      <c r="C172" s="89"/>
      <c r="D172" s="87"/>
      <c r="E172" s="63"/>
      <c r="F172" s="63"/>
      <c r="G172" s="63" t="n">
        <v>586.38</v>
      </c>
      <c r="H172" s="87"/>
      <c r="I172" s="87"/>
      <c r="J172" s="63"/>
      <c r="K172" s="90"/>
      <c r="L172" s="90"/>
      <c r="M172" s="90"/>
      <c r="N172" s="90"/>
      <c r="O172" s="90"/>
      <c r="P172" s="90"/>
      <c r="Q172" s="91"/>
      <c r="R172" s="61" t="n">
        <f aca="false">SUM(Décaissements63[[#This Row],[Période 0]:[Période 12]])</f>
        <v>586.38</v>
      </c>
      <c r="S172" s="35" t="n">
        <f aca="false">+AVERAGE(Décaissements63[[#This Row],[Période 1]:[Période 12]])</f>
        <v>586.38</v>
      </c>
    </row>
    <row r="173" customFormat="false" ht="17.25" hidden="false" customHeight="true" outlineLevel="0" collapsed="false">
      <c r="B173" s="88" t="s">
        <v>204</v>
      </c>
      <c r="C173" s="89"/>
      <c r="D173" s="87"/>
      <c r="E173" s="113"/>
      <c r="F173" s="113"/>
      <c r="G173" s="113"/>
      <c r="H173" s="113"/>
      <c r="I173" s="87"/>
      <c r="J173" s="63"/>
      <c r="K173" s="90"/>
      <c r="L173" s="90"/>
      <c r="M173" s="90"/>
      <c r="N173" s="90"/>
      <c r="O173" s="90"/>
      <c r="P173" s="90"/>
      <c r="Q173" s="91"/>
      <c r="R173" s="61" t="n">
        <f aca="false">SUM(Décaissements63[[#This Row],[Période 0]:[Période 12]])</f>
        <v>0</v>
      </c>
      <c r="S173" s="35" t="e">
        <f aca="false">+AVERAGE(Décaissements63[[#This Row],[Période 1]:[Période 12]])</f>
        <v>#DIV/0!</v>
      </c>
    </row>
    <row r="174" customFormat="false" ht="17.25" hidden="false" customHeight="true" outlineLevel="0" collapsed="false">
      <c r="B174" s="88" t="s">
        <v>205</v>
      </c>
      <c r="C174" s="89"/>
      <c r="D174" s="87"/>
      <c r="E174" s="63"/>
      <c r="F174" s="63"/>
      <c r="G174" s="63"/>
      <c r="H174" s="87"/>
      <c r="I174" s="87"/>
      <c r="J174" s="63"/>
      <c r="K174" s="90"/>
      <c r="L174" s="90"/>
      <c r="M174" s="90"/>
      <c r="N174" s="90"/>
      <c r="O174" s="90"/>
      <c r="P174" s="90"/>
      <c r="Q174" s="91"/>
      <c r="R174" s="61" t="n">
        <f aca="false">SUM(Décaissements63[[#This Row],[Période 0]:[Période 12]])</f>
        <v>0</v>
      </c>
      <c r="S174" s="35" t="e">
        <f aca="false">+AVERAGE(Décaissements63[[#This Row],[Période 1]:[Période 12]])</f>
        <v>#DIV/0!</v>
      </c>
    </row>
    <row r="175" customFormat="false" ht="17.25" hidden="false" customHeight="true" outlineLevel="0" collapsed="false">
      <c r="B175" s="88" t="s">
        <v>206</v>
      </c>
      <c r="C175" s="89"/>
      <c r="D175" s="87"/>
      <c r="E175" s="63"/>
      <c r="F175" s="63" t="n">
        <v>720</v>
      </c>
      <c r="G175" s="63" t="n">
        <v>480</v>
      </c>
      <c r="H175" s="87"/>
      <c r="I175" s="87"/>
      <c r="J175" s="63"/>
      <c r="K175" s="63"/>
      <c r="L175" s="90"/>
      <c r="M175" s="90"/>
      <c r="N175" s="90"/>
      <c r="O175" s="90"/>
      <c r="P175" s="90"/>
      <c r="Q175" s="91"/>
      <c r="R175" s="61" t="n">
        <f aca="false">SUM(Décaissements63[[#This Row],[Période 0]:[Période 12]])</f>
        <v>1200</v>
      </c>
      <c r="S175" s="35" t="n">
        <f aca="false">+AVERAGE(Décaissements63[[#This Row],[Période 1]:[Période 12]])</f>
        <v>600</v>
      </c>
    </row>
    <row r="176" customFormat="false" ht="17.25" hidden="false" customHeight="true" outlineLevel="0" collapsed="false">
      <c r="B176" s="88" t="s">
        <v>207</v>
      </c>
      <c r="C176" s="89"/>
      <c r="D176" s="87"/>
      <c r="E176" s="63"/>
      <c r="F176" s="63"/>
      <c r="G176" s="63"/>
      <c r="H176" s="87"/>
      <c r="I176" s="90"/>
      <c r="J176" s="90"/>
      <c r="K176" s="63"/>
      <c r="L176" s="90"/>
      <c r="M176" s="90"/>
      <c r="N176" s="90"/>
      <c r="O176" s="90"/>
      <c r="P176" s="90"/>
      <c r="Q176" s="91"/>
      <c r="R176" s="61" t="n">
        <f aca="false">SUM(Décaissements63[[#This Row],[Période 0]:[Période 12]])</f>
        <v>0</v>
      </c>
      <c r="S176" s="35" t="e">
        <f aca="false">+AVERAGE(Décaissements63[[#This Row],[Période 1]:[Période 12]])</f>
        <v>#DIV/0!</v>
      </c>
    </row>
    <row r="177" customFormat="false" ht="17.25" hidden="false" customHeight="true" outlineLevel="0" collapsed="false">
      <c r="B177" s="88" t="s">
        <v>208</v>
      </c>
      <c r="C177" s="89"/>
      <c r="D177" s="87"/>
      <c r="E177" s="63"/>
      <c r="F177" s="63" t="n">
        <f aca="false">120+3460.07</f>
        <v>3580.07</v>
      </c>
      <c r="G177" s="63"/>
      <c r="H177" s="87"/>
      <c r="I177" s="87"/>
      <c r="J177" s="63" t="n">
        <v>1170</v>
      </c>
      <c r="K177" s="63"/>
      <c r="L177" s="90"/>
      <c r="M177" s="90"/>
      <c r="N177" s="90"/>
      <c r="O177" s="90"/>
      <c r="P177" s="90"/>
      <c r="Q177" s="91"/>
      <c r="R177" s="61" t="n">
        <f aca="false">SUM(Décaissements63[[#This Row],[Période 0]:[Période 12]])</f>
        <v>4750.07</v>
      </c>
      <c r="S177" s="35" t="n">
        <f aca="false">+AVERAGE(Décaissements63[[#This Row],[Période 1]:[Période 12]])</f>
        <v>2375.035</v>
      </c>
    </row>
    <row r="178" customFormat="false" ht="17.25" hidden="false" customHeight="true" outlineLevel="0" collapsed="false">
      <c r="B178" s="88" t="s">
        <v>209</v>
      </c>
      <c r="C178" s="89"/>
      <c r="D178" s="87"/>
      <c r="E178" s="63"/>
      <c r="F178" s="63"/>
      <c r="G178" s="63"/>
      <c r="H178" s="87"/>
      <c r="I178" s="87"/>
      <c r="J178" s="109"/>
      <c r="K178" s="63"/>
      <c r="L178" s="90"/>
      <c r="M178" s="90"/>
      <c r="N178" s="90"/>
      <c r="O178" s="90"/>
      <c r="P178" s="90"/>
      <c r="Q178" s="91"/>
      <c r="R178" s="61" t="n">
        <f aca="false">SUM(Décaissements63[[#This Row],[Période 0]:[Période 12]])</f>
        <v>0</v>
      </c>
      <c r="S178" s="35" t="e">
        <f aca="false">+AVERAGE(Décaissements63[[#This Row],[Période 1]:[Période 12]])</f>
        <v>#DIV/0!</v>
      </c>
    </row>
    <row r="179" customFormat="false" ht="17.25" hidden="false" customHeight="true" outlineLevel="0" collapsed="false">
      <c r="B179" s="88" t="s">
        <v>210</v>
      </c>
      <c r="C179" s="89"/>
      <c r="D179" s="87"/>
      <c r="E179" s="63"/>
      <c r="F179" s="63"/>
      <c r="G179" s="63"/>
      <c r="H179" s="90"/>
      <c r="I179" s="87"/>
      <c r="J179" s="109"/>
      <c r="K179" s="90"/>
      <c r="L179" s="90"/>
      <c r="M179" s="90"/>
      <c r="N179" s="90"/>
      <c r="O179" s="90"/>
      <c r="P179" s="90"/>
      <c r="Q179" s="91"/>
      <c r="R179" s="61" t="n">
        <f aca="false">SUM(Décaissements63[[#This Row],[Période 0]:[Période 12]])</f>
        <v>0</v>
      </c>
      <c r="S179" s="35" t="e">
        <f aca="false">+AVERAGE(Décaissements63[[#This Row],[Période 1]:[Période 12]])</f>
        <v>#DIV/0!</v>
      </c>
    </row>
    <row r="180" customFormat="false" ht="17.25" hidden="false" customHeight="true" outlineLevel="0" collapsed="false">
      <c r="B180" s="88" t="s">
        <v>211</v>
      </c>
      <c r="C180" s="89"/>
      <c r="D180" s="87"/>
      <c r="E180" s="63" t="n">
        <f aca="false">650+650</f>
        <v>1300</v>
      </c>
      <c r="F180" s="63" t="n">
        <v>144.96</v>
      </c>
      <c r="G180" s="63" t="n">
        <v>650</v>
      </c>
      <c r="H180" s="87" t="n">
        <v>650</v>
      </c>
      <c r="I180" s="90"/>
      <c r="J180" s="90" t="n">
        <f aca="false">650+675</f>
        <v>1325</v>
      </c>
      <c r="K180" s="90"/>
      <c r="L180" s="90"/>
      <c r="M180" s="90"/>
      <c r="N180" s="90"/>
      <c r="O180" s="90"/>
      <c r="P180" s="90"/>
      <c r="Q180" s="91"/>
      <c r="R180" s="61" t="n">
        <f aca="false">SUM(Décaissements63[[#This Row],[Période 0]:[Période 12]])</f>
        <v>4069.96</v>
      </c>
      <c r="S180" s="35" t="n">
        <f aca="false">+AVERAGE(Décaissements63[[#This Row],[Période 1]:[Période 12]])</f>
        <v>813.992</v>
      </c>
    </row>
    <row r="181" customFormat="false" ht="17.25" hidden="false" customHeight="true" outlineLevel="0" collapsed="false">
      <c r="B181" s="88" t="s">
        <v>212</v>
      </c>
      <c r="C181" s="89"/>
      <c r="D181" s="87"/>
      <c r="E181" s="63"/>
      <c r="F181" s="63"/>
      <c r="G181" s="56"/>
      <c r="H181" s="90"/>
      <c r="I181" s="87"/>
      <c r="J181" s="109"/>
      <c r="K181" s="90"/>
      <c r="L181" s="90"/>
      <c r="M181" s="90"/>
      <c r="N181" s="90"/>
      <c r="O181" s="90"/>
      <c r="P181" s="90"/>
      <c r="Q181" s="101"/>
      <c r="R181" s="61" t="n">
        <f aca="false">SUM(Décaissements63[[#This Row],[Période 0]:[Période 12]])</f>
        <v>0</v>
      </c>
      <c r="S181" s="35" t="e">
        <f aca="false">+AVERAGE(Décaissements63[[#This Row],[Période 1]:[Période 12]])</f>
        <v>#DIV/0!</v>
      </c>
    </row>
    <row r="182" customFormat="false" ht="17.25" hidden="false" customHeight="true" outlineLevel="0" collapsed="false">
      <c r="B182" s="88" t="s">
        <v>213</v>
      </c>
      <c r="C182" s="89"/>
      <c r="D182" s="87"/>
      <c r="E182" s="63"/>
      <c r="F182" s="63"/>
      <c r="G182" s="63" t="n">
        <f aca="false">31.2+48</f>
        <v>79.2</v>
      </c>
      <c r="H182" s="87"/>
      <c r="I182" s="63"/>
      <c r="J182" s="63"/>
      <c r="K182" s="87"/>
      <c r="L182" s="90"/>
      <c r="M182" s="90"/>
      <c r="N182" s="90"/>
      <c r="O182" s="90"/>
      <c r="P182" s="90"/>
      <c r="Q182" s="91"/>
      <c r="R182" s="61" t="n">
        <f aca="false">SUM(Décaissements63[[#This Row],[Période 0]:[Période 12]])</f>
        <v>79.2</v>
      </c>
      <c r="S182" s="35" t="n">
        <f aca="false">+AVERAGE(Décaissements63[[#This Row],[Période 1]:[Période 12]])</f>
        <v>79.2</v>
      </c>
    </row>
    <row r="183" customFormat="false" ht="17.25" hidden="false" customHeight="true" outlineLevel="0" collapsed="false">
      <c r="B183" s="88" t="s">
        <v>214</v>
      </c>
      <c r="C183" s="89"/>
      <c r="D183" s="87"/>
      <c r="E183" s="63"/>
      <c r="F183" s="63"/>
      <c r="G183" s="56"/>
      <c r="H183" s="90"/>
      <c r="I183" s="87"/>
      <c r="J183" s="109"/>
      <c r="K183" s="90"/>
      <c r="L183" s="90"/>
      <c r="M183" s="90"/>
      <c r="N183" s="90"/>
      <c r="O183" s="90"/>
      <c r="P183" s="90"/>
      <c r="Q183" s="101"/>
      <c r="R183" s="61" t="n">
        <f aca="false">SUM(Décaissements63[[#This Row],[Période 0]:[Période 12]])</f>
        <v>0</v>
      </c>
      <c r="S183" s="35" t="e">
        <f aca="false">+AVERAGE(Décaissements63[[#This Row],[Période 1]:[Période 12]])</f>
        <v>#DIV/0!</v>
      </c>
    </row>
    <row r="184" customFormat="false" ht="17.25" hidden="false" customHeight="true" outlineLevel="0" collapsed="false">
      <c r="B184" s="88" t="s">
        <v>215</v>
      </c>
      <c r="C184" s="89"/>
      <c r="D184" s="87"/>
      <c r="E184" s="63"/>
      <c r="F184" s="63"/>
      <c r="G184" s="63"/>
      <c r="H184" s="63"/>
      <c r="I184" s="87"/>
      <c r="J184" s="87"/>
      <c r="K184" s="63"/>
      <c r="L184" s="90"/>
      <c r="M184" s="90"/>
      <c r="N184" s="90"/>
      <c r="O184" s="90"/>
      <c r="P184" s="90"/>
      <c r="Q184" s="91"/>
      <c r="R184" s="61" t="n">
        <f aca="false">SUM(Décaissements63[[#This Row],[Période 0]:[Période 12]])</f>
        <v>0</v>
      </c>
      <c r="S184" s="35" t="e">
        <f aca="false">+AVERAGE(Décaissements63[[#This Row],[Période 1]:[Période 12]])</f>
        <v>#DIV/0!</v>
      </c>
    </row>
    <row r="185" customFormat="false" ht="17.25" hidden="false" customHeight="true" outlineLevel="0" collapsed="false">
      <c r="B185" s="88" t="s">
        <v>216</v>
      </c>
      <c r="C185" s="89"/>
      <c r="D185" s="87"/>
      <c r="E185" s="63"/>
      <c r="F185" s="63"/>
      <c r="G185" s="56"/>
      <c r="H185" s="63" t="n">
        <v>220.8</v>
      </c>
      <c r="I185" s="87"/>
      <c r="J185" s="87" t="n">
        <v>220.8</v>
      </c>
      <c r="K185" s="63"/>
      <c r="L185" s="63"/>
      <c r="M185" s="63"/>
      <c r="N185" s="90"/>
      <c r="O185" s="90"/>
      <c r="P185" s="90"/>
      <c r="Q185" s="101"/>
      <c r="R185" s="61" t="n">
        <f aca="false">SUM(Décaissements63[[#This Row],[Période 0]:[Période 12]])</f>
        <v>441.6</v>
      </c>
      <c r="S185" s="35" t="n">
        <f aca="false">+AVERAGE(Décaissements63[[#This Row],[Période 1]:[Période 12]])</f>
        <v>220.8</v>
      </c>
    </row>
    <row r="186" customFormat="false" ht="17.25" hidden="false" customHeight="true" outlineLevel="0" collapsed="false">
      <c r="B186" s="88" t="s">
        <v>217</v>
      </c>
      <c r="C186" s="89"/>
      <c r="D186" s="87"/>
      <c r="E186" s="63" t="n">
        <v>650</v>
      </c>
      <c r="F186" s="63"/>
      <c r="G186" s="87"/>
      <c r="H186" s="90"/>
      <c r="I186" s="87"/>
      <c r="J186" s="87"/>
      <c r="K186" s="90"/>
      <c r="L186" s="90"/>
      <c r="M186" s="90"/>
      <c r="N186" s="90"/>
      <c r="O186" s="90"/>
      <c r="P186" s="90"/>
      <c r="Q186" s="101"/>
      <c r="R186" s="61" t="n">
        <f aca="false">SUM(Décaissements63[[#This Row],[Période 0]:[Période 12]])</f>
        <v>650</v>
      </c>
      <c r="S186" s="35" t="n">
        <f aca="false">+AVERAGE(Décaissements63[[#This Row],[Période 1]:[Période 12]])</f>
        <v>650</v>
      </c>
    </row>
    <row r="187" customFormat="false" ht="17.25" hidden="false" customHeight="true" outlineLevel="0" collapsed="false">
      <c r="B187" s="88" t="s">
        <v>218</v>
      </c>
      <c r="C187" s="89"/>
      <c r="D187" s="87"/>
      <c r="E187" s="63" t="n">
        <f aca="false">31.15+280.01+2200+86.4+1560</f>
        <v>4157.56</v>
      </c>
      <c r="F187" s="63" t="n">
        <f aca="false">280.01+1596</f>
        <v>1876.01</v>
      </c>
      <c r="G187" s="63" t="n">
        <f aca="false">3960</f>
        <v>3960</v>
      </c>
      <c r="H187" s="63" t="n">
        <v>61.08</v>
      </c>
      <c r="I187" s="87" t="n">
        <v>360</v>
      </c>
      <c r="J187" s="87" t="n">
        <f aca="false">2000+577.8+3000+3250</f>
        <v>8827.8</v>
      </c>
      <c r="K187" s="87"/>
      <c r="L187" s="90"/>
      <c r="M187" s="90"/>
      <c r="N187" s="90"/>
      <c r="O187" s="90"/>
      <c r="P187" s="90"/>
      <c r="Q187" s="91"/>
      <c r="R187" s="61" t="n">
        <f aca="false">SUM(Décaissements63[[#This Row],[Période 0]:[Période 12]])</f>
        <v>19242.45</v>
      </c>
      <c r="S187" s="35" t="n">
        <f aca="false">+AVERAGE(Décaissements63[[#This Row],[Période 1]:[Période 12]])</f>
        <v>3207.075</v>
      </c>
    </row>
    <row r="188" customFormat="false" ht="17.25" hidden="false" customHeight="true" outlineLevel="0" collapsed="false">
      <c r="B188" s="88" t="s">
        <v>219</v>
      </c>
      <c r="C188" s="89"/>
      <c r="D188" s="87"/>
      <c r="E188" s="63"/>
      <c r="F188" s="92"/>
      <c r="G188" s="63"/>
      <c r="H188" s="87"/>
      <c r="I188" s="87"/>
      <c r="J188" s="87"/>
      <c r="K188" s="87"/>
      <c r="L188" s="90"/>
      <c r="M188" s="90"/>
      <c r="N188" s="90"/>
      <c r="O188" s="90"/>
      <c r="P188" s="90"/>
      <c r="Q188" s="91"/>
      <c r="R188" s="61" t="n">
        <f aca="false">SUM(Décaissements63[[#This Row],[Période 0]:[Période 12]])</f>
        <v>0</v>
      </c>
      <c r="S188" s="35" t="e">
        <f aca="false">+AVERAGE(Décaissements63[[#This Row],[Période 1]:[Période 12]])</f>
        <v>#DIV/0!</v>
      </c>
    </row>
    <row r="189" customFormat="false" ht="17.25" hidden="false" customHeight="true" outlineLevel="0" collapsed="false">
      <c r="B189" s="88" t="s">
        <v>220</v>
      </c>
      <c r="C189" s="89"/>
      <c r="D189" s="87"/>
      <c r="E189" s="63"/>
      <c r="F189" s="63"/>
      <c r="G189" s="63" t="n">
        <v>720</v>
      </c>
      <c r="H189" s="63"/>
      <c r="I189" s="87"/>
      <c r="J189" s="87"/>
      <c r="K189" s="90"/>
      <c r="L189" s="90"/>
      <c r="M189" s="90"/>
      <c r="N189" s="90"/>
      <c r="O189" s="90"/>
      <c r="P189" s="90"/>
      <c r="Q189" s="91"/>
      <c r="R189" s="61" t="n">
        <f aca="false">SUM(Décaissements63[[#This Row],[Période 0]:[Période 12]])</f>
        <v>720</v>
      </c>
      <c r="S189" s="35" t="n">
        <f aca="false">+AVERAGE(Décaissements63[[#This Row],[Période 1]:[Période 12]])</f>
        <v>720</v>
      </c>
    </row>
    <row r="190" customFormat="false" ht="17.25" hidden="false" customHeight="true" outlineLevel="0" collapsed="false">
      <c r="B190" s="88" t="s">
        <v>221</v>
      </c>
      <c r="C190" s="89"/>
      <c r="D190" s="87"/>
      <c r="E190" s="63"/>
      <c r="F190" s="63" t="n">
        <v>53.88</v>
      </c>
      <c r="G190" s="63" t="n">
        <v>53.88</v>
      </c>
      <c r="H190" s="87" t="n">
        <v>53.88</v>
      </c>
      <c r="I190" s="87" t="n">
        <v>53.88</v>
      </c>
      <c r="J190" s="87" t="n">
        <v>53.88</v>
      </c>
      <c r="K190" s="87"/>
      <c r="L190" s="63"/>
      <c r="M190" s="63"/>
      <c r="N190" s="87"/>
      <c r="O190" s="90"/>
      <c r="P190" s="90"/>
      <c r="Q190" s="91"/>
      <c r="R190" s="61" t="n">
        <f aca="false">SUM(Décaissements63[[#This Row],[Période 0]:[Période 12]])</f>
        <v>269.4</v>
      </c>
      <c r="S190" s="35" t="n">
        <f aca="false">+AVERAGE(Décaissements63[[#This Row],[Période 1]:[Période 12]])</f>
        <v>53.88</v>
      </c>
    </row>
    <row r="191" customFormat="false" ht="17.25" hidden="false" customHeight="true" outlineLevel="0" collapsed="false">
      <c r="B191" s="88" t="s">
        <v>222</v>
      </c>
      <c r="C191" s="89"/>
      <c r="D191" s="87"/>
      <c r="E191" s="63"/>
      <c r="F191" s="63"/>
      <c r="G191" s="87"/>
      <c r="H191" s="63" t="n">
        <v>90</v>
      </c>
      <c r="I191" s="90"/>
      <c r="J191" s="87" t="n">
        <f aca="false">135+35+207.11+35</f>
        <v>412.11</v>
      </c>
      <c r="K191" s="90"/>
      <c r="L191" s="90"/>
      <c r="M191" s="90"/>
      <c r="N191" s="90"/>
      <c r="O191" s="90"/>
      <c r="P191" s="90"/>
      <c r="Q191" s="101"/>
      <c r="R191" s="61" t="n">
        <f aca="false">SUM(Décaissements63[[#This Row],[Période 0]:[Période 12]])</f>
        <v>502.11</v>
      </c>
      <c r="S191" s="35" t="n">
        <f aca="false">+AVERAGE(Décaissements63[[#This Row],[Période 1]:[Période 12]])</f>
        <v>251.055</v>
      </c>
    </row>
    <row r="192" customFormat="false" ht="17.25" hidden="false" customHeight="true" outlineLevel="0" collapsed="false">
      <c r="B192" s="77" t="s">
        <v>223</v>
      </c>
      <c r="C192" s="104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6"/>
      <c r="R192" s="107" t="n">
        <f aca="false">SUM(Décaissements63[[#This Row],[Période 0]:[Période 12]])</f>
        <v>0</v>
      </c>
      <c r="S192" s="35" t="e">
        <f aca="false">+AVERAGE(Décaissements63[[#This Row],[Période 1]:[Période 12]])</f>
        <v>#DIV/0!</v>
      </c>
    </row>
    <row r="193" customFormat="false" ht="17.25" hidden="false" customHeight="true" outlineLevel="0" collapsed="false">
      <c r="B193" s="88" t="s">
        <v>224</v>
      </c>
      <c r="C193" s="89"/>
      <c r="D193" s="87"/>
      <c r="E193" s="63" t="n">
        <v>49.99</v>
      </c>
      <c r="F193" s="63" t="n">
        <v>80.87</v>
      </c>
      <c r="G193" s="63" t="n">
        <v>14.5</v>
      </c>
      <c r="H193" s="87" t="n">
        <v>15.8</v>
      </c>
      <c r="I193" s="87" t="n">
        <v>126.87</v>
      </c>
      <c r="J193" s="87"/>
      <c r="K193" s="87"/>
      <c r="L193" s="63"/>
      <c r="M193" s="90"/>
      <c r="N193" s="90"/>
      <c r="O193" s="90"/>
      <c r="P193" s="90"/>
      <c r="Q193" s="89"/>
      <c r="R193" s="61"/>
      <c r="S193" s="35" t="n">
        <f aca="false">+AVERAGE(Décaissements63[[#This Row],[Période 1]:[Période 12]])</f>
        <v>57.606</v>
      </c>
    </row>
    <row r="194" customFormat="false" ht="17.25" hidden="false" customHeight="true" outlineLevel="0" collapsed="false">
      <c r="B194" s="88" t="s">
        <v>225</v>
      </c>
      <c r="C194" s="89"/>
      <c r="D194" s="87"/>
      <c r="E194" s="63"/>
      <c r="F194" s="63" t="n">
        <v>38.8</v>
      </c>
      <c r="G194" s="63" t="n">
        <v>76.89</v>
      </c>
      <c r="H194" s="87"/>
      <c r="I194" s="90" t="n">
        <v>24.03</v>
      </c>
      <c r="J194" s="87"/>
      <c r="K194" s="90"/>
      <c r="L194" s="90"/>
      <c r="M194" s="90"/>
      <c r="N194" s="90"/>
      <c r="O194" s="90"/>
      <c r="P194" s="90"/>
      <c r="Q194" s="91"/>
      <c r="R194" s="61" t="n">
        <f aca="false">SUM(Décaissements63[[#This Row],[Période 0]:[Période 12]])</f>
        <v>139.72</v>
      </c>
      <c r="S194" s="35" t="n">
        <f aca="false">+AVERAGE(Décaissements63[[#This Row],[Période 1]:[Période 12]])</f>
        <v>46.5733333333333</v>
      </c>
    </row>
    <row r="195" customFormat="false" ht="17.25" hidden="false" customHeight="true" outlineLevel="0" collapsed="false">
      <c r="B195" s="88" t="s">
        <v>226</v>
      </c>
      <c r="C195" s="89"/>
      <c r="D195" s="87"/>
      <c r="E195" s="63"/>
      <c r="F195" s="63"/>
      <c r="G195" s="63" t="n">
        <v>159.85</v>
      </c>
      <c r="H195" s="87"/>
      <c r="I195" s="87" t="n">
        <v>238.4</v>
      </c>
      <c r="J195" s="87"/>
      <c r="K195" s="90"/>
      <c r="L195" s="90"/>
      <c r="M195" s="90"/>
      <c r="N195" s="90"/>
      <c r="O195" s="90"/>
      <c r="P195" s="90"/>
      <c r="Q195" s="89"/>
      <c r="R195" s="61"/>
      <c r="S195" s="35" t="n">
        <f aca="false">+AVERAGE(Décaissements63[[#This Row],[Période 1]:[Période 12]])</f>
        <v>199.125</v>
      </c>
    </row>
    <row r="196" customFormat="false" ht="17.25" hidden="false" customHeight="true" outlineLevel="0" collapsed="false">
      <c r="B196" s="88" t="s">
        <v>227</v>
      </c>
      <c r="C196" s="89"/>
      <c r="D196" s="87"/>
      <c r="E196" s="63"/>
      <c r="F196" s="63"/>
      <c r="G196" s="63"/>
      <c r="H196" s="87"/>
      <c r="I196" s="87"/>
      <c r="J196" s="87"/>
      <c r="K196" s="90"/>
      <c r="L196" s="90"/>
      <c r="M196" s="90"/>
      <c r="N196" s="90"/>
      <c r="O196" s="90"/>
      <c r="P196" s="90"/>
      <c r="Q196" s="89"/>
      <c r="R196" s="61"/>
      <c r="S196" s="35" t="e">
        <f aca="false">+AVERAGE(Décaissements63[[#This Row],[Période 1]:[Période 12]])</f>
        <v>#DIV/0!</v>
      </c>
    </row>
    <row r="197" customFormat="false" ht="17.25" hidden="false" customHeight="true" outlineLevel="0" collapsed="false">
      <c r="B197" s="88" t="s">
        <v>228</v>
      </c>
      <c r="C197" s="89"/>
      <c r="D197" s="87"/>
      <c r="E197" s="63" t="n">
        <f aca="false">42+35+118+31.9+50</f>
        <v>276.9</v>
      </c>
      <c r="F197" s="63" t="n">
        <f aca="false">120+48.5+172.8+50+50+21.7+300</f>
        <v>763</v>
      </c>
      <c r="G197" s="63" t="n">
        <f aca="false">158.2+122+149.7+120+122.2</f>
        <v>672.1</v>
      </c>
      <c r="H197" s="87" t="n">
        <f aca="false">105.8+70+50+119.9+68.5+85.4+94.5</f>
        <v>594.1</v>
      </c>
      <c r="I197" s="87" t="n">
        <f aca="false">100+115.1+40+38+57.6+152.3+130+88.3+8.9+40+50+300</f>
        <v>1120.2</v>
      </c>
      <c r="J197" s="87" t="n">
        <f aca="false">76.9+1050+111.2+319.5+64+88+50+316+350+200+50+85+81</f>
        <v>2841.6</v>
      </c>
      <c r="K197" s="87"/>
      <c r="L197" s="87"/>
      <c r="M197" s="90"/>
      <c r="N197" s="90"/>
      <c r="O197" s="90"/>
      <c r="P197" s="90"/>
      <c r="Q197" s="91"/>
      <c r="R197" s="61" t="n">
        <f aca="false">SUM(Décaissements63[[#This Row],[Période 0]:[Période 12]])</f>
        <v>6267.9</v>
      </c>
      <c r="S197" s="35" t="n">
        <f aca="false">+AVERAGE(Décaissements63[[#This Row],[Période 1]:[Période 12]])</f>
        <v>1044.65</v>
      </c>
    </row>
    <row r="198" customFormat="false" ht="17.25" hidden="false" customHeight="true" outlineLevel="0" collapsed="false">
      <c r="B198" s="88" t="s">
        <v>229</v>
      </c>
      <c r="C198" s="89"/>
      <c r="D198" s="87"/>
      <c r="E198" s="63"/>
      <c r="F198" s="63"/>
      <c r="G198" s="63"/>
      <c r="H198" s="87"/>
      <c r="I198" s="87"/>
      <c r="J198" s="87"/>
      <c r="K198" s="90"/>
      <c r="L198" s="90"/>
      <c r="M198" s="90"/>
      <c r="N198" s="90"/>
      <c r="O198" s="90"/>
      <c r="P198" s="90"/>
      <c r="Q198" s="91"/>
      <c r="R198" s="61" t="n">
        <f aca="false">SUM(Décaissements63[[#This Row],[Période 0]:[Période 12]])</f>
        <v>0</v>
      </c>
      <c r="S198" s="35" t="e">
        <f aca="false">+AVERAGE(Décaissements63[[#This Row],[Période 1]:[Période 12]])</f>
        <v>#DIV/0!</v>
      </c>
    </row>
    <row r="199" customFormat="false" ht="17.25" hidden="false" customHeight="true" outlineLevel="0" collapsed="false">
      <c r="B199" s="88" t="s">
        <v>230</v>
      </c>
      <c r="C199" s="89"/>
      <c r="D199" s="87"/>
      <c r="E199" s="63"/>
      <c r="F199" s="63"/>
      <c r="G199" s="63"/>
      <c r="H199" s="87"/>
      <c r="I199" s="87"/>
      <c r="J199" s="87"/>
      <c r="K199" s="90"/>
      <c r="L199" s="90"/>
      <c r="M199" s="90"/>
      <c r="N199" s="90"/>
      <c r="O199" s="90"/>
      <c r="P199" s="90"/>
      <c r="Q199" s="91"/>
      <c r="R199" s="61" t="n">
        <f aca="false">SUM(Décaissements63[[#This Row],[Période 0]:[Période 12]])</f>
        <v>0</v>
      </c>
      <c r="S199" s="35" t="e">
        <f aca="false">+AVERAGE(Décaissements63[[#This Row],[Période 1]:[Période 12]])</f>
        <v>#DIV/0!</v>
      </c>
    </row>
    <row r="200" customFormat="false" ht="17.25" hidden="false" customHeight="true" outlineLevel="0" collapsed="false">
      <c r="B200" s="88" t="s">
        <v>231</v>
      </c>
      <c r="C200" s="89"/>
      <c r="D200" s="87"/>
      <c r="E200" s="63"/>
      <c r="F200" s="63" t="n">
        <v>92</v>
      </c>
      <c r="G200" s="63"/>
      <c r="H200" s="87"/>
      <c r="I200" s="87"/>
      <c r="J200" s="87"/>
      <c r="K200" s="90"/>
      <c r="L200" s="90"/>
      <c r="M200" s="90"/>
      <c r="N200" s="90"/>
      <c r="O200" s="90"/>
      <c r="P200" s="90"/>
      <c r="Q200" s="102"/>
      <c r="R200" s="61"/>
      <c r="S200" s="35" t="n">
        <f aca="false">+AVERAGE(Décaissements63[[#This Row],[Période 1]:[Période 12]])</f>
        <v>92</v>
      </c>
    </row>
    <row r="201" customFormat="false" ht="17.25" hidden="false" customHeight="true" outlineLevel="0" collapsed="false">
      <c r="B201" s="88" t="s">
        <v>232</v>
      </c>
      <c r="C201" s="89"/>
      <c r="D201" s="87"/>
      <c r="E201" s="63"/>
      <c r="F201" s="63" t="n">
        <v>8.6</v>
      </c>
      <c r="G201" s="63" t="n">
        <v>12</v>
      </c>
      <c r="H201" s="87"/>
      <c r="I201" s="87" t="n">
        <v>15</v>
      </c>
      <c r="J201" s="87"/>
      <c r="K201" s="87"/>
      <c r="L201" s="87"/>
      <c r="M201" s="90"/>
      <c r="N201" s="90"/>
      <c r="O201" s="90"/>
      <c r="P201" s="90"/>
      <c r="Q201" s="91"/>
      <c r="R201" s="61" t="n">
        <f aca="false">SUM(Décaissements63[[#This Row],[Période 0]:[Période 12]])</f>
        <v>35.6</v>
      </c>
      <c r="S201" s="35" t="n">
        <f aca="false">+AVERAGE(Décaissements63[[#This Row],[Période 1]:[Période 12]])</f>
        <v>11.8666666666667</v>
      </c>
    </row>
    <row r="202" customFormat="false" ht="17.25" hidden="false" customHeight="true" outlineLevel="0" collapsed="false">
      <c r="B202" s="88" t="s">
        <v>233</v>
      </c>
      <c r="C202" s="89"/>
      <c r="D202" s="87"/>
      <c r="E202" s="63"/>
      <c r="F202" s="63"/>
      <c r="G202" s="63" t="n">
        <v>649</v>
      </c>
      <c r="H202" s="87"/>
      <c r="I202" s="87"/>
      <c r="J202" s="90"/>
      <c r="K202" s="90"/>
      <c r="L202" s="90"/>
      <c r="M202" s="90"/>
      <c r="N202" s="90"/>
      <c r="O202" s="90"/>
      <c r="P202" s="90"/>
      <c r="Q202" s="91"/>
      <c r="R202" s="61" t="n">
        <f aca="false">SUM(Décaissements63[[#This Row],[Période 0]:[Période 12]])</f>
        <v>649</v>
      </c>
      <c r="S202" s="35" t="n">
        <f aca="false">+AVERAGE(Décaissements63[[#This Row],[Période 1]:[Période 12]])</f>
        <v>649</v>
      </c>
    </row>
    <row r="203" customFormat="false" ht="17.25" hidden="false" customHeight="true" outlineLevel="0" collapsed="false">
      <c r="B203" s="88" t="s">
        <v>234</v>
      </c>
      <c r="C203" s="60"/>
      <c r="D203" s="56"/>
      <c r="E203" s="63"/>
      <c r="F203" s="63"/>
      <c r="G203" s="63"/>
      <c r="H203" s="56"/>
      <c r="I203" s="90"/>
      <c r="J203" s="90"/>
      <c r="K203" s="90"/>
      <c r="L203" s="90"/>
      <c r="M203" s="90"/>
      <c r="N203" s="90"/>
      <c r="O203" s="90"/>
      <c r="P203" s="90"/>
      <c r="Q203" s="79"/>
      <c r="S203" s="35" t="e">
        <f aca="false">+AVERAGE(Décaissements63[[#This Row],[Période 1]:[Période 12]])</f>
        <v>#DIV/0!</v>
      </c>
    </row>
    <row r="204" customFormat="false" ht="17.25" hidden="false" customHeight="true" outlineLevel="0" collapsed="false">
      <c r="B204" s="77" t="s">
        <v>235</v>
      </c>
      <c r="C204" s="104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6"/>
      <c r="R204" s="107" t="n">
        <f aca="false">SUM(Décaissements63[[#This Row],[Période 0]:[Période 12]])</f>
        <v>0</v>
      </c>
      <c r="S204" s="35" t="e">
        <f aca="false">+AVERAGE(Décaissements63[[#This Row],[Période 1]:[Période 12]])</f>
        <v>#DIV/0!</v>
      </c>
    </row>
    <row r="205" customFormat="false" ht="17.25" hidden="false" customHeight="true" outlineLevel="0" collapsed="false">
      <c r="B205" s="114" t="s">
        <v>236</v>
      </c>
      <c r="C205" s="89"/>
      <c r="D205" s="87"/>
      <c r="E205" s="87"/>
      <c r="F205" s="87"/>
      <c r="G205" s="63"/>
      <c r="H205" s="87"/>
      <c r="I205" s="90"/>
      <c r="J205" s="87"/>
      <c r="K205" s="87"/>
      <c r="L205" s="87"/>
      <c r="M205" s="87"/>
      <c r="N205" s="87"/>
      <c r="O205" s="87"/>
      <c r="P205" s="87"/>
      <c r="Q205" s="91"/>
      <c r="R205" s="61" t="n">
        <f aca="false">SUM(Décaissements63[[#This Row],[Période 0]:[Période 12]])</f>
        <v>0</v>
      </c>
      <c r="S205" s="35" t="e">
        <f aca="false">+AVERAGE(Décaissements63[[#This Row],[Période 1]:[Période 12]])</f>
        <v>#DIV/0!</v>
      </c>
    </row>
    <row r="206" customFormat="false" ht="17.25" hidden="false" customHeight="true" outlineLevel="0" collapsed="false">
      <c r="B206" s="115" t="s">
        <v>38</v>
      </c>
      <c r="C206" s="68"/>
      <c r="D206" s="67" t="n">
        <f aca="false">SUBTOTAL(109,Décaissements63[Période 0])</f>
        <v>0</v>
      </c>
      <c r="E206" s="67" t="n">
        <f aca="false">SUBTOTAL(109,Décaissements63[Période 1])</f>
        <v>249158.42</v>
      </c>
      <c r="F206" s="67" t="n">
        <f aca="false">SUBTOTAL(109,Décaissements63[Période 2])</f>
        <v>237367.37</v>
      </c>
      <c r="G206" s="67" t="n">
        <f aca="false">SUBTOTAL(109,Décaissements63[Période 3])</f>
        <v>463161.4</v>
      </c>
      <c r="H206" s="67" t="n">
        <f aca="false">SUBTOTAL(109,Décaissements63[Période 4])</f>
        <v>191177.52</v>
      </c>
      <c r="I206" s="116" t="n">
        <f aca="false">SUBTOTAL(109,Décaissements63[Période 5])</f>
        <v>224233.33</v>
      </c>
      <c r="J206" s="67" t="n">
        <f aca="false">SUBTOTAL(109,Décaissements63[Période 6])</f>
        <v>337649.45</v>
      </c>
      <c r="K206" s="67" t="n">
        <f aca="false">SUBTOTAL(109,Décaissements63[Période 7])</f>
        <v>0</v>
      </c>
      <c r="L206" s="67" t="n">
        <f aca="false">SUBTOTAL(109,Décaissements63[Période 8])</f>
        <v>0</v>
      </c>
      <c r="M206" s="67" t="n">
        <f aca="false">SUBTOTAL(109,Décaissements63[Période 9])</f>
        <v>0</v>
      </c>
      <c r="N206" s="67" t="n">
        <f aca="false">SUBTOTAL(109,Décaissements63[Période 10])</f>
        <v>0</v>
      </c>
      <c r="O206" s="67" t="n">
        <f aca="false">SUBTOTAL(109,Décaissements63[Période 11])</f>
        <v>0</v>
      </c>
      <c r="P206" s="67" t="n">
        <f aca="false">SUBTOTAL(109,Décaissements63[Période 12])</f>
        <v>0</v>
      </c>
      <c r="Q206" s="68"/>
      <c r="R206" s="67" t="n">
        <f aca="false">SUBTOTAL(109,Décaissements63[Total])</f>
        <v>1309047.11</v>
      </c>
      <c r="S206" s="67"/>
      <c r="T206" s="67"/>
    </row>
    <row r="207" customFormat="false" ht="17.25" hidden="false" customHeight="true" outlineLevel="0" collapsed="false"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</row>
    <row r="208" customFormat="false" ht="17.25" hidden="false" customHeight="true" outlineLevel="0" collapsed="false">
      <c r="B208" s="118" t="s">
        <v>237</v>
      </c>
      <c r="C208" s="70"/>
      <c r="Q208" s="60"/>
    </row>
    <row r="210" customFormat="false" ht="17.25" hidden="false" customHeight="true" outlineLevel="0" collapsed="false">
      <c r="B210" s="62"/>
      <c r="C210" s="60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60"/>
    </row>
    <row r="211" customFormat="false" ht="17.25" hidden="false" customHeight="true" outlineLevel="0" collapsed="false">
      <c r="B211" s="43" t="s">
        <v>38</v>
      </c>
      <c r="C211" s="60"/>
      <c r="D211" s="35" t="n">
        <f aca="false">SUBTOTAL(109,Décaissements274[Période 0])</f>
        <v>0</v>
      </c>
      <c r="E211" s="35" t="n">
        <f aca="false">SUBTOTAL(109,Décaissements274[Période 1])</f>
        <v>0</v>
      </c>
      <c r="F211" s="35" t="n">
        <f aca="false">SUBTOTAL(109,Décaissements274[Période 2])</f>
        <v>0</v>
      </c>
      <c r="G211" s="35" t="n">
        <f aca="false">SUBTOTAL(109,Décaissements274[Période 3])</f>
        <v>0</v>
      </c>
      <c r="H211" s="35" t="n">
        <f aca="false">SUBTOTAL(109,Décaissements274[Période 4])</f>
        <v>0</v>
      </c>
      <c r="I211" s="35" t="n">
        <f aca="false">SUBTOTAL(109,Décaissements274[Période 5])</f>
        <v>0</v>
      </c>
      <c r="J211" s="35" t="n">
        <f aca="false">SUBTOTAL(109,Décaissements274[Période 6])</f>
        <v>0</v>
      </c>
      <c r="K211" s="35" t="n">
        <f aca="false">SUBTOTAL(109,Décaissements274[Période 7])</f>
        <v>0</v>
      </c>
      <c r="L211" s="35" t="n">
        <f aca="false">SUBTOTAL(109,Décaissements274[Période 8])</f>
        <v>0</v>
      </c>
      <c r="M211" s="35" t="n">
        <f aca="false">SUBTOTAL(109,Décaissements274[Période 9])</f>
        <v>0</v>
      </c>
      <c r="N211" s="35" t="n">
        <f aca="false">SUBTOTAL(109,Décaissements274[Période 10])</f>
        <v>0</v>
      </c>
      <c r="O211" s="35" t="n">
        <f aca="false">SUBTOTAL(109,Décaissements274[Période 11])</f>
        <v>0</v>
      </c>
      <c r="P211" s="35" t="n">
        <f aca="false">SUBTOTAL(109,Décaissements274[Période 12])</f>
        <v>0</v>
      </c>
      <c r="Q211" s="60"/>
      <c r="R211" s="35" t="n">
        <f aca="false">SUBTOTAL(109,Décaissements274[Total])</f>
        <v>0</v>
      </c>
      <c r="S211" s="103"/>
    </row>
    <row r="212" customFormat="false" ht="17.25" hidden="false" customHeight="true" outlineLevel="0" collapsed="false">
      <c r="B212" s="69" t="s">
        <v>238</v>
      </c>
      <c r="C212" s="70"/>
      <c r="D212" s="73" t="n">
        <f aca="false">SUM(Décaissements63[Période 0],Décaissements274[Période 0])</f>
        <v>0</v>
      </c>
      <c r="E212" s="73" t="n">
        <f aca="false">SUM(Décaissements63[Période 1],Décaissements274[Période 1])</f>
        <v>249158.42</v>
      </c>
      <c r="F212" s="73" t="n">
        <f aca="false">SUM(Décaissements63[Période 2],Décaissements274[Période 2])</f>
        <v>237367.37</v>
      </c>
      <c r="G212" s="73" t="n">
        <f aca="false">SUM(Décaissements63[Période 3],Décaissements274[Période 3])</f>
        <v>463161.4</v>
      </c>
      <c r="H212" s="73" t="n">
        <f aca="false">SUM(Décaissements63[Période 4],Décaissements274[Période 4])</f>
        <v>191177.52</v>
      </c>
      <c r="I212" s="73" t="n">
        <f aca="false">SUM(Décaissements63[Période 5],Décaissements274[Période 5])</f>
        <v>224233.33</v>
      </c>
      <c r="J212" s="73" t="n">
        <f aca="false">SUM(Décaissements63[Période 6],Décaissements274[Période 6])</f>
        <v>337649.45</v>
      </c>
      <c r="K212" s="73" t="n">
        <f aca="false">SUM(Décaissements63[Période 7],Décaissements274[Période 7])</f>
        <v>0</v>
      </c>
      <c r="L212" s="73" t="n">
        <f aca="false">SUM(Décaissements63[Période 8],Décaissements274[Période 8])</f>
        <v>0</v>
      </c>
      <c r="M212" s="73" t="n">
        <f aca="false">SUM(Décaissements63[Période 9],Décaissements274[Période 9])</f>
        <v>0</v>
      </c>
      <c r="N212" s="73" t="n">
        <f aca="false">SUM(Décaissements63[Période 10],Décaissements274[Période 10])</f>
        <v>0</v>
      </c>
      <c r="O212" s="73" t="n">
        <f aca="false">SUM(Décaissements63[Période 11],Décaissements274[Période 11])</f>
        <v>0</v>
      </c>
      <c r="P212" s="73" t="n">
        <f aca="false">SUM(Décaissements63[Période 12],Décaissements274[Période 12])</f>
        <v>0</v>
      </c>
      <c r="Q212" s="70"/>
      <c r="R212" s="73" t="n">
        <f aca="false">SUM(Décaissements63[Total],Décaissements274[Total])</f>
        <v>1309047.11</v>
      </c>
      <c r="S212" s="119"/>
    </row>
    <row r="213" customFormat="false" ht="17.25" hidden="false" customHeight="true" outlineLevel="0" collapsed="false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</row>
    <row r="214" customFormat="false" ht="17.25" hidden="false" customHeight="true" outlineLevel="0" collapsed="false">
      <c r="B214" s="69" t="s">
        <v>239</v>
      </c>
      <c r="C214" s="70"/>
      <c r="D214" s="73" t="n">
        <f aca="false">D13-D212</f>
        <v>102548.87</v>
      </c>
      <c r="E214" s="73" t="n">
        <f aca="false">E13-E212</f>
        <v>6402.19</v>
      </c>
      <c r="F214" s="73" t="n">
        <f aca="false">F13-F212</f>
        <v>29803.49</v>
      </c>
      <c r="G214" s="73" t="n">
        <f aca="false">G13-G212</f>
        <v>21685.09</v>
      </c>
      <c r="H214" s="73" t="n">
        <f aca="false">H13-H212</f>
        <v>97823.1400000001</v>
      </c>
      <c r="I214" s="73" t="n">
        <f aca="false">I13-I212</f>
        <v>15322.9900000001</v>
      </c>
      <c r="J214" s="73" t="n">
        <f aca="false">J13-J212</f>
        <v>60697.1300000001</v>
      </c>
      <c r="K214" s="73" t="n">
        <f aca="false">K13-K212</f>
        <v>60697.1300000001</v>
      </c>
      <c r="L214" s="73" t="n">
        <f aca="false">L13-L212</f>
        <v>60697.1300000001</v>
      </c>
      <c r="M214" s="73" t="n">
        <f aca="false">M13-M212</f>
        <v>60697.1300000001</v>
      </c>
      <c r="N214" s="73" t="n">
        <f aca="false">N13-N212</f>
        <v>60697.1300000001</v>
      </c>
      <c r="O214" s="73" t="n">
        <f aca="false">O13-O212</f>
        <v>60697.1300000001</v>
      </c>
      <c r="P214" s="73" t="n">
        <f aca="false">P13-P212</f>
        <v>60697.1300000001</v>
      </c>
      <c r="Q214" s="70"/>
      <c r="R214" s="73" t="n">
        <f aca="false">R13-R212</f>
        <v>499534.03</v>
      </c>
      <c r="S214" s="119"/>
    </row>
    <row r="218" customFormat="false" ht="17.25" hidden="false" customHeight="true" outlineLevel="0" collapsed="false">
      <c r="J218" s="120"/>
    </row>
  </sheetData>
  <mergeCells count="3">
    <mergeCell ref="B14:S14"/>
    <mergeCell ref="B207:S207"/>
    <mergeCell ref="B213:S213"/>
  </mergeCells>
  <conditionalFormatting sqref="E4:P4">
    <cfRule type="expression" priority="2" aboveAverage="0" equalAverage="0" bottom="0" percent="0" rank="0" text="" dxfId="34">
      <formula>E4&lt;0</formula>
    </cfRule>
  </conditionalFormatting>
  <conditionalFormatting sqref="E214:P214">
    <cfRule type="expression" priority="3" aboveAverage="0" equalAverage="0" bottom="0" percent="0" rank="0" text="" dxfId="35">
      <formula>E214&lt;0</formula>
    </cfRule>
  </conditionalFormatting>
  <conditionalFormatting sqref="E13:P13">
    <cfRule type="expression" priority="4" aboveAverage="0" equalAverage="0" bottom="0" percent="0" rank="0" text="" dxfId="36">
      <formula>E13&lt;0</formula>
    </cfRule>
  </conditionalFormatting>
  <conditionalFormatting sqref="E6:P6">
    <cfRule type="expression" priority="5" aboveAverage="0" equalAverage="0" bottom="0" percent="0" rank="0" text="" dxfId="37">
      <formula>E6&lt;0</formula>
    </cfRule>
  </conditionalFormatting>
  <conditionalFormatting sqref="E5:P5">
    <cfRule type="expression" priority="6" aboveAverage="0" equalAverage="0" bottom="0" percent="0" rank="0" text="" dxfId="38">
      <formula>E5&lt;0</formula>
    </cfRule>
  </conditionalFormatting>
  <printOptions headings="false" gridLines="false" gridLinesSet="true" horizontalCentered="true" verticalCentered="true"/>
  <pageMargins left="0.5" right="0.5" top="0.5" bottom="0.5" header="0.3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&amp;CMGC PRESTIGE</oddHeader>
    <oddFooter/>
  </headerFooter>
  <legacyDrawing r:id="rId2"/>
  <tableParts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FEDAF9FD-DDBF-40FC-96EE-A8C672C9A313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E5:P5</xm:sqref>
        </x14:conditionalFormatting>
        <x14:conditionalFormatting xmlns:xm="http://schemas.microsoft.com/office/excel/2006/main">
          <x14:cfRule type="iconSet" priority="8" id="{36DCB498-32A7-49FF-975D-59EA90AD7070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E4:R4</xm:sqref>
        </x14:conditionalFormatting>
        <x14:conditionalFormatting xmlns:xm="http://schemas.microsoft.com/office/excel/2006/main">
          <x14:cfRule type="iconSet" priority="9" id="{915A6CA0-49E0-49B1-94E6-8DE0DDC257C1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0" id="{E3278581-B626-4190-AB8A-222DC1A6BD57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D214:P214 R214</xm:sqref>
        </x14:conditionalFormatting>
        <x14:conditionalFormatting xmlns:xm="http://schemas.microsoft.com/office/excel/2006/main">
          <x14:cfRule type="iconSet" priority="11" id="{D81272C6-D5EC-48B7-8798-A270F0675D92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 Q5:R5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J9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J38" activeCellId="0" sqref="J38"/>
    </sheetView>
  </sheetViews>
  <sheetFormatPr defaultColWidth="9.12109375" defaultRowHeight="21" zeroHeight="false" outlineLevelRow="0" outlineLevelCol="0"/>
  <cols>
    <col collapsed="false" customWidth="true" hidden="false" outlineLevel="0" max="1" min="1" style="121" width="17.86"/>
    <col collapsed="false" customWidth="true" hidden="false" outlineLevel="0" max="2" min="2" style="122" width="32.85"/>
    <col collapsed="false" customWidth="true" hidden="false" outlineLevel="0" max="3" min="3" style="123" width="29.99"/>
    <col collapsed="false" customWidth="true" hidden="false" outlineLevel="0" max="4" min="4" style="6" width="29.99"/>
    <col collapsed="false" customWidth="true" hidden="false" outlineLevel="0" max="5" min="5" style="123" width="47"/>
    <col collapsed="false" customWidth="true" hidden="false" outlineLevel="0" max="7" min="6" style="124" width="22.14"/>
    <col collapsed="false" customWidth="true" hidden="false" outlineLevel="0" max="8" min="8" style="6" width="11.85"/>
    <col collapsed="false" customWidth="false" hidden="false" outlineLevel="0" max="9" min="9" style="6" width="9.13"/>
    <col collapsed="false" customWidth="true" hidden="false" outlineLevel="0" max="10" min="10" style="6" width="13.14"/>
    <col collapsed="false" customWidth="false" hidden="false" outlineLevel="0" max="1024" min="11" style="6" width="9.13"/>
  </cols>
  <sheetData>
    <row r="1" s="10" customFormat="true" ht="24" hidden="false" customHeight="true" outlineLevel="0" collapsed="false">
      <c r="A1" s="125" t="s">
        <v>240</v>
      </c>
      <c r="B1" s="125" t="s">
        <v>241</v>
      </c>
      <c r="C1" s="125" t="s">
        <v>242</v>
      </c>
      <c r="D1" s="125" t="s">
        <v>243</v>
      </c>
      <c r="E1" s="125" t="s">
        <v>244</v>
      </c>
      <c r="F1" s="126" t="s">
        <v>245</v>
      </c>
      <c r="G1" s="126" t="s">
        <v>246</v>
      </c>
      <c r="H1" s="127" t="s">
        <v>247</v>
      </c>
    </row>
    <row r="2" customFormat="false" ht="18.6" hidden="false" customHeight="true" outlineLevel="0" collapsed="false">
      <c r="A2" s="128" t="s">
        <v>248</v>
      </c>
      <c r="B2" s="129" t="s">
        <v>249</v>
      </c>
      <c r="C2" s="130" t="s">
        <v>250</v>
      </c>
      <c r="D2" s="131" t="n">
        <v>20.88</v>
      </c>
      <c r="E2" s="132"/>
      <c r="F2" s="133" t="n">
        <v>44570</v>
      </c>
      <c r="G2" s="133"/>
      <c r="H2" s="134"/>
    </row>
    <row r="3" customFormat="false" ht="18.6" hidden="false" customHeight="true" outlineLevel="0" collapsed="false">
      <c r="A3" s="128"/>
      <c r="B3" s="135" t="s">
        <v>251</v>
      </c>
      <c r="C3" s="136" t="s">
        <v>252</v>
      </c>
      <c r="D3" s="137" t="n">
        <v>2034.65</v>
      </c>
      <c r="E3" s="138" t="s">
        <v>253</v>
      </c>
      <c r="F3" s="139" t="n">
        <v>44571</v>
      </c>
      <c r="G3" s="139" t="n">
        <v>44576</v>
      </c>
      <c r="H3" s="140" t="s">
        <v>254</v>
      </c>
    </row>
    <row r="4" customFormat="false" ht="18.6" hidden="false" customHeight="true" outlineLevel="0" collapsed="false">
      <c r="A4" s="128"/>
      <c r="B4" s="135" t="s">
        <v>255</v>
      </c>
      <c r="C4" s="136" t="s">
        <v>256</v>
      </c>
      <c r="D4" s="137" t="n">
        <v>180.56</v>
      </c>
      <c r="E4" s="138"/>
      <c r="F4" s="139" t="n">
        <v>44574</v>
      </c>
      <c r="G4" s="139"/>
      <c r="H4" s="140"/>
    </row>
    <row r="5" customFormat="false" ht="18.6" hidden="false" customHeight="true" outlineLevel="0" collapsed="false">
      <c r="A5" s="128"/>
      <c r="B5" s="135" t="s">
        <v>147</v>
      </c>
      <c r="C5" s="136" t="s">
        <v>257</v>
      </c>
      <c r="D5" s="137" t="n">
        <v>6639.05</v>
      </c>
      <c r="E5" s="138" t="s">
        <v>258</v>
      </c>
      <c r="F5" s="139" t="n">
        <v>44576</v>
      </c>
      <c r="G5" s="139" t="n">
        <v>44575</v>
      </c>
      <c r="H5" s="140" t="s">
        <v>254</v>
      </c>
    </row>
    <row r="6" customFormat="false" ht="18.6" hidden="false" customHeight="true" outlineLevel="0" collapsed="false">
      <c r="A6" s="128"/>
      <c r="B6" s="135" t="s">
        <v>147</v>
      </c>
      <c r="C6" s="136" t="s">
        <v>259</v>
      </c>
      <c r="D6" s="137" t="n">
        <v>6594.44</v>
      </c>
      <c r="E6" s="138" t="s">
        <v>253</v>
      </c>
      <c r="F6" s="139" t="n">
        <v>44576</v>
      </c>
      <c r="G6" s="139" t="n">
        <v>44575</v>
      </c>
      <c r="H6" s="140" t="s">
        <v>254</v>
      </c>
    </row>
    <row r="7" customFormat="false" ht="18.6" hidden="false" customHeight="true" outlineLevel="0" collapsed="false">
      <c r="A7" s="128"/>
      <c r="B7" s="135" t="s">
        <v>147</v>
      </c>
      <c r="C7" s="136" t="s">
        <v>260</v>
      </c>
      <c r="D7" s="137" t="n">
        <v>6727.71</v>
      </c>
      <c r="E7" s="138" t="s">
        <v>258</v>
      </c>
      <c r="F7" s="139" t="n">
        <v>44576</v>
      </c>
      <c r="G7" s="139" t="n">
        <v>44575</v>
      </c>
      <c r="H7" s="140" t="s">
        <v>254</v>
      </c>
    </row>
    <row r="8" customFormat="false" ht="18.6" hidden="false" customHeight="true" outlineLevel="0" collapsed="false">
      <c r="A8" s="128"/>
      <c r="B8" s="135" t="s">
        <v>261</v>
      </c>
      <c r="C8" s="136" t="s">
        <v>262</v>
      </c>
      <c r="D8" s="141" t="n">
        <v>300</v>
      </c>
      <c r="E8" s="142" t="s">
        <v>263</v>
      </c>
      <c r="F8" s="143" t="n">
        <v>44592</v>
      </c>
      <c r="G8" s="139" t="n">
        <v>44592</v>
      </c>
      <c r="H8" s="140" t="s">
        <v>254</v>
      </c>
    </row>
    <row r="9" customFormat="false" ht="18.6" hidden="false" customHeight="true" outlineLevel="0" collapsed="false">
      <c r="A9" s="128"/>
      <c r="B9" s="135" t="s">
        <v>264</v>
      </c>
      <c r="C9" s="136" t="s">
        <v>265</v>
      </c>
      <c r="D9" s="137" t="n">
        <v>438.37</v>
      </c>
      <c r="E9" s="138" t="s">
        <v>266</v>
      </c>
      <c r="F9" s="139" t="n">
        <v>44592</v>
      </c>
      <c r="G9" s="139"/>
      <c r="H9" s="140"/>
    </row>
    <row r="10" customFormat="false" ht="18.6" hidden="false" customHeight="true" outlineLevel="0" collapsed="false">
      <c r="A10" s="128"/>
      <c r="B10" s="135" t="s">
        <v>264</v>
      </c>
      <c r="C10" s="136" t="s">
        <v>267</v>
      </c>
      <c r="D10" s="137" t="n">
        <v>122.11</v>
      </c>
      <c r="E10" s="138" t="s">
        <v>268</v>
      </c>
      <c r="F10" s="139" t="n">
        <v>44592</v>
      </c>
      <c r="G10" s="139"/>
      <c r="H10" s="140"/>
    </row>
    <row r="11" customFormat="false" ht="18.6" hidden="false" customHeight="true" outlineLevel="0" collapsed="false">
      <c r="A11" s="128"/>
      <c r="B11" s="135" t="s">
        <v>264</v>
      </c>
      <c r="C11" s="136" t="s">
        <v>269</v>
      </c>
      <c r="D11" s="137" t="n">
        <v>14190.11</v>
      </c>
      <c r="E11" s="138" t="s">
        <v>270</v>
      </c>
      <c r="F11" s="139" t="n">
        <v>44592</v>
      </c>
      <c r="G11" s="139"/>
      <c r="H11" s="140"/>
    </row>
    <row r="12" customFormat="false" ht="18.6" hidden="false" customHeight="true" outlineLevel="0" collapsed="false">
      <c r="A12" s="128"/>
      <c r="B12" s="135" t="s">
        <v>271</v>
      </c>
      <c r="C12" s="136" t="s">
        <v>272</v>
      </c>
      <c r="D12" s="137" t="n">
        <v>134.11</v>
      </c>
      <c r="E12" s="138" t="s">
        <v>253</v>
      </c>
      <c r="F12" s="139" t="n">
        <v>44592</v>
      </c>
      <c r="G12" s="139"/>
      <c r="H12" s="140"/>
    </row>
    <row r="13" customFormat="false" ht="18.6" hidden="false" customHeight="true" outlineLevel="0" collapsed="false">
      <c r="A13" s="128"/>
      <c r="B13" s="135" t="s">
        <v>273</v>
      </c>
      <c r="C13" s="136" t="s">
        <v>274</v>
      </c>
      <c r="D13" s="137" t="n">
        <v>1665.67</v>
      </c>
      <c r="E13" s="138"/>
      <c r="F13" s="139" t="n">
        <v>44592</v>
      </c>
      <c r="G13" s="139" t="n">
        <v>44592</v>
      </c>
      <c r="H13" s="140" t="s">
        <v>254</v>
      </c>
    </row>
    <row r="14" customFormat="false" ht="18.6" hidden="false" customHeight="true" outlineLevel="0" collapsed="false">
      <c r="A14" s="128"/>
      <c r="B14" s="135" t="s">
        <v>275</v>
      </c>
      <c r="C14" s="136" t="s">
        <v>276</v>
      </c>
      <c r="D14" s="137" t="n">
        <v>22364.4</v>
      </c>
      <c r="E14" s="138" t="s">
        <v>253</v>
      </c>
      <c r="F14" s="139" t="n">
        <v>44592</v>
      </c>
      <c r="G14" s="139" t="n">
        <v>44592</v>
      </c>
      <c r="H14" s="140" t="s">
        <v>254</v>
      </c>
    </row>
    <row r="15" customFormat="false" ht="18.6" hidden="false" customHeight="true" outlineLevel="0" collapsed="false">
      <c r="A15" s="128"/>
      <c r="B15" s="135" t="s">
        <v>275</v>
      </c>
      <c r="C15" s="136" t="s">
        <v>277</v>
      </c>
      <c r="D15" s="137" t="n">
        <v>4814.58</v>
      </c>
      <c r="E15" s="138" t="s">
        <v>278</v>
      </c>
      <c r="F15" s="139" t="n">
        <v>44592</v>
      </c>
      <c r="G15" s="139" t="n">
        <v>44592</v>
      </c>
      <c r="H15" s="140"/>
    </row>
    <row r="16" customFormat="false" ht="18.6" hidden="false" customHeight="true" outlineLevel="0" collapsed="false">
      <c r="A16" s="128"/>
      <c r="B16" s="135" t="s">
        <v>275</v>
      </c>
      <c r="C16" s="136" t="s">
        <v>279</v>
      </c>
      <c r="D16" s="137" t="n">
        <v>3173.34</v>
      </c>
      <c r="E16" s="138" t="s">
        <v>280</v>
      </c>
      <c r="F16" s="139" t="n">
        <v>44592</v>
      </c>
      <c r="G16" s="139" t="n">
        <v>44592</v>
      </c>
      <c r="H16" s="140" t="s">
        <v>254</v>
      </c>
    </row>
    <row r="17" customFormat="false" ht="18.6" hidden="false" customHeight="true" outlineLevel="0" collapsed="false">
      <c r="A17" s="128"/>
      <c r="B17" s="135" t="s">
        <v>275</v>
      </c>
      <c r="C17" s="136" t="s">
        <v>281</v>
      </c>
      <c r="D17" s="137" t="n">
        <v>579.72</v>
      </c>
      <c r="E17" s="138" t="s">
        <v>280</v>
      </c>
      <c r="F17" s="139" t="n">
        <v>44592</v>
      </c>
      <c r="G17" s="139" t="n">
        <v>44592</v>
      </c>
      <c r="H17" s="140" t="s">
        <v>254</v>
      </c>
    </row>
    <row r="18" customFormat="false" ht="18.6" hidden="false" customHeight="true" outlineLevel="0" collapsed="false">
      <c r="A18" s="128"/>
      <c r="B18" s="135" t="s">
        <v>275</v>
      </c>
      <c r="C18" s="136" t="s">
        <v>282</v>
      </c>
      <c r="D18" s="137" t="n">
        <v>3456.06</v>
      </c>
      <c r="E18" s="138" t="s">
        <v>283</v>
      </c>
      <c r="F18" s="139" t="n">
        <v>44592</v>
      </c>
      <c r="G18" s="139" t="n">
        <v>44592</v>
      </c>
      <c r="H18" s="140" t="s">
        <v>254</v>
      </c>
    </row>
    <row r="19" customFormat="false" ht="18.6" hidden="false" customHeight="true" outlineLevel="0" collapsed="false">
      <c r="A19" s="128"/>
      <c r="B19" s="135" t="s">
        <v>284</v>
      </c>
      <c r="C19" s="136" t="s">
        <v>285</v>
      </c>
      <c r="D19" s="137" t="n">
        <v>12007.62</v>
      </c>
      <c r="E19" s="138" t="s">
        <v>286</v>
      </c>
      <c r="F19" s="139" t="n">
        <v>44592</v>
      </c>
      <c r="G19" s="139" t="n">
        <v>44592</v>
      </c>
      <c r="H19" s="140" t="s">
        <v>254</v>
      </c>
    </row>
    <row r="20" customFormat="false" ht="18.6" hidden="false" customHeight="true" outlineLevel="0" collapsed="false">
      <c r="A20" s="128"/>
      <c r="B20" s="135" t="s">
        <v>287</v>
      </c>
      <c r="C20" s="136" t="s">
        <v>288</v>
      </c>
      <c r="D20" s="137" t="n">
        <v>1017.62</v>
      </c>
      <c r="E20" s="138"/>
      <c r="F20" s="139" t="n">
        <v>44592</v>
      </c>
      <c r="G20" s="139" t="n">
        <v>44592</v>
      </c>
      <c r="H20" s="140" t="s">
        <v>254</v>
      </c>
    </row>
    <row r="21" customFormat="false" ht="18.6" hidden="false" customHeight="true" outlineLevel="0" collapsed="false">
      <c r="A21" s="128"/>
      <c r="B21" s="135" t="s">
        <v>289</v>
      </c>
      <c r="C21" s="136" t="s">
        <v>290</v>
      </c>
      <c r="D21" s="137" t="n">
        <v>3071.65</v>
      </c>
      <c r="E21" s="138"/>
      <c r="F21" s="139" t="n">
        <v>44592</v>
      </c>
      <c r="G21" s="139" t="n">
        <v>44592</v>
      </c>
      <c r="H21" s="140" t="s">
        <v>254</v>
      </c>
    </row>
    <row r="22" customFormat="false" ht="18.6" hidden="false" customHeight="true" outlineLevel="0" collapsed="false">
      <c r="A22" s="128"/>
      <c r="B22" s="135" t="s">
        <v>291</v>
      </c>
      <c r="C22" s="136" t="s">
        <v>292</v>
      </c>
      <c r="D22" s="137" t="n">
        <v>367.4</v>
      </c>
      <c r="E22" s="138"/>
      <c r="F22" s="139" t="n">
        <v>44592</v>
      </c>
      <c r="G22" s="139" t="n">
        <v>44592</v>
      </c>
      <c r="H22" s="140" t="s">
        <v>254</v>
      </c>
    </row>
    <row r="23" customFormat="false" ht="19.5" hidden="false" customHeight="true" outlineLevel="0" collapsed="false">
      <c r="A23" s="128"/>
      <c r="B23" s="135" t="s">
        <v>291</v>
      </c>
      <c r="C23" s="136" t="s">
        <v>293</v>
      </c>
      <c r="D23" s="137" t="n">
        <v>515.42</v>
      </c>
      <c r="E23" s="138" t="s">
        <v>294</v>
      </c>
      <c r="F23" s="139" t="n">
        <v>44592</v>
      </c>
      <c r="G23" s="139" t="n">
        <v>44592</v>
      </c>
      <c r="H23" s="140" t="s">
        <v>254</v>
      </c>
    </row>
    <row r="24" customFormat="false" ht="18.6" hidden="false" customHeight="true" outlineLevel="0" collapsed="false">
      <c r="A24" s="128"/>
      <c r="B24" s="135" t="s">
        <v>291</v>
      </c>
      <c r="C24" s="136" t="s">
        <v>295</v>
      </c>
      <c r="D24" s="137" t="n">
        <v>10009.7</v>
      </c>
      <c r="E24" s="138" t="s">
        <v>253</v>
      </c>
      <c r="F24" s="139" t="n">
        <v>44592</v>
      </c>
      <c r="G24" s="139" t="n">
        <v>44592</v>
      </c>
      <c r="H24" s="140" t="s">
        <v>254</v>
      </c>
    </row>
    <row r="25" customFormat="false" ht="18.6" hidden="false" customHeight="true" outlineLevel="0" collapsed="false">
      <c r="A25" s="128"/>
      <c r="B25" s="135" t="s">
        <v>291</v>
      </c>
      <c r="C25" s="136" t="s">
        <v>296</v>
      </c>
      <c r="D25" s="137" t="n">
        <v>453.8</v>
      </c>
      <c r="E25" s="138"/>
      <c r="F25" s="139" t="n">
        <v>44592</v>
      </c>
      <c r="G25" s="139" t="n">
        <v>44592</v>
      </c>
      <c r="H25" s="140" t="s">
        <v>254</v>
      </c>
    </row>
    <row r="26" customFormat="false" ht="18.6" hidden="false" customHeight="true" outlineLevel="0" collapsed="false">
      <c r="A26" s="128"/>
      <c r="B26" s="135" t="s">
        <v>297</v>
      </c>
      <c r="C26" s="136" t="s">
        <v>298</v>
      </c>
      <c r="D26" s="137" t="n">
        <v>796.49</v>
      </c>
      <c r="E26" s="138" t="s">
        <v>258</v>
      </c>
      <c r="F26" s="139" t="n">
        <v>44592</v>
      </c>
      <c r="G26" s="139" t="n">
        <v>44592</v>
      </c>
      <c r="H26" s="140" t="s">
        <v>254</v>
      </c>
    </row>
    <row r="27" customFormat="false" ht="18.6" hidden="false" customHeight="true" outlineLevel="0" collapsed="false">
      <c r="A27" s="128"/>
      <c r="B27" s="135"/>
      <c r="C27" s="136"/>
      <c r="D27" s="137"/>
      <c r="E27" s="138"/>
      <c r="F27" s="139"/>
      <c r="G27" s="139"/>
      <c r="H27" s="140"/>
    </row>
    <row r="28" customFormat="false" ht="18.6" hidden="false" customHeight="true" outlineLevel="0" collapsed="false">
      <c r="A28" s="128"/>
      <c r="B28" s="135"/>
      <c r="C28" s="136"/>
      <c r="D28" s="137"/>
      <c r="E28" s="138"/>
      <c r="F28" s="139"/>
      <c r="G28" s="139"/>
      <c r="H28" s="140"/>
    </row>
    <row r="29" customFormat="false" ht="18.6" hidden="false" customHeight="true" outlineLevel="0" collapsed="false">
      <c r="A29" s="128"/>
      <c r="B29" s="135"/>
      <c r="C29" s="136"/>
      <c r="D29" s="137"/>
      <c r="E29" s="138"/>
      <c r="F29" s="139"/>
      <c r="G29" s="139"/>
      <c r="H29" s="140"/>
    </row>
    <row r="30" customFormat="false" ht="18.6" hidden="false" customHeight="true" outlineLevel="0" collapsed="false">
      <c r="A30" s="128"/>
      <c r="B30" s="144" t="s">
        <v>35</v>
      </c>
      <c r="C30" s="145"/>
      <c r="D30" s="146" t="n">
        <f aca="false">SUM(D2:D29)</f>
        <v>101675.46</v>
      </c>
      <c r="E30" s="147"/>
      <c r="F30" s="148"/>
      <c r="G30" s="148"/>
      <c r="H30" s="149"/>
    </row>
    <row r="31" customFormat="false" ht="18.6" hidden="false" customHeight="true" outlineLevel="0" collapsed="false">
      <c r="A31" s="150" t="s">
        <v>299</v>
      </c>
      <c r="B31" s="135" t="s">
        <v>300</v>
      </c>
      <c r="C31" s="136" t="s">
        <v>301</v>
      </c>
      <c r="D31" s="137" t="n">
        <v>99.97</v>
      </c>
      <c r="E31" s="138" t="s">
        <v>302</v>
      </c>
      <c r="F31" s="139" t="n">
        <v>44566</v>
      </c>
      <c r="G31" s="139" t="n">
        <v>44566</v>
      </c>
      <c r="H31" s="135" t="s">
        <v>254</v>
      </c>
    </row>
    <row r="32" customFormat="false" ht="18.6" hidden="false" customHeight="true" outlineLevel="0" collapsed="false">
      <c r="A32" s="150"/>
      <c r="B32" s="135" t="s">
        <v>300</v>
      </c>
      <c r="C32" s="136" t="s">
        <v>303</v>
      </c>
      <c r="D32" s="137" t="n">
        <v>127.11</v>
      </c>
      <c r="E32" s="138" t="s">
        <v>302</v>
      </c>
      <c r="F32" s="139" t="n">
        <v>44566</v>
      </c>
      <c r="G32" s="139" t="n">
        <v>44566</v>
      </c>
      <c r="H32" s="135" t="s">
        <v>254</v>
      </c>
    </row>
    <row r="33" customFormat="false" ht="18.6" hidden="false" customHeight="true" outlineLevel="0" collapsed="false">
      <c r="A33" s="150"/>
      <c r="B33" s="135" t="s">
        <v>300</v>
      </c>
      <c r="C33" s="136" t="s">
        <v>304</v>
      </c>
      <c r="D33" s="137" t="n">
        <v>100.82</v>
      </c>
      <c r="E33" s="138"/>
      <c r="F33" s="139" t="n">
        <v>44566</v>
      </c>
      <c r="G33" s="139" t="n">
        <v>44566</v>
      </c>
      <c r="H33" s="135" t="s">
        <v>254</v>
      </c>
    </row>
    <row r="34" customFormat="false" ht="18.6" hidden="false" customHeight="true" outlineLevel="0" collapsed="false">
      <c r="A34" s="150"/>
      <c r="B34" s="135" t="s">
        <v>300</v>
      </c>
      <c r="C34" s="136" t="s">
        <v>305</v>
      </c>
      <c r="D34" s="137" t="n">
        <v>104.12</v>
      </c>
      <c r="E34" s="138"/>
      <c r="F34" s="139" t="n">
        <v>44566</v>
      </c>
      <c r="G34" s="139" t="n">
        <v>44566</v>
      </c>
      <c r="H34" s="135" t="s">
        <v>254</v>
      </c>
    </row>
    <row r="35" customFormat="false" ht="18.6" hidden="false" customHeight="true" outlineLevel="0" collapsed="false">
      <c r="A35" s="150"/>
      <c r="B35" s="135" t="s">
        <v>300</v>
      </c>
      <c r="C35" s="136" t="s">
        <v>306</v>
      </c>
      <c r="D35" s="137" t="n">
        <v>71.32</v>
      </c>
      <c r="E35" s="138"/>
      <c r="F35" s="139" t="n">
        <v>44566</v>
      </c>
      <c r="G35" s="139" t="n">
        <v>44566</v>
      </c>
      <c r="H35" s="135" t="s">
        <v>254</v>
      </c>
    </row>
    <row r="36" customFormat="false" ht="18.6" hidden="false" customHeight="true" outlineLevel="0" collapsed="false">
      <c r="A36" s="150"/>
      <c r="B36" s="135" t="s">
        <v>300</v>
      </c>
      <c r="C36" s="136" t="s">
        <v>307</v>
      </c>
      <c r="D36" s="137" t="n">
        <v>89.4</v>
      </c>
      <c r="E36" s="138"/>
      <c r="F36" s="139" t="n">
        <v>44566</v>
      </c>
      <c r="G36" s="139" t="n">
        <v>44566</v>
      </c>
      <c r="H36" s="135" t="s">
        <v>254</v>
      </c>
    </row>
    <row r="37" customFormat="false" ht="18.6" hidden="false" customHeight="true" outlineLevel="0" collapsed="false">
      <c r="A37" s="150"/>
      <c r="B37" s="135" t="s">
        <v>308</v>
      </c>
      <c r="C37" s="136" t="s">
        <v>309</v>
      </c>
      <c r="D37" s="137" t="n">
        <v>3203.09</v>
      </c>
      <c r="E37" s="138" t="s">
        <v>310</v>
      </c>
      <c r="F37" s="139" t="n">
        <v>44566</v>
      </c>
      <c r="G37" s="139" t="n">
        <v>44566</v>
      </c>
      <c r="H37" s="135" t="s">
        <v>254</v>
      </c>
    </row>
    <row r="38" customFormat="false" ht="18.6" hidden="false" customHeight="true" outlineLevel="0" collapsed="false">
      <c r="A38" s="150"/>
      <c r="B38" s="135" t="s">
        <v>311</v>
      </c>
      <c r="C38" s="136" t="s">
        <v>312</v>
      </c>
      <c r="D38" s="137" t="n">
        <v>268.67</v>
      </c>
      <c r="E38" s="138" t="s">
        <v>313</v>
      </c>
      <c r="F38" s="139" t="n">
        <v>44566</v>
      </c>
      <c r="G38" s="139" t="n">
        <v>44571</v>
      </c>
      <c r="H38" s="135" t="s">
        <v>254</v>
      </c>
    </row>
    <row r="39" customFormat="false" ht="18.6" hidden="false" customHeight="true" outlineLevel="0" collapsed="false">
      <c r="A39" s="150"/>
      <c r="B39" s="135" t="s">
        <v>314</v>
      </c>
      <c r="C39" s="136"/>
      <c r="D39" s="137" t="n">
        <v>50</v>
      </c>
      <c r="E39" s="138" t="s">
        <v>315</v>
      </c>
      <c r="F39" s="139" t="n">
        <v>44567</v>
      </c>
      <c r="G39" s="139" t="n">
        <v>44567</v>
      </c>
      <c r="H39" s="135" t="s">
        <v>254</v>
      </c>
    </row>
    <row r="40" customFormat="false" ht="18.6" hidden="false" customHeight="true" outlineLevel="0" collapsed="false">
      <c r="A40" s="150"/>
      <c r="B40" s="135" t="s">
        <v>316</v>
      </c>
      <c r="C40" s="136" t="s">
        <v>317</v>
      </c>
      <c r="D40" s="137" t="n">
        <f aca="false">15.95*2</f>
        <v>31.9</v>
      </c>
      <c r="E40" s="138" t="s">
        <v>318</v>
      </c>
      <c r="F40" s="139" t="n">
        <v>44568</v>
      </c>
      <c r="G40" s="139" t="n">
        <v>44568</v>
      </c>
      <c r="H40" s="135" t="s">
        <v>254</v>
      </c>
    </row>
    <row r="41" customFormat="false" ht="18.6" hidden="false" customHeight="true" outlineLevel="0" collapsed="false">
      <c r="A41" s="150"/>
      <c r="B41" s="135" t="s">
        <v>35</v>
      </c>
      <c r="C41" s="136" t="s">
        <v>319</v>
      </c>
      <c r="D41" s="137" t="n">
        <v>2014.85</v>
      </c>
      <c r="E41" s="138"/>
      <c r="F41" s="139" t="n">
        <v>44571</v>
      </c>
      <c r="G41" s="139" t="n">
        <v>44206</v>
      </c>
      <c r="H41" s="135" t="s">
        <v>254</v>
      </c>
    </row>
    <row r="42" customFormat="false" ht="18.6" hidden="false" customHeight="true" outlineLevel="0" collapsed="false">
      <c r="A42" s="150"/>
      <c r="B42" s="135" t="s">
        <v>300</v>
      </c>
      <c r="C42" s="136" t="s">
        <v>320</v>
      </c>
      <c r="D42" s="137" t="n">
        <v>15.24</v>
      </c>
      <c r="E42" s="138" t="s">
        <v>321</v>
      </c>
      <c r="F42" s="139" t="n">
        <v>44576</v>
      </c>
      <c r="G42" s="139" t="n">
        <v>44578</v>
      </c>
      <c r="H42" s="135" t="s">
        <v>254</v>
      </c>
      <c r="J42" s="151"/>
    </row>
    <row r="43" customFormat="false" ht="18.6" hidden="false" customHeight="true" outlineLevel="0" collapsed="false">
      <c r="A43" s="150"/>
      <c r="B43" s="152" t="s">
        <v>322</v>
      </c>
      <c r="C43" s="153"/>
      <c r="D43" s="154" t="n">
        <v>7851</v>
      </c>
      <c r="E43" s="155" t="s">
        <v>323</v>
      </c>
      <c r="F43" s="156" t="n">
        <v>44576</v>
      </c>
      <c r="G43" s="139" t="n">
        <v>44579</v>
      </c>
      <c r="H43" s="135" t="s">
        <v>254</v>
      </c>
      <c r="J43" s="157"/>
    </row>
    <row r="44" customFormat="false" ht="18.6" hidden="false" customHeight="true" outlineLevel="0" collapsed="false">
      <c r="A44" s="150"/>
      <c r="B44" s="135" t="s">
        <v>300</v>
      </c>
      <c r="C44" s="136" t="s">
        <v>324</v>
      </c>
      <c r="D44" s="158" t="n">
        <v>50.31</v>
      </c>
      <c r="E44" s="138"/>
      <c r="F44" s="139" t="n">
        <v>44578</v>
      </c>
      <c r="G44" s="139" t="n">
        <v>44578</v>
      </c>
      <c r="H44" s="135" t="s">
        <v>254</v>
      </c>
    </row>
    <row r="45" customFormat="false" ht="18.6" hidden="false" customHeight="true" outlineLevel="0" collapsed="false">
      <c r="A45" s="150"/>
      <c r="B45" s="135" t="s">
        <v>314</v>
      </c>
      <c r="C45" s="136"/>
      <c r="D45" s="137" t="n">
        <v>43</v>
      </c>
      <c r="E45" s="138"/>
      <c r="F45" s="139" t="n">
        <v>44581</v>
      </c>
      <c r="G45" s="139" t="n">
        <v>44578</v>
      </c>
      <c r="H45" s="135" t="s">
        <v>254</v>
      </c>
    </row>
    <row r="46" customFormat="false" ht="18.6" hidden="false" customHeight="true" outlineLevel="0" collapsed="false">
      <c r="A46" s="150"/>
      <c r="B46" s="135" t="s">
        <v>314</v>
      </c>
      <c r="C46" s="136"/>
      <c r="D46" s="137" t="n">
        <v>31</v>
      </c>
      <c r="E46" s="138"/>
      <c r="F46" s="139" t="n">
        <v>44581</v>
      </c>
      <c r="G46" s="139" t="n">
        <v>44578</v>
      </c>
      <c r="H46" s="135" t="s">
        <v>254</v>
      </c>
    </row>
    <row r="47" customFormat="false" ht="18.6" hidden="false" customHeight="true" outlineLevel="0" collapsed="false">
      <c r="A47" s="150"/>
      <c r="B47" s="135" t="s">
        <v>314</v>
      </c>
      <c r="C47" s="136"/>
      <c r="D47" s="137" t="n">
        <v>31</v>
      </c>
      <c r="E47" s="138"/>
      <c r="F47" s="139" t="n">
        <v>44581</v>
      </c>
      <c r="G47" s="139" t="n">
        <v>44578</v>
      </c>
      <c r="H47" s="135" t="s">
        <v>254</v>
      </c>
    </row>
    <row r="48" customFormat="false" ht="18.6" hidden="false" customHeight="true" outlineLevel="0" collapsed="false">
      <c r="A48" s="150"/>
      <c r="B48" s="135" t="s">
        <v>314</v>
      </c>
      <c r="C48" s="136" t="s">
        <v>325</v>
      </c>
      <c r="D48" s="137" t="n">
        <v>32</v>
      </c>
      <c r="E48" s="138" t="s">
        <v>326</v>
      </c>
      <c r="F48" s="139" t="n">
        <v>44586</v>
      </c>
      <c r="G48" s="139" t="n">
        <v>44586</v>
      </c>
      <c r="H48" s="135" t="s">
        <v>254</v>
      </c>
    </row>
    <row r="49" customFormat="false" ht="18.6" hidden="false" customHeight="true" outlineLevel="0" collapsed="false">
      <c r="A49" s="150"/>
      <c r="B49" s="152" t="s">
        <v>327</v>
      </c>
      <c r="C49" s="153" t="s">
        <v>328</v>
      </c>
      <c r="D49" s="154" t="n">
        <v>5199</v>
      </c>
      <c r="E49" s="155"/>
      <c r="F49" s="156" t="n">
        <v>44581</v>
      </c>
      <c r="G49" s="139" t="n">
        <v>44580</v>
      </c>
      <c r="H49" s="135" t="s">
        <v>254</v>
      </c>
    </row>
    <row r="50" customFormat="false" ht="18.6" hidden="false" customHeight="true" outlineLevel="0" collapsed="false">
      <c r="A50" s="150"/>
      <c r="B50" s="152" t="s">
        <v>329</v>
      </c>
      <c r="C50" s="153"/>
      <c r="D50" s="154" t="n">
        <v>1907.49</v>
      </c>
      <c r="E50" s="155"/>
      <c r="F50" s="156" t="n">
        <v>44581</v>
      </c>
      <c r="G50" s="139" t="n">
        <v>44586</v>
      </c>
      <c r="H50" s="135" t="s">
        <v>254</v>
      </c>
    </row>
    <row r="51" customFormat="false" ht="18.6" hidden="false" customHeight="true" outlineLevel="0" collapsed="false">
      <c r="A51" s="150"/>
      <c r="B51" s="135" t="s">
        <v>330</v>
      </c>
      <c r="C51" s="136" t="s">
        <v>331</v>
      </c>
      <c r="D51" s="137" t="n">
        <v>29.45</v>
      </c>
      <c r="E51" s="138" t="s">
        <v>332</v>
      </c>
      <c r="F51" s="139" t="n">
        <v>44581</v>
      </c>
      <c r="G51" s="139" t="n">
        <v>44581</v>
      </c>
      <c r="H51" s="135" t="s">
        <v>254</v>
      </c>
    </row>
    <row r="52" customFormat="false" ht="18.6" hidden="false" customHeight="true" outlineLevel="0" collapsed="false">
      <c r="A52" s="150"/>
      <c r="B52" s="135" t="s">
        <v>311</v>
      </c>
      <c r="C52" s="136" t="s">
        <v>333</v>
      </c>
      <c r="D52" s="137" t="n">
        <v>96.8</v>
      </c>
      <c r="E52" s="138" t="s">
        <v>334</v>
      </c>
      <c r="F52" s="139" t="n">
        <v>44586</v>
      </c>
      <c r="G52" s="139" t="n">
        <v>44221</v>
      </c>
      <c r="H52" s="135" t="s">
        <v>254</v>
      </c>
    </row>
    <row r="53" customFormat="false" ht="18.6" hidden="false" customHeight="true" outlineLevel="0" collapsed="false">
      <c r="A53" s="150"/>
      <c r="B53" s="135" t="s">
        <v>335</v>
      </c>
      <c r="C53" s="136" t="s">
        <v>336</v>
      </c>
      <c r="D53" s="137" t="n">
        <v>1128</v>
      </c>
      <c r="E53" s="138"/>
      <c r="F53" s="139" t="n">
        <v>44586</v>
      </c>
      <c r="G53" s="139" t="n">
        <v>44586</v>
      </c>
      <c r="H53" s="135" t="s">
        <v>254</v>
      </c>
    </row>
    <row r="54" customFormat="false" ht="18.6" hidden="false" customHeight="true" outlineLevel="0" collapsed="false">
      <c r="A54" s="150"/>
      <c r="B54" s="152" t="s">
        <v>337</v>
      </c>
      <c r="C54" s="153"/>
      <c r="D54" s="154" t="n">
        <v>1903.67</v>
      </c>
      <c r="E54" s="155"/>
      <c r="F54" s="156" t="n">
        <v>44586</v>
      </c>
      <c r="G54" s="139" t="n">
        <v>44586</v>
      </c>
      <c r="H54" s="135" t="s">
        <v>254</v>
      </c>
    </row>
    <row r="55" customFormat="false" ht="18.6" hidden="false" customHeight="true" outlineLevel="0" collapsed="false">
      <c r="A55" s="150"/>
      <c r="B55" s="135" t="s">
        <v>338</v>
      </c>
      <c r="C55" s="136" t="s">
        <v>339</v>
      </c>
      <c r="D55" s="137" t="n">
        <v>5283.09</v>
      </c>
      <c r="E55" s="138"/>
      <c r="F55" s="139" t="n">
        <v>44222</v>
      </c>
      <c r="G55" s="139" t="n">
        <v>44587</v>
      </c>
      <c r="H55" s="135" t="s">
        <v>254</v>
      </c>
    </row>
    <row r="56" customFormat="false" ht="18.6" hidden="false" customHeight="true" outlineLevel="0" collapsed="false">
      <c r="A56" s="150"/>
      <c r="B56" s="135" t="s">
        <v>35</v>
      </c>
      <c r="C56" s="136" t="s">
        <v>340</v>
      </c>
      <c r="D56" s="137" t="n">
        <v>1720.53</v>
      </c>
      <c r="E56" s="138"/>
      <c r="F56" s="139" t="n">
        <v>44586</v>
      </c>
      <c r="G56" s="139" t="n">
        <v>44586</v>
      </c>
      <c r="H56" s="135" t="s">
        <v>254</v>
      </c>
    </row>
    <row r="57" customFormat="false" ht="18.6" hidden="false" customHeight="true" outlineLevel="0" collapsed="false">
      <c r="A57" s="150"/>
      <c r="B57" s="135"/>
      <c r="C57" s="136"/>
      <c r="D57" s="137"/>
      <c r="E57" s="138"/>
      <c r="F57" s="139"/>
      <c r="G57" s="139"/>
      <c r="H57" s="135"/>
    </row>
    <row r="58" customFormat="false" ht="18.6" hidden="false" customHeight="true" outlineLevel="0" collapsed="false">
      <c r="A58" s="150"/>
      <c r="B58" s="159" t="s">
        <v>35</v>
      </c>
      <c r="C58" s="160"/>
      <c r="D58" s="161" t="n">
        <f aca="false">SUM(D31:D57)</f>
        <v>31482.83</v>
      </c>
      <c r="E58" s="162"/>
      <c r="F58" s="163"/>
      <c r="G58" s="163"/>
      <c r="H58" s="164"/>
    </row>
    <row r="59" customFormat="false" ht="18.6" hidden="false" customHeight="true" outlineLevel="0" collapsed="false">
      <c r="A59" s="165" t="s">
        <v>341</v>
      </c>
      <c r="B59" s="129" t="s">
        <v>342</v>
      </c>
      <c r="C59" s="130" t="s">
        <v>343</v>
      </c>
      <c r="D59" s="131" t="n">
        <v>1596</v>
      </c>
      <c r="E59" s="132" t="s">
        <v>258</v>
      </c>
      <c r="F59" s="133" t="n">
        <v>44211</v>
      </c>
      <c r="G59" s="139" t="n">
        <v>44596</v>
      </c>
      <c r="H59" s="140" t="s">
        <v>254</v>
      </c>
    </row>
    <row r="60" customFormat="false" ht="18.6" hidden="false" customHeight="true" outlineLevel="0" collapsed="false">
      <c r="A60" s="165"/>
      <c r="B60" s="135" t="s">
        <v>186</v>
      </c>
      <c r="C60" s="136" t="s">
        <v>344</v>
      </c>
      <c r="D60" s="137" t="n">
        <v>1524.08</v>
      </c>
      <c r="E60" s="138" t="s">
        <v>253</v>
      </c>
      <c r="F60" s="143" t="n">
        <v>44227</v>
      </c>
      <c r="G60" s="139" t="n">
        <v>44596</v>
      </c>
      <c r="H60" s="140" t="s">
        <v>254</v>
      </c>
    </row>
    <row r="61" customFormat="false" ht="18.6" hidden="false" customHeight="true" outlineLevel="0" collapsed="false">
      <c r="A61" s="165"/>
      <c r="B61" s="135" t="s">
        <v>188</v>
      </c>
      <c r="C61" s="136" t="s">
        <v>345</v>
      </c>
      <c r="D61" s="137" t="n">
        <v>2400</v>
      </c>
      <c r="E61" s="138" t="s">
        <v>280</v>
      </c>
      <c r="F61" s="139" t="n">
        <v>44571</v>
      </c>
      <c r="G61" s="139" t="n">
        <v>44596</v>
      </c>
      <c r="H61" s="140" t="s">
        <v>254</v>
      </c>
    </row>
    <row r="62" customFormat="false" ht="18.6" hidden="false" customHeight="true" outlineLevel="0" collapsed="false">
      <c r="A62" s="165"/>
      <c r="B62" s="135" t="s">
        <v>346</v>
      </c>
      <c r="C62" s="136"/>
      <c r="D62" s="137" t="n">
        <v>5803.5</v>
      </c>
      <c r="E62" s="138" t="s">
        <v>253</v>
      </c>
      <c r="F62" s="139" t="n">
        <v>44575</v>
      </c>
      <c r="G62" s="139"/>
      <c r="H62" s="140"/>
    </row>
    <row r="63" customFormat="false" ht="18.6" hidden="false" customHeight="true" outlineLevel="0" collapsed="false">
      <c r="A63" s="165"/>
      <c r="B63" s="135" t="s">
        <v>346</v>
      </c>
      <c r="C63" s="136" t="s">
        <v>347</v>
      </c>
      <c r="D63" s="137" t="n">
        <v>5503.5</v>
      </c>
      <c r="E63" s="138" t="s">
        <v>253</v>
      </c>
      <c r="F63" s="143" t="n">
        <v>44575</v>
      </c>
      <c r="G63" s="139" t="n">
        <v>44586</v>
      </c>
      <c r="H63" s="140" t="s">
        <v>254</v>
      </c>
    </row>
    <row r="64" customFormat="false" ht="18.6" hidden="false" customHeight="true" outlineLevel="0" collapsed="false">
      <c r="A64" s="165"/>
      <c r="B64" s="135" t="s">
        <v>346</v>
      </c>
      <c r="C64" s="136" t="s">
        <v>348</v>
      </c>
      <c r="D64" s="137" t="n">
        <v>5805.04</v>
      </c>
      <c r="E64" s="138" t="s">
        <v>258</v>
      </c>
      <c r="F64" s="143" t="n">
        <v>44575</v>
      </c>
      <c r="G64" s="139" t="n">
        <v>44586</v>
      </c>
      <c r="H64" s="140" t="s">
        <v>254</v>
      </c>
    </row>
    <row r="65" customFormat="false" ht="18.6" hidden="false" customHeight="true" outlineLevel="0" collapsed="false">
      <c r="A65" s="165"/>
      <c r="B65" s="166" t="s">
        <v>349</v>
      </c>
      <c r="C65" s="167" t="s">
        <v>350</v>
      </c>
      <c r="D65" s="137" t="n">
        <v>870.92</v>
      </c>
      <c r="E65" s="168" t="s">
        <v>253</v>
      </c>
      <c r="F65" s="139" t="n">
        <v>44576</v>
      </c>
      <c r="G65" s="139" t="n">
        <v>44553</v>
      </c>
      <c r="H65" s="140" t="s">
        <v>254</v>
      </c>
    </row>
    <row r="66" customFormat="false" ht="18.6" hidden="false" customHeight="true" outlineLevel="0" collapsed="false">
      <c r="A66" s="165"/>
      <c r="B66" s="135" t="s">
        <v>349</v>
      </c>
      <c r="C66" s="136" t="s">
        <v>351</v>
      </c>
      <c r="D66" s="137" t="n">
        <v>847.6</v>
      </c>
      <c r="E66" s="142" t="s">
        <v>352</v>
      </c>
      <c r="F66" s="139" t="n">
        <v>44576</v>
      </c>
      <c r="G66" s="139" t="n">
        <v>44586</v>
      </c>
      <c r="H66" s="140" t="s">
        <v>254</v>
      </c>
    </row>
    <row r="67" customFormat="false" ht="18.6" hidden="false" customHeight="true" outlineLevel="0" collapsed="false">
      <c r="A67" s="165"/>
      <c r="B67" s="135" t="s">
        <v>349</v>
      </c>
      <c r="C67" s="136" t="s">
        <v>353</v>
      </c>
      <c r="D67" s="137" t="n">
        <v>1396.15</v>
      </c>
      <c r="E67" s="142" t="s">
        <v>354</v>
      </c>
      <c r="F67" s="139" t="n">
        <v>44576</v>
      </c>
      <c r="G67" s="139" t="n">
        <v>44586</v>
      </c>
      <c r="H67" s="140" t="s">
        <v>254</v>
      </c>
    </row>
    <row r="68" customFormat="false" ht="18.6" hidden="false" customHeight="true" outlineLevel="0" collapsed="false">
      <c r="A68" s="165"/>
      <c r="B68" s="135" t="s">
        <v>349</v>
      </c>
      <c r="C68" s="136" t="s">
        <v>355</v>
      </c>
      <c r="D68" s="137" t="n">
        <v>1132.2</v>
      </c>
      <c r="E68" s="142" t="s">
        <v>258</v>
      </c>
      <c r="F68" s="139" t="n">
        <v>44576</v>
      </c>
      <c r="G68" s="139" t="n">
        <v>44586</v>
      </c>
      <c r="H68" s="140" t="s">
        <v>254</v>
      </c>
    </row>
    <row r="69" customFormat="false" ht="18.6" hidden="false" customHeight="true" outlineLevel="0" collapsed="false">
      <c r="A69" s="165"/>
      <c r="B69" s="135" t="s">
        <v>349</v>
      </c>
      <c r="C69" s="136" t="s">
        <v>356</v>
      </c>
      <c r="D69" s="137" t="n">
        <v>682.9</v>
      </c>
      <c r="E69" s="142" t="s">
        <v>258</v>
      </c>
      <c r="F69" s="139" t="n">
        <v>44576</v>
      </c>
      <c r="G69" s="139" t="n">
        <v>44586</v>
      </c>
      <c r="H69" s="140" t="s">
        <v>254</v>
      </c>
    </row>
    <row r="70" customFormat="false" ht="18.6" hidden="false" customHeight="true" outlineLevel="0" collapsed="false">
      <c r="A70" s="165"/>
      <c r="B70" s="135" t="s">
        <v>128</v>
      </c>
      <c r="C70" s="136" t="s">
        <v>357</v>
      </c>
      <c r="D70" s="137" t="n">
        <v>2000</v>
      </c>
      <c r="E70" s="138" t="s">
        <v>266</v>
      </c>
      <c r="F70" s="139" t="n">
        <v>44576</v>
      </c>
      <c r="G70" s="139" t="s">
        <v>358</v>
      </c>
      <c r="H70" s="140" t="s">
        <v>254</v>
      </c>
    </row>
    <row r="71" customFormat="false" ht="18.6" hidden="false" customHeight="true" outlineLevel="0" collapsed="false">
      <c r="A71" s="165"/>
      <c r="B71" s="135" t="s">
        <v>179</v>
      </c>
      <c r="C71" s="136" t="s">
        <v>359</v>
      </c>
      <c r="D71" s="137" t="n">
        <v>1082.4</v>
      </c>
      <c r="E71" s="138" t="s">
        <v>253</v>
      </c>
      <c r="F71" s="143" t="n">
        <v>44592</v>
      </c>
      <c r="G71" s="139" t="n">
        <v>44596</v>
      </c>
      <c r="H71" s="140" t="s">
        <v>254</v>
      </c>
    </row>
    <row r="72" customFormat="false" ht="18.6" hidden="false" customHeight="true" outlineLevel="0" collapsed="false">
      <c r="A72" s="165"/>
      <c r="B72" s="135" t="s">
        <v>179</v>
      </c>
      <c r="C72" s="136" t="s">
        <v>360</v>
      </c>
      <c r="D72" s="137" t="n">
        <v>742.56</v>
      </c>
      <c r="E72" s="138" t="s">
        <v>258</v>
      </c>
      <c r="F72" s="143" t="n">
        <v>44592</v>
      </c>
      <c r="G72" s="139" t="n">
        <v>44596</v>
      </c>
      <c r="H72" s="140" t="s">
        <v>254</v>
      </c>
    </row>
    <row r="73" customFormat="false" ht="18.6" hidden="false" customHeight="true" outlineLevel="0" collapsed="false">
      <c r="A73" s="165"/>
      <c r="B73" s="169" t="s">
        <v>361</v>
      </c>
      <c r="C73" s="170" t="s">
        <v>362</v>
      </c>
      <c r="D73" s="171" t="n">
        <v>20983.13</v>
      </c>
      <c r="E73" s="172" t="s">
        <v>253</v>
      </c>
      <c r="F73" s="173" t="n">
        <v>44592</v>
      </c>
      <c r="G73" s="174" t="n">
        <v>44602</v>
      </c>
      <c r="H73" s="175" t="s">
        <v>254</v>
      </c>
    </row>
    <row r="74" customFormat="false" ht="18.6" hidden="false" customHeight="true" outlineLevel="0" collapsed="false">
      <c r="A74" s="165"/>
      <c r="B74" s="135" t="s">
        <v>361</v>
      </c>
      <c r="C74" s="136" t="s">
        <v>363</v>
      </c>
      <c r="D74" s="137" t="n">
        <v>28778.21</v>
      </c>
      <c r="E74" s="138" t="s">
        <v>253</v>
      </c>
      <c r="F74" s="143" t="n">
        <v>44592</v>
      </c>
      <c r="G74" s="139" t="n">
        <v>44596</v>
      </c>
      <c r="H74" s="140" t="s">
        <v>254</v>
      </c>
      <c r="J74" s="6" t="s">
        <v>364</v>
      </c>
    </row>
    <row r="75" customFormat="false" ht="18.6" hidden="false" customHeight="true" outlineLevel="0" collapsed="false">
      <c r="A75" s="165"/>
      <c r="B75" s="135" t="s">
        <v>361</v>
      </c>
      <c r="C75" s="136" t="s">
        <v>365</v>
      </c>
      <c r="D75" s="137" t="n">
        <v>4427.85</v>
      </c>
      <c r="E75" s="138" t="s">
        <v>253</v>
      </c>
      <c r="F75" s="143" t="n">
        <v>44592</v>
      </c>
      <c r="G75" s="139" t="n">
        <v>44596</v>
      </c>
      <c r="H75" s="140" t="s">
        <v>254</v>
      </c>
      <c r="J75" s="157"/>
    </row>
    <row r="76" customFormat="false" ht="18.6" hidden="false" customHeight="true" outlineLevel="0" collapsed="false">
      <c r="A76" s="165"/>
      <c r="B76" s="135" t="s">
        <v>179</v>
      </c>
      <c r="C76" s="136" t="s">
        <v>366</v>
      </c>
      <c r="D76" s="137" t="n">
        <v>1573.15</v>
      </c>
      <c r="E76" s="138" t="s">
        <v>253</v>
      </c>
      <c r="F76" s="139" t="n">
        <v>44592</v>
      </c>
      <c r="G76" s="139" t="n">
        <v>44596</v>
      </c>
      <c r="H76" s="140" t="s">
        <v>254</v>
      </c>
    </row>
    <row r="77" customFormat="false" ht="18.6" hidden="false" customHeight="true" outlineLevel="0" collapsed="false">
      <c r="A77" s="165"/>
      <c r="B77" s="176" t="s">
        <v>367</v>
      </c>
      <c r="C77" s="177" t="s">
        <v>368</v>
      </c>
      <c r="D77" s="178" t="n">
        <v>3000</v>
      </c>
      <c r="E77" s="179" t="s">
        <v>253</v>
      </c>
      <c r="F77" s="179" t="n">
        <v>44592</v>
      </c>
      <c r="G77" s="179" t="n">
        <v>44596</v>
      </c>
      <c r="H77" s="180" t="s">
        <v>254</v>
      </c>
    </row>
    <row r="78" customFormat="false" ht="18.6" hidden="false" customHeight="true" outlineLevel="0" collapsed="false">
      <c r="A78" s="165"/>
      <c r="B78" s="135" t="s">
        <v>369</v>
      </c>
      <c r="C78" s="136" t="s">
        <v>370</v>
      </c>
      <c r="D78" s="137" t="n">
        <v>600</v>
      </c>
      <c r="E78" s="138" t="s">
        <v>371</v>
      </c>
      <c r="F78" s="139" t="n">
        <v>44592</v>
      </c>
      <c r="G78" s="139" t="n">
        <v>44572</v>
      </c>
      <c r="H78" s="140" t="s">
        <v>254</v>
      </c>
    </row>
    <row r="79" customFormat="false" ht="18.6" hidden="false" customHeight="true" outlineLevel="0" collapsed="false">
      <c r="A79" s="165"/>
      <c r="B79" s="135" t="s">
        <v>372</v>
      </c>
      <c r="C79" s="136" t="s">
        <v>373</v>
      </c>
      <c r="D79" s="137" t="n">
        <v>120</v>
      </c>
      <c r="E79" s="138"/>
      <c r="F79" s="139" t="n">
        <v>44592</v>
      </c>
      <c r="G79" s="139" t="n">
        <v>44596</v>
      </c>
      <c r="H79" s="140" t="s">
        <v>254</v>
      </c>
    </row>
    <row r="80" customFormat="false" ht="18.6" hidden="false" customHeight="true" outlineLevel="0" collapsed="false">
      <c r="A80" s="165"/>
      <c r="B80" s="135" t="s">
        <v>372</v>
      </c>
      <c r="C80" s="136" t="s">
        <v>374</v>
      </c>
      <c r="D80" s="137" t="n">
        <v>3460.07</v>
      </c>
      <c r="E80" s="138" t="s">
        <v>258</v>
      </c>
      <c r="F80" s="139" t="n">
        <v>44592</v>
      </c>
      <c r="G80" s="139" t="n">
        <v>44596</v>
      </c>
      <c r="H80" s="140" t="s">
        <v>254</v>
      </c>
    </row>
    <row r="81" customFormat="false" ht="18.6" hidden="false" customHeight="true" outlineLevel="0" collapsed="false">
      <c r="A81" s="165"/>
      <c r="B81" s="135" t="s">
        <v>375</v>
      </c>
      <c r="C81" s="136"/>
      <c r="D81" s="137" t="n">
        <v>940</v>
      </c>
      <c r="E81" s="138" t="s">
        <v>376</v>
      </c>
      <c r="F81" s="139" t="n">
        <v>44566</v>
      </c>
      <c r="G81" s="139" t="n">
        <v>44586</v>
      </c>
      <c r="H81" s="140" t="s">
        <v>254</v>
      </c>
    </row>
    <row r="82" customFormat="false" ht="18.6" hidden="false" customHeight="true" outlineLevel="0" collapsed="false">
      <c r="A82" s="165"/>
      <c r="B82" s="135" t="s">
        <v>377</v>
      </c>
      <c r="C82" s="135" t="s">
        <v>378</v>
      </c>
      <c r="D82" s="181" t="n">
        <v>720</v>
      </c>
      <c r="E82" s="138" t="s">
        <v>379</v>
      </c>
      <c r="F82" s="139" t="s">
        <v>380</v>
      </c>
      <c r="G82" s="139" t="s">
        <v>381</v>
      </c>
      <c r="H82" s="140" t="s">
        <v>254</v>
      </c>
    </row>
    <row r="83" customFormat="false" ht="18.6" hidden="false" customHeight="true" outlineLevel="0" collapsed="false">
      <c r="A83" s="165"/>
      <c r="B83" s="135" t="s">
        <v>382</v>
      </c>
      <c r="C83" s="135" t="s">
        <v>383</v>
      </c>
      <c r="D83" s="181" t="n">
        <v>720</v>
      </c>
      <c r="E83" s="138" t="s">
        <v>253</v>
      </c>
      <c r="F83" s="139" t="s">
        <v>384</v>
      </c>
      <c r="G83" s="139" t="n">
        <v>44586</v>
      </c>
      <c r="H83" s="140" t="s">
        <v>254</v>
      </c>
    </row>
    <row r="84" customFormat="false" ht="18.6" hidden="false" customHeight="true" outlineLevel="0" collapsed="false">
      <c r="A84" s="165"/>
      <c r="B84" s="135" t="s">
        <v>385</v>
      </c>
      <c r="C84" s="135"/>
      <c r="D84" s="181" t="n">
        <v>42284.94</v>
      </c>
      <c r="E84" s="138"/>
      <c r="F84" s="139" t="n">
        <v>44576</v>
      </c>
      <c r="G84" s="139" t="n">
        <v>44596</v>
      </c>
      <c r="H84" s="140" t="s">
        <v>254</v>
      </c>
    </row>
    <row r="85" customFormat="false" ht="18.6" hidden="false" customHeight="true" outlineLevel="0" collapsed="false">
      <c r="A85" s="165"/>
      <c r="B85" s="135" t="s">
        <v>188</v>
      </c>
      <c r="C85" s="135" t="s">
        <v>386</v>
      </c>
      <c r="D85" s="181" t="n">
        <v>2400</v>
      </c>
      <c r="E85" s="138" t="s">
        <v>280</v>
      </c>
      <c r="F85" s="139" t="n">
        <v>44681</v>
      </c>
      <c r="G85" s="139"/>
      <c r="H85" s="140"/>
    </row>
    <row r="86" customFormat="false" ht="18.6" hidden="false" customHeight="true" outlineLevel="0" collapsed="false">
      <c r="A86" s="165"/>
      <c r="B86" s="135" t="s">
        <v>188</v>
      </c>
      <c r="C86" s="135" t="s">
        <v>387</v>
      </c>
      <c r="D86" s="181" t="n">
        <v>2400</v>
      </c>
      <c r="E86" s="138" t="s">
        <v>280</v>
      </c>
      <c r="F86" s="139" t="n">
        <v>44681</v>
      </c>
      <c r="G86" s="139"/>
      <c r="H86" s="140"/>
    </row>
    <row r="87" customFormat="false" ht="18.6" hidden="false" customHeight="true" outlineLevel="0" collapsed="false">
      <c r="A87" s="165"/>
      <c r="B87" s="135"/>
      <c r="C87" s="135"/>
      <c r="D87" s="181"/>
      <c r="E87" s="138"/>
      <c r="F87" s="139"/>
      <c r="G87" s="139"/>
      <c r="H87" s="140"/>
    </row>
    <row r="88" customFormat="false" ht="18.6" hidden="false" customHeight="true" outlineLevel="0" collapsed="false">
      <c r="A88" s="165"/>
      <c r="B88" s="135"/>
      <c r="C88" s="135"/>
      <c r="D88" s="181"/>
      <c r="E88" s="138"/>
      <c r="F88" s="139"/>
      <c r="G88" s="139"/>
      <c r="H88" s="140"/>
    </row>
    <row r="89" customFormat="false" ht="18.6" hidden="false" customHeight="true" outlineLevel="0" collapsed="false">
      <c r="A89" s="165"/>
      <c r="B89" s="135"/>
      <c r="C89" s="135"/>
      <c r="D89" s="137"/>
      <c r="E89" s="135"/>
      <c r="F89" s="139"/>
      <c r="G89" s="135"/>
      <c r="H89" s="135"/>
    </row>
    <row r="90" customFormat="false" ht="18.6" hidden="false" customHeight="true" outlineLevel="0" collapsed="false">
      <c r="A90" s="165"/>
      <c r="B90" s="144" t="s">
        <v>35</v>
      </c>
      <c r="C90" s="145"/>
      <c r="D90" s="146" t="n">
        <f aca="false">SUM(D59:D89)</f>
        <v>143794.2</v>
      </c>
      <c r="E90" s="147"/>
      <c r="F90" s="148"/>
      <c r="G90" s="148"/>
      <c r="H90" s="149"/>
    </row>
    <row r="91" customFormat="false" ht="21" hidden="false" customHeight="true" outlineLevel="0" collapsed="false">
      <c r="A91" s="182" t="s">
        <v>388</v>
      </c>
      <c r="B91" s="183"/>
      <c r="C91" s="184"/>
      <c r="D91" s="185" t="n">
        <f aca="false">D90+D58+D30</f>
        <v>276952.49</v>
      </c>
      <c r="E91" s="186"/>
      <c r="F91" s="187"/>
      <c r="G91" s="187"/>
      <c r="H91" s="188"/>
    </row>
  </sheetData>
  <mergeCells count="3">
    <mergeCell ref="A2:A30"/>
    <mergeCell ref="A31:A58"/>
    <mergeCell ref="A59:A90"/>
  </mergeCells>
  <conditionalFormatting sqref="E58:H58 E90:H90 C2:H3 H4 C59:F59 D75:D76 B5:H6 C10:H10 B11:H14 C26:H29 B60:F60 D62:H70 B30:H57 B9:H9 B7:F7 G81:H81 B25:G25 C15:H21 B8:G8 E72:E76 B62:C76 F73:H80 F72 E71:F71 B79:E81">
    <cfRule type="expression" priority="2" aboveAverage="0" equalAverage="0" bottom="0" percent="0" rank="0" text="" dxfId="39">
      <formula>MOD(ROW(),2)=1</formula>
    </cfRule>
  </conditionalFormatting>
  <conditionalFormatting sqref="B59 B2:B3">
    <cfRule type="expression" priority="3" aboveAverage="0" equalAverage="0" bottom="0" percent="0" rank="0" text="" dxfId="40">
      <formula>MOD(ROW(),2)=1</formula>
    </cfRule>
  </conditionalFormatting>
  <conditionalFormatting sqref="C58:D58">
    <cfRule type="expression" priority="4" aboveAverage="0" equalAverage="0" bottom="0" percent="0" rank="0" text="" dxfId="41">
      <formula>MOD(ROW(),2)=1</formula>
    </cfRule>
  </conditionalFormatting>
  <conditionalFormatting sqref="B58">
    <cfRule type="expression" priority="5" aboveAverage="0" equalAverage="0" bottom="0" percent="0" rank="0" text="" dxfId="42">
      <formula>MOD(ROW(),2)=1</formula>
    </cfRule>
  </conditionalFormatting>
  <conditionalFormatting sqref="C90:D90">
    <cfRule type="expression" priority="6" aboveAverage="0" equalAverage="0" bottom="0" percent="0" rank="0" text="" dxfId="43">
      <formula>MOD(ROW(),2)=1</formula>
    </cfRule>
  </conditionalFormatting>
  <conditionalFormatting sqref="B90">
    <cfRule type="expression" priority="7" aboveAverage="0" equalAverage="0" bottom="0" percent="0" rank="0" text="" dxfId="44">
      <formula>MOD(ROW(),2)=1</formula>
    </cfRule>
  </conditionalFormatting>
  <conditionalFormatting sqref="F62 F25">
    <cfRule type="cellIs" priority="8" operator="lessThan" aboveAverage="0" equalAverage="0" bottom="0" percent="0" rank="0" text="" dxfId="45">
      <formula>TODAY()</formula>
    </cfRule>
    <cfRule type="timePeriod" priority="9" timePeriod="last7Days" dxfId="46"/>
    <cfRule type="timePeriod" priority="10" timePeriod="yesterday" dxfId="47"/>
    <cfRule type="timePeriod" priority="11" timePeriod="lastMonth" dxfId="48"/>
    <cfRule type="timePeriod" priority="12" timePeriod="yesterday" dxfId="49"/>
    <cfRule type="timePeriod" priority="13" timePeriod="today" dxfId="50"/>
  </conditionalFormatting>
  <conditionalFormatting sqref="G4">
    <cfRule type="expression" priority="14" aboveAverage="0" equalAverage="0" bottom="0" percent="0" rank="0" text="" dxfId="51">
      <formula>MOD(ROW(),2)=1</formula>
    </cfRule>
  </conditionalFormatting>
  <conditionalFormatting sqref="B4:F4">
    <cfRule type="expression" priority="15" aboveAverage="0" equalAverage="0" bottom="0" percent="0" rank="0" text="" dxfId="52">
      <formula>MOD(ROW(),2)=1</formula>
    </cfRule>
  </conditionalFormatting>
  <conditionalFormatting sqref="F4">
    <cfRule type="cellIs" priority="16" operator="lessThan" aboveAverage="0" equalAverage="0" bottom="0" percent="0" rank="0" text="" dxfId="53">
      <formula>TODAY()</formula>
    </cfRule>
    <cfRule type="timePeriod" priority="17" timePeriod="last7Days" dxfId="54"/>
    <cfRule type="timePeriod" priority="18" timePeriod="yesterday" dxfId="55"/>
    <cfRule type="timePeriod" priority="19" timePeriod="lastMonth" dxfId="56"/>
    <cfRule type="timePeriod" priority="20" timePeriod="yesterday" dxfId="57"/>
    <cfRule type="timePeriod" priority="21" timePeriod="today" dxfId="58"/>
  </conditionalFormatting>
  <conditionalFormatting sqref="D71">
    <cfRule type="expression" priority="22" aboveAverage="0" equalAverage="0" bottom="0" percent="0" rank="0" text="" dxfId="59">
      <formula>MOD(ROW(),2)=1</formula>
    </cfRule>
  </conditionalFormatting>
  <conditionalFormatting sqref="B10">
    <cfRule type="expression" priority="23" aboveAverage="0" equalAverage="0" bottom="0" percent="0" rank="0" text="" dxfId="60">
      <formula>MOD(ROW(),2)=1</formula>
    </cfRule>
  </conditionalFormatting>
  <conditionalFormatting sqref="B15:B21 B25:B29">
    <cfRule type="expression" priority="24" aboveAverage="0" equalAverage="0" bottom="0" percent="0" rank="0" text="" dxfId="61">
      <formula>MOD(ROW(),2)=1</formula>
    </cfRule>
  </conditionalFormatting>
  <conditionalFormatting sqref="B77:E78">
    <cfRule type="expression" priority="25" aboveAverage="0" equalAverage="0" bottom="0" percent="0" rank="0" text="" dxfId="62">
      <formula>MOD(ROW(),2)=1</formula>
    </cfRule>
  </conditionalFormatting>
  <conditionalFormatting sqref="D72:D74">
    <cfRule type="expression" priority="26" aboveAverage="0" equalAverage="0" bottom="0" percent="0" rank="0" text="" dxfId="63">
      <formula>MOD(ROW(),2)=1</formula>
    </cfRule>
  </conditionalFormatting>
  <conditionalFormatting sqref="D22:D24 F22:G24">
    <cfRule type="expression" priority="27" aboveAverage="0" equalAverage="0" bottom="0" percent="0" rank="0" text="" dxfId="64">
      <formula>MOD(ROW(),2)=1</formula>
    </cfRule>
  </conditionalFormatting>
  <conditionalFormatting sqref="E22:E24">
    <cfRule type="expression" priority="28" aboveAverage="0" equalAverage="0" bottom="0" percent="0" rank="0" text="" dxfId="65">
      <formula>MOD(ROW(),2)=1</formula>
    </cfRule>
  </conditionalFormatting>
  <conditionalFormatting sqref="B22:B24">
    <cfRule type="expression" priority="29" aboveAverage="0" equalAverage="0" bottom="0" percent="0" rank="0" text="" dxfId="66">
      <formula>MOD(ROW(),2)=1</formula>
    </cfRule>
  </conditionalFormatting>
  <conditionalFormatting sqref="C22:C24">
    <cfRule type="expression" priority="30" aboveAverage="0" equalAverage="0" bottom="0" percent="0" rank="0" text="" dxfId="67">
      <formula>MOD(ROW(),2)=1</formula>
    </cfRule>
  </conditionalFormatting>
  <conditionalFormatting sqref="B61:F61">
    <cfRule type="expression" priority="31" aboveAverage="0" equalAverage="0" bottom="0" percent="0" rank="0" text="" dxfId="68">
      <formula>MOD(ROW(),2)=1</formula>
    </cfRule>
  </conditionalFormatting>
  <conditionalFormatting sqref="B42:D42">
    <cfRule type="expression" priority="32" aboveAverage="0" equalAverage="0" bottom="0" percent="0" rank="0" text="" dxfId="69">
      <formula>MOD(ROW(),2)=1</formula>
    </cfRule>
  </conditionalFormatting>
  <conditionalFormatting sqref="B43:H44 B54:H57 E45:H46 G47:H49 D31:D42 D45:D53 E50:H53">
    <cfRule type="expression" priority="33" aboveAverage="0" equalAverage="0" bottom="0" percent="0" rank="0" text="" dxfId="70">
      <formula>MOD(ROW(),2)=1</formula>
    </cfRule>
  </conditionalFormatting>
  <conditionalFormatting sqref="B45:D45">
    <cfRule type="expression" priority="34" aboveAverage="0" equalAverage="0" bottom="0" percent="0" rank="0" text="" dxfId="71">
      <formula>MOD(ROW(),2)=1</formula>
    </cfRule>
  </conditionalFormatting>
  <conditionalFormatting sqref="B46:D46">
    <cfRule type="expression" priority="35" aboveAverage="0" equalAverage="0" bottom="0" percent="0" rank="0" text="" dxfId="72">
      <formula>MOD(ROW(),2)=1</formula>
    </cfRule>
  </conditionalFormatting>
  <conditionalFormatting sqref="D47:D49 B49:C49 E49:F49">
    <cfRule type="expression" priority="36" aboveAverage="0" equalAverage="0" bottom="0" percent="0" rank="0" text="" dxfId="73">
      <formula>MOD(ROW(),2)=1</formula>
    </cfRule>
  </conditionalFormatting>
  <conditionalFormatting sqref="F49">
    <cfRule type="cellIs" priority="37" operator="lessThan" aboveAverage="0" equalAverage="0" bottom="0" percent="0" rank="0" text="" dxfId="74">
      <formula>TODAY()</formula>
    </cfRule>
    <cfRule type="timePeriod" priority="38" timePeriod="last7Days" dxfId="75"/>
    <cfRule type="timePeriod" priority="39" timePeriod="yesterday" dxfId="76"/>
    <cfRule type="timePeriod" priority="40" timePeriod="lastMonth" dxfId="77"/>
    <cfRule type="timePeriod" priority="41" timePeriod="yesterday" dxfId="78"/>
    <cfRule type="timePeriod" priority="42" timePeriod="today" dxfId="79"/>
  </conditionalFormatting>
  <conditionalFormatting sqref="B47:F48">
    <cfRule type="expression" priority="43" aboveAverage="0" equalAverage="0" bottom="0" percent="0" rank="0" text="" dxfId="80">
      <formula>MOD(ROW(),2)=1</formula>
    </cfRule>
  </conditionalFormatting>
  <conditionalFormatting sqref="F47:F48">
    <cfRule type="cellIs" priority="44" operator="lessThan" aboveAverage="0" equalAverage="0" bottom="0" percent="0" rank="0" text="" dxfId="81">
      <formula>TODAY()</formula>
    </cfRule>
    <cfRule type="timePeriod" priority="45" timePeriod="last7Days" dxfId="82"/>
    <cfRule type="timePeriod" priority="46" timePeriod="yesterday" dxfId="83"/>
    <cfRule type="timePeriod" priority="47" timePeriod="lastMonth" dxfId="84"/>
    <cfRule type="timePeriod" priority="48" timePeriod="yesterday" dxfId="85"/>
    <cfRule type="timePeriod" priority="49" timePeriod="today" dxfId="86"/>
  </conditionalFormatting>
  <conditionalFormatting sqref="B50:D52">
    <cfRule type="expression" priority="50" aboveAverage="0" equalAverage="0" bottom="0" percent="0" rank="0" text="" dxfId="87">
      <formula>MOD(ROW(),2)=1</formula>
    </cfRule>
  </conditionalFormatting>
  <conditionalFormatting sqref="B53:D53">
    <cfRule type="expression" priority="51" aboveAverage="0" equalAverage="0" bottom="0" percent="0" rank="0" text="" dxfId="88">
      <formula>MOD(ROW(),2)=1</formula>
    </cfRule>
  </conditionalFormatting>
  <conditionalFormatting sqref="H7">
    <cfRule type="expression" priority="52" aboveAverage="0" equalAverage="0" bottom="0" percent="0" rank="0" text="" dxfId="89">
      <formula>MOD(ROW(),2)=1</formula>
    </cfRule>
  </conditionalFormatting>
  <conditionalFormatting sqref="G7">
    <cfRule type="expression" priority="54" aboveAverage="0" equalAverage="0" bottom="0" percent="0" rank="0" text="" dxfId="90">
      <formula>MOD(ROW(),2)=1</formula>
    </cfRule>
  </conditionalFormatting>
  <conditionalFormatting sqref="G89:H89 B82:C89 E89">
    <cfRule type="expression" priority="55" aboveAverage="0" equalAverage="0" bottom="0" percent="0" rank="0" text="" dxfId="91">
      <formula>MOD(ROW(),2)=1</formula>
    </cfRule>
  </conditionalFormatting>
  <conditionalFormatting sqref="F81:F89">
    <cfRule type="expression" priority="56" aboveAverage="0" equalAverage="0" bottom="0" percent="0" rank="0" text="" dxfId="92">
      <formula>MOD(ROW(),2)=1</formula>
    </cfRule>
  </conditionalFormatting>
  <conditionalFormatting sqref="E82:E88">
    <cfRule type="expression" priority="57" aboveAverage="0" equalAverage="0" bottom="0" percent="0" rank="0" text="" dxfId="93">
      <formula>MOD(ROW(),2)=1</formula>
    </cfRule>
  </conditionalFormatting>
  <conditionalFormatting sqref="D89">
    <cfRule type="expression" priority="58" aboveAverage="0" equalAverage="0" bottom="0" percent="0" rank="0" text="" dxfId="94">
      <formula>MOD(ROW(),2)=1</formula>
    </cfRule>
  </conditionalFormatting>
  <conditionalFormatting sqref="D82:D88">
    <cfRule type="expression" priority="59" aboveAverage="0" equalAverage="0" bottom="0" percent="0" rank="0" text="" dxfId="95">
      <formula>MOD(ROW(),2)=1</formula>
    </cfRule>
  </conditionalFormatting>
  <conditionalFormatting sqref="H22:H25">
    <cfRule type="expression" priority="60" aboveAverage="0" equalAverage="0" bottom="0" percent="0" rank="0" text="" dxfId="96">
      <formula>MOD(ROW(),2)=1</formula>
    </cfRule>
  </conditionalFormatting>
  <conditionalFormatting sqref="H8">
    <cfRule type="expression" priority="62" aboveAverage="0" equalAverage="0" bottom="0" percent="0" rank="0" text="" dxfId="97">
      <formula>MOD(ROW(),2)=1</formula>
    </cfRule>
  </conditionalFormatting>
  <conditionalFormatting sqref="G82:H88">
    <cfRule type="expression" priority="64" aboveAverage="0" equalAverage="0" bottom="0" percent="0" rank="0" text="" dxfId="98">
      <formula>MOD(ROW(),2)=1</formula>
    </cfRule>
  </conditionalFormatting>
  <conditionalFormatting sqref="G71:H72">
    <cfRule type="expression" priority="65" aboveAverage="0" equalAverage="0" bottom="0" percent="0" rank="0" text="" dxfId="99">
      <formula>MOD(ROW(),2)=1</formula>
    </cfRule>
  </conditionalFormatting>
  <conditionalFormatting sqref="G59:H61">
    <cfRule type="expression" priority="66" aboveAverage="0" equalAverage="0" bottom="0" percent="0" rank="0" text="" dxfId="100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17D09B83-E2B8-4DC7-8AD5-FBD0AE88D22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61" id="{E999C575-4D52-4BCB-9932-EF8CFEE6D9C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H22:H25</xm:sqref>
        </x14:conditionalFormatting>
        <x14:conditionalFormatting xmlns:xm="http://schemas.microsoft.com/office/excel/2006/main">
          <x14:cfRule type="iconSet" priority="63" id="{70E9A323-604E-4C70-B1F5-6CC43EC6A4B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67" id="{CFD169E1-766F-4755-ACB7-3ACD6B20D0E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68" id="{BFBBFB1B-9230-4330-A6DD-A2D4334B2B3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H58 H31:H56</xm:sqref>
        </x14:conditionalFormatting>
        <x14:conditionalFormatting xmlns:xm="http://schemas.microsoft.com/office/excel/2006/main">
          <x14:cfRule type="iconSet" priority="69" id="{37D1B414-6110-457D-97A4-F02862D76BF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</xm:sqref>
        </x14:conditionalFormatting>
        <x14:conditionalFormatting xmlns:xm="http://schemas.microsoft.com/office/excel/2006/main">
          <x14:cfRule type="iconSet" priority="70" id="{5CD9841B-A945-47B3-9426-A1E6137CB64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71" id="{2C3A503A-3530-494B-9C73-15B3E8245A9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72" id="{A07CC02F-BD2C-4863-BE6D-311AAC96D9C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73" id="{1D4BF98E-8173-4429-96DA-6FC9F09D646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H31:H41</xm:sqref>
        </x14:conditionalFormatting>
        <x14:conditionalFormatting xmlns:xm="http://schemas.microsoft.com/office/excel/2006/main">
          <x14:cfRule type="iconSet" priority="74" id="{7C80797D-7F9B-418A-BE51-7F50A0F0DE1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H3:H6 H26:H30 H9:H21</xm:sqref>
        </x14:conditionalFormatting>
        <x14:conditionalFormatting xmlns:xm="http://schemas.microsoft.com/office/excel/2006/main">
          <x14:cfRule type="iconSet" priority="75" id="{681F6FC4-FB90-4543-A383-1C6C50C2BA3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A31</xm:sqref>
        </x14:conditionalFormatting>
        <x14:conditionalFormatting xmlns:xm="http://schemas.microsoft.com/office/excel/2006/main">
          <x14:cfRule type="iconSet" priority="76" id="{BCDE5B75-C0F6-4696-809B-2934EADEE6B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A59</xm:sqref>
        </x14:conditionalFormatting>
        <x14:conditionalFormatting xmlns:xm="http://schemas.microsoft.com/office/excel/2006/main">
          <x14:cfRule type="iconSet" priority="77" id="{7438C755-6733-4A14-9479-11CD94F61F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H90 H62:H70 H73:H81</xm:sqref>
        </x14:conditionalFormatting>
        <x14:conditionalFormatting xmlns:xm="http://schemas.microsoft.com/office/excel/2006/main">
          <x14:cfRule type="iconSet" priority="78" id="{DEDE1F12-598C-4B92-A138-193095B6506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9" id="{63898ACB-2B6D-46D9-A2C9-4A24B93477B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H43:H57</xm:sqref>
        </x14:conditionalFormatting>
        <x14:conditionalFormatting xmlns:xm="http://schemas.microsoft.com/office/excel/2006/main">
          <x14:cfRule type="iconSet" priority="80" id="{80DB40EE-FCAD-4850-B54B-8C3FED31E06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H42:H56</xm:sqref>
        </x14:conditionalFormatting>
        <x14:conditionalFormatting xmlns:xm="http://schemas.microsoft.com/office/excel/2006/main">
          <x14:cfRule type="iconSet" priority="81" id="{87CDAACB-C0D1-4B20-95EC-10FE8FE52B2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82" id="{93903177-F69F-4C80-8CBB-7CD64C19BFC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H82:H88</xm:sqref>
        </x14:conditionalFormatting>
        <x14:conditionalFormatting xmlns:xm="http://schemas.microsoft.com/office/excel/2006/main">
          <x14:cfRule type="iconSet" priority="83" id="{ED2ABCBB-80FB-44F7-98E0-F8DA4571EE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H71:H72</xm:sqref>
        </x14:conditionalFormatting>
        <x14:conditionalFormatting xmlns:xm="http://schemas.microsoft.com/office/excel/2006/main">
          <x14:cfRule type="iconSet" priority="84" id="{6B40707A-8864-439D-9594-564D90186CF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H59:H61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9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0" activePane="bottomLeft" state="frozen"/>
      <selection pane="topLeft" activeCell="A1" activeCellId="0" sqref="A1"/>
      <selection pane="bottomLeft" activeCell="B86" activeCellId="0" sqref="B86"/>
    </sheetView>
  </sheetViews>
  <sheetFormatPr defaultColWidth="9.12109375" defaultRowHeight="21" zeroHeight="false" outlineLevelRow="0" outlineLevelCol="0"/>
  <cols>
    <col collapsed="false" customWidth="true" hidden="false" outlineLevel="0" max="1" min="1" style="121" width="17.86"/>
    <col collapsed="false" customWidth="true" hidden="false" outlineLevel="0" max="2" min="2" style="6" width="35.44"/>
    <col collapsed="false" customWidth="true" hidden="false" outlineLevel="0" max="3" min="3" style="123" width="24.29"/>
    <col collapsed="false" customWidth="true" hidden="false" outlineLevel="0" max="4" min="4" style="6" width="21.56"/>
    <col collapsed="false" customWidth="true" hidden="false" outlineLevel="0" max="5" min="5" style="3" width="39.01"/>
    <col collapsed="false" customWidth="true" hidden="false" outlineLevel="0" max="6" min="6" style="124" width="20.42"/>
    <col collapsed="false" customWidth="true" hidden="false" outlineLevel="0" max="7" min="7" style="124" width="21"/>
    <col collapsed="false" customWidth="true" hidden="false" outlineLevel="0" max="8" min="8" style="6" width="11.85"/>
    <col collapsed="false" customWidth="false" hidden="false" outlineLevel="0" max="9" min="9" style="6" width="9.13"/>
    <col collapsed="false" customWidth="true" hidden="false" outlineLevel="0" max="10" min="10" style="6" width="25.43"/>
    <col collapsed="false" customWidth="false" hidden="false" outlineLevel="0" max="1024" min="11" style="6" width="9.13"/>
  </cols>
  <sheetData>
    <row r="1" s="192" customFormat="true" ht="24" hidden="false" customHeight="true" outlineLevel="0" collapsed="false">
      <c r="A1" s="189" t="s">
        <v>240</v>
      </c>
      <c r="B1" s="189" t="s">
        <v>389</v>
      </c>
      <c r="C1" s="7" t="s">
        <v>1</v>
      </c>
      <c r="D1" s="189" t="s">
        <v>243</v>
      </c>
      <c r="E1" s="7" t="s">
        <v>3</v>
      </c>
      <c r="F1" s="190" t="s">
        <v>4</v>
      </c>
      <c r="G1" s="191" t="s">
        <v>390</v>
      </c>
      <c r="H1" s="127" t="s">
        <v>247</v>
      </c>
    </row>
    <row r="2" customFormat="false" ht="18.6" hidden="false" customHeight="true" outlineLevel="0" collapsed="false">
      <c r="A2" s="193" t="s">
        <v>248</v>
      </c>
      <c r="B2" s="194" t="s">
        <v>147</v>
      </c>
      <c r="C2" s="195" t="s">
        <v>391</v>
      </c>
      <c r="D2" s="196" t="n">
        <v>-6872.37</v>
      </c>
      <c r="E2" s="197" t="s">
        <v>253</v>
      </c>
      <c r="F2" s="198" t="n">
        <v>44607</v>
      </c>
      <c r="G2" s="198" t="n">
        <v>44607</v>
      </c>
      <c r="H2" s="199" t="s">
        <v>254</v>
      </c>
    </row>
    <row r="3" customFormat="false" ht="18.6" hidden="false" customHeight="true" outlineLevel="0" collapsed="false">
      <c r="A3" s="193"/>
      <c r="B3" s="200" t="s">
        <v>147</v>
      </c>
      <c r="C3" s="201" t="s">
        <v>392</v>
      </c>
      <c r="D3" s="202" t="n">
        <v>-7391.12</v>
      </c>
      <c r="E3" s="203" t="s">
        <v>253</v>
      </c>
      <c r="F3" s="204" t="n">
        <v>44607</v>
      </c>
      <c r="G3" s="204" t="n">
        <v>44607</v>
      </c>
      <c r="H3" s="205" t="s">
        <v>254</v>
      </c>
    </row>
    <row r="4" customFormat="false" ht="18.6" hidden="false" customHeight="true" outlineLevel="0" collapsed="false">
      <c r="A4" s="193"/>
      <c r="B4" s="206" t="s">
        <v>147</v>
      </c>
      <c r="C4" s="201" t="s">
        <v>393</v>
      </c>
      <c r="D4" s="202" t="n">
        <v>-5491.75</v>
      </c>
      <c r="E4" s="14" t="s">
        <v>253</v>
      </c>
      <c r="F4" s="207" t="n">
        <v>44607</v>
      </c>
      <c r="G4" s="207" t="n">
        <v>44607</v>
      </c>
      <c r="H4" s="199" t="s">
        <v>254</v>
      </c>
    </row>
    <row r="5" customFormat="false" ht="18.6" hidden="false" customHeight="true" outlineLevel="0" collapsed="false">
      <c r="A5" s="193"/>
      <c r="B5" s="206" t="s">
        <v>394</v>
      </c>
      <c r="C5" s="201" t="s">
        <v>395</v>
      </c>
      <c r="D5" s="202" t="n">
        <v>-325.94</v>
      </c>
      <c r="E5" s="14" t="s">
        <v>396</v>
      </c>
      <c r="F5" s="207" t="n">
        <v>44612</v>
      </c>
      <c r="G5" s="207" t="n">
        <v>44613</v>
      </c>
      <c r="H5" s="199" t="s">
        <v>254</v>
      </c>
    </row>
    <row r="6" customFormat="false" ht="18.6" hidden="false" customHeight="true" outlineLevel="0" collapsed="false">
      <c r="A6" s="193"/>
      <c r="B6" s="206" t="s">
        <v>397</v>
      </c>
      <c r="C6" s="201" t="s">
        <v>398</v>
      </c>
      <c r="D6" s="208" t="n">
        <v>480.02</v>
      </c>
      <c r="E6" s="14" t="s">
        <v>266</v>
      </c>
      <c r="F6" s="207" t="n">
        <v>44620</v>
      </c>
      <c r="G6" s="207"/>
      <c r="H6" s="199"/>
    </row>
    <row r="7" customFormat="false" ht="18.6" hidden="false" customHeight="true" outlineLevel="0" collapsed="false">
      <c r="A7" s="193"/>
      <c r="B7" s="206" t="s">
        <v>397</v>
      </c>
      <c r="C7" s="201" t="s">
        <v>399</v>
      </c>
      <c r="D7" s="202" t="n">
        <v>-768.39</v>
      </c>
      <c r="E7" s="14" t="s">
        <v>268</v>
      </c>
      <c r="F7" s="207" t="n">
        <v>44620</v>
      </c>
      <c r="G7" s="207" t="n">
        <v>44620</v>
      </c>
      <c r="H7" s="199" t="s">
        <v>254</v>
      </c>
    </row>
    <row r="8" customFormat="false" ht="18.6" hidden="false" customHeight="true" outlineLevel="0" collapsed="false">
      <c r="A8" s="193"/>
      <c r="B8" s="206" t="s">
        <v>284</v>
      </c>
      <c r="C8" s="201" t="s">
        <v>400</v>
      </c>
      <c r="D8" s="202" t="n">
        <v>-5068.74</v>
      </c>
      <c r="E8" s="14" t="s">
        <v>286</v>
      </c>
      <c r="F8" s="207" t="n">
        <v>44620</v>
      </c>
      <c r="G8" s="207" t="n">
        <v>44620</v>
      </c>
      <c r="H8" s="199" t="s">
        <v>254</v>
      </c>
    </row>
    <row r="9" customFormat="false" ht="18.6" hidden="false" customHeight="true" outlineLevel="0" collapsed="false">
      <c r="A9" s="193"/>
      <c r="B9" s="206" t="s">
        <v>394</v>
      </c>
      <c r="C9" s="201" t="s">
        <v>401</v>
      </c>
      <c r="D9" s="202" t="n">
        <v>-324.46</v>
      </c>
      <c r="E9" s="14"/>
      <c r="F9" s="207" t="n">
        <v>44612</v>
      </c>
      <c r="G9" s="207" t="n">
        <v>44613</v>
      </c>
      <c r="H9" s="199" t="s">
        <v>254</v>
      </c>
    </row>
    <row r="10" customFormat="false" ht="18.6" hidden="false" customHeight="true" outlineLevel="0" collapsed="false">
      <c r="A10" s="193"/>
      <c r="B10" s="206" t="s">
        <v>191</v>
      </c>
      <c r="C10" s="201" t="s">
        <v>402</v>
      </c>
      <c r="D10" s="202" t="n">
        <v>-1831.19</v>
      </c>
      <c r="E10" s="14" t="s">
        <v>253</v>
      </c>
      <c r="F10" s="207"/>
      <c r="G10" s="207" t="n">
        <v>44613</v>
      </c>
      <c r="H10" s="199" t="s">
        <v>254</v>
      </c>
    </row>
    <row r="11" customFormat="false" ht="18.6" hidden="false" customHeight="true" outlineLevel="0" collapsed="false">
      <c r="A11" s="193"/>
      <c r="B11" s="206" t="s">
        <v>191</v>
      </c>
      <c r="C11" s="201" t="s">
        <v>403</v>
      </c>
      <c r="D11" s="202" t="n">
        <v>-2034.65</v>
      </c>
      <c r="E11" s="14" t="s">
        <v>253</v>
      </c>
      <c r="F11" s="207" t="n">
        <v>44612</v>
      </c>
      <c r="G11" s="207" t="n">
        <v>44613</v>
      </c>
      <c r="H11" s="199" t="s">
        <v>254</v>
      </c>
    </row>
    <row r="12" customFormat="false" ht="18.6" hidden="false" customHeight="true" outlineLevel="0" collapsed="false">
      <c r="A12" s="193"/>
      <c r="B12" s="206" t="s">
        <v>191</v>
      </c>
      <c r="C12" s="201" t="s">
        <v>404</v>
      </c>
      <c r="D12" s="202" t="n">
        <v>-752.02</v>
      </c>
      <c r="E12" s="14" t="s">
        <v>253</v>
      </c>
      <c r="F12" s="207"/>
      <c r="G12" s="207" t="n">
        <v>44613</v>
      </c>
      <c r="H12" s="199" t="s">
        <v>254</v>
      </c>
    </row>
    <row r="13" customFormat="false" ht="18.6" hidden="false" customHeight="true" outlineLevel="0" collapsed="false">
      <c r="A13" s="193"/>
      <c r="B13" s="206" t="s">
        <v>273</v>
      </c>
      <c r="C13" s="201" t="s">
        <v>405</v>
      </c>
      <c r="D13" s="202" t="n">
        <v>-240.11</v>
      </c>
      <c r="E13" s="14"/>
      <c r="F13" s="207" t="n">
        <v>44620</v>
      </c>
      <c r="G13" s="207" t="n">
        <v>44623</v>
      </c>
      <c r="H13" s="199" t="s">
        <v>254</v>
      </c>
    </row>
    <row r="14" customFormat="false" ht="18.6" hidden="false" customHeight="true" outlineLevel="0" collapsed="false">
      <c r="A14" s="193"/>
      <c r="B14" s="206" t="s">
        <v>275</v>
      </c>
      <c r="C14" s="201" t="s">
        <v>406</v>
      </c>
      <c r="D14" s="202" t="n">
        <v>-3667.2</v>
      </c>
      <c r="E14" s="14" t="s">
        <v>407</v>
      </c>
      <c r="F14" s="207" t="n">
        <v>44620</v>
      </c>
      <c r="G14" s="207" t="n">
        <v>44620</v>
      </c>
      <c r="H14" s="199" t="s">
        <v>254</v>
      </c>
    </row>
    <row r="15" customFormat="false" ht="18.6" hidden="false" customHeight="true" outlineLevel="0" collapsed="false">
      <c r="A15" s="193"/>
      <c r="B15" s="206" t="s">
        <v>275</v>
      </c>
      <c r="C15" s="201" t="s">
        <v>408</v>
      </c>
      <c r="D15" s="202" t="n">
        <v>-4928.88</v>
      </c>
      <c r="E15" s="14" t="s">
        <v>409</v>
      </c>
      <c r="F15" s="207" t="n">
        <v>44620</v>
      </c>
      <c r="G15" s="207" t="n">
        <v>44623</v>
      </c>
      <c r="H15" s="199" t="s">
        <v>254</v>
      </c>
    </row>
    <row r="16" customFormat="false" ht="18.6" hidden="false" customHeight="true" outlineLevel="0" collapsed="false">
      <c r="A16" s="193"/>
      <c r="B16" s="206" t="s">
        <v>275</v>
      </c>
      <c r="C16" s="201" t="s">
        <v>410</v>
      </c>
      <c r="D16" s="202" t="n">
        <v>-3732.36</v>
      </c>
      <c r="E16" s="14" t="s">
        <v>278</v>
      </c>
      <c r="F16" s="207" t="n">
        <v>44620</v>
      </c>
      <c r="G16" s="207" t="n">
        <v>44620</v>
      </c>
      <c r="H16" s="199" t="s">
        <v>254</v>
      </c>
    </row>
    <row r="17" customFormat="false" ht="18.6" hidden="false" customHeight="true" outlineLevel="0" collapsed="false">
      <c r="A17" s="193"/>
      <c r="B17" s="206" t="s">
        <v>275</v>
      </c>
      <c r="C17" s="201" t="s">
        <v>411</v>
      </c>
      <c r="D17" s="202" t="n">
        <v>-40573.92</v>
      </c>
      <c r="E17" s="14" t="s">
        <v>253</v>
      </c>
      <c r="F17" s="207" t="n">
        <v>44620</v>
      </c>
      <c r="G17" s="207" t="n">
        <v>44623</v>
      </c>
      <c r="H17" s="199" t="s">
        <v>254</v>
      </c>
    </row>
    <row r="18" customFormat="false" ht="18.6" hidden="false" customHeight="true" outlineLevel="0" collapsed="false">
      <c r="A18" s="193"/>
      <c r="B18" s="206" t="s">
        <v>291</v>
      </c>
      <c r="C18" s="201" t="s">
        <v>412</v>
      </c>
      <c r="D18" s="202" t="n">
        <v>-2332.25</v>
      </c>
      <c r="E18" s="14" t="s">
        <v>413</v>
      </c>
      <c r="F18" s="207" t="n">
        <v>44620</v>
      </c>
      <c r="G18" s="207" t="n">
        <v>44623</v>
      </c>
      <c r="H18" s="199" t="s">
        <v>254</v>
      </c>
    </row>
    <row r="19" customFormat="false" ht="18.6" hidden="false" customHeight="true" outlineLevel="0" collapsed="false">
      <c r="A19" s="193"/>
      <c r="B19" s="206" t="s">
        <v>291</v>
      </c>
      <c r="C19" s="201" t="s">
        <v>414</v>
      </c>
      <c r="D19" s="202" t="n">
        <v>-689.4</v>
      </c>
      <c r="E19" s="14" t="s">
        <v>294</v>
      </c>
      <c r="F19" s="207" t="n">
        <v>44620</v>
      </c>
      <c r="G19" s="207" t="n">
        <v>44623</v>
      </c>
      <c r="H19" s="199" t="s">
        <v>254</v>
      </c>
    </row>
    <row r="20" customFormat="false" ht="18.6" hidden="false" customHeight="true" outlineLevel="0" collapsed="false">
      <c r="A20" s="193"/>
      <c r="B20" s="206" t="s">
        <v>291</v>
      </c>
      <c r="C20" s="201" t="s">
        <v>415</v>
      </c>
      <c r="D20" s="202" t="n">
        <v>-29558.22</v>
      </c>
      <c r="E20" s="14" t="s">
        <v>263</v>
      </c>
      <c r="F20" s="207" t="n">
        <v>44620</v>
      </c>
      <c r="G20" s="207" t="n">
        <v>44623</v>
      </c>
      <c r="H20" s="199" t="s">
        <v>254</v>
      </c>
    </row>
    <row r="21" customFormat="false" ht="18.6" hidden="false" customHeight="true" outlineLevel="0" collapsed="false">
      <c r="A21" s="193"/>
      <c r="B21" s="206" t="s">
        <v>291</v>
      </c>
      <c r="C21" s="201" t="s">
        <v>416</v>
      </c>
      <c r="D21" s="202" t="n">
        <v>-1980.92</v>
      </c>
      <c r="E21" s="14" t="s">
        <v>417</v>
      </c>
      <c r="F21" s="207" t="n">
        <v>44620</v>
      </c>
      <c r="G21" s="207" t="n">
        <v>44623</v>
      </c>
      <c r="H21" s="199" t="s">
        <v>254</v>
      </c>
    </row>
    <row r="22" customFormat="false" ht="18.6" hidden="false" customHeight="true" outlineLevel="0" collapsed="false">
      <c r="A22" s="193"/>
      <c r="B22" s="206" t="s">
        <v>291</v>
      </c>
      <c r="C22" s="201" t="s">
        <v>418</v>
      </c>
      <c r="D22" s="202" t="n">
        <v>-330.25</v>
      </c>
      <c r="E22" s="14" t="s">
        <v>419</v>
      </c>
      <c r="F22" s="207" t="n">
        <v>44620</v>
      </c>
      <c r="G22" s="207" t="n">
        <v>44623</v>
      </c>
      <c r="H22" s="199" t="s">
        <v>254</v>
      </c>
    </row>
    <row r="23" customFormat="false" ht="18.6" hidden="false" customHeight="true" outlineLevel="0" collapsed="false">
      <c r="A23" s="193"/>
      <c r="B23" s="206" t="s">
        <v>291</v>
      </c>
      <c r="C23" s="201" t="s">
        <v>420</v>
      </c>
      <c r="D23" s="202" t="n">
        <v>-510.52</v>
      </c>
      <c r="E23" s="14" t="s">
        <v>421</v>
      </c>
      <c r="F23" s="207" t="n">
        <v>44620</v>
      </c>
      <c r="G23" s="207" t="n">
        <v>44623</v>
      </c>
      <c r="H23" s="199" t="s">
        <v>254</v>
      </c>
    </row>
    <row r="24" customFormat="false" ht="18.6" hidden="false" customHeight="true" outlineLevel="0" collapsed="false">
      <c r="A24" s="193"/>
      <c r="B24" s="206" t="s">
        <v>422</v>
      </c>
      <c r="C24" s="201" t="s">
        <v>423</v>
      </c>
      <c r="D24" s="202" t="n">
        <v>-711.5</v>
      </c>
      <c r="E24" s="14"/>
      <c r="F24" s="207" t="n">
        <v>44620</v>
      </c>
      <c r="G24" s="207" t="n">
        <v>44620</v>
      </c>
      <c r="H24" s="199" t="s">
        <v>254</v>
      </c>
    </row>
    <row r="25" customFormat="false" ht="18.6" hidden="false" customHeight="true" outlineLevel="0" collapsed="false">
      <c r="A25" s="193"/>
      <c r="B25" s="206" t="s">
        <v>422</v>
      </c>
      <c r="C25" s="201" t="s">
        <v>424</v>
      </c>
      <c r="D25" s="202" t="n">
        <v>-1492.81</v>
      </c>
      <c r="E25" s="14" t="s">
        <v>425</v>
      </c>
      <c r="F25" s="207" t="n">
        <v>44620</v>
      </c>
      <c r="G25" s="207" t="n">
        <v>44620</v>
      </c>
      <c r="H25" s="199" t="s">
        <v>254</v>
      </c>
    </row>
    <row r="26" customFormat="false" ht="18.6" hidden="false" customHeight="true" outlineLevel="0" collapsed="false">
      <c r="A26" s="193"/>
      <c r="B26" s="206" t="s">
        <v>422</v>
      </c>
      <c r="C26" s="201" t="s">
        <v>426</v>
      </c>
      <c r="D26" s="202" t="n">
        <v>-1658.73</v>
      </c>
      <c r="E26" s="14" t="s">
        <v>417</v>
      </c>
      <c r="F26" s="207" t="n">
        <v>44620</v>
      </c>
      <c r="G26" s="207" t="n">
        <v>44620</v>
      </c>
      <c r="H26" s="199" t="s">
        <v>254</v>
      </c>
    </row>
    <row r="27" customFormat="false" ht="18.6" hidden="false" customHeight="true" outlineLevel="0" collapsed="false">
      <c r="A27" s="193"/>
      <c r="B27" s="206" t="s">
        <v>422</v>
      </c>
      <c r="C27" s="201" t="s">
        <v>427</v>
      </c>
      <c r="D27" s="202" t="n">
        <v>-99.28</v>
      </c>
      <c r="E27" s="14" t="s">
        <v>428</v>
      </c>
      <c r="F27" s="207" t="n">
        <v>44620</v>
      </c>
      <c r="G27" s="207" t="n">
        <v>44620</v>
      </c>
      <c r="H27" s="199" t="s">
        <v>254</v>
      </c>
    </row>
    <row r="28" customFormat="false" ht="18.6" hidden="false" customHeight="true" outlineLevel="0" collapsed="false">
      <c r="A28" s="193"/>
      <c r="B28" s="206" t="s">
        <v>422</v>
      </c>
      <c r="C28" s="201" t="s">
        <v>429</v>
      </c>
      <c r="D28" s="202" t="n">
        <v>-28.71</v>
      </c>
      <c r="E28" s="14" t="s">
        <v>430</v>
      </c>
      <c r="F28" s="207" t="n">
        <v>44620</v>
      </c>
      <c r="G28" s="207" t="n">
        <v>44620</v>
      </c>
      <c r="H28" s="199" t="s">
        <v>254</v>
      </c>
    </row>
    <row r="29" customFormat="false" ht="18.6" hidden="false" customHeight="true" outlineLevel="0" collapsed="false">
      <c r="A29" s="193"/>
      <c r="B29" s="206" t="s">
        <v>422</v>
      </c>
      <c r="C29" s="201" t="s">
        <v>431</v>
      </c>
      <c r="D29" s="202" t="n">
        <v>-457.84</v>
      </c>
      <c r="E29" s="14"/>
      <c r="F29" s="207" t="n">
        <v>44620</v>
      </c>
      <c r="G29" s="207" t="n">
        <v>44620</v>
      </c>
      <c r="H29" s="199" t="s">
        <v>254</v>
      </c>
    </row>
    <row r="30" customFormat="false" ht="18.6" hidden="false" customHeight="true" outlineLevel="0" collapsed="false">
      <c r="A30" s="193"/>
      <c r="B30" s="209" t="s">
        <v>422</v>
      </c>
      <c r="C30" s="210" t="s">
        <v>432</v>
      </c>
      <c r="D30" s="211" t="n">
        <v>5829.9</v>
      </c>
      <c r="E30" s="212"/>
      <c r="F30" s="213" t="n">
        <v>44620</v>
      </c>
      <c r="G30" s="207" t="n">
        <v>44620</v>
      </c>
      <c r="H30" s="199" t="s">
        <v>254</v>
      </c>
    </row>
    <row r="31" customFormat="false" ht="18.6" hidden="false" customHeight="true" outlineLevel="0" collapsed="false">
      <c r="A31" s="193"/>
      <c r="B31" s="206" t="s">
        <v>249</v>
      </c>
      <c r="C31" s="201" t="s">
        <v>433</v>
      </c>
      <c r="D31" s="202" t="n">
        <v>12.31</v>
      </c>
      <c r="E31" s="214"/>
      <c r="F31" s="207" t="n">
        <v>44594</v>
      </c>
      <c r="G31" s="204" t="n">
        <v>44624</v>
      </c>
      <c r="H31" s="205" t="s">
        <v>254</v>
      </c>
    </row>
    <row r="32" customFormat="false" ht="18.6" hidden="false" customHeight="true" outlineLevel="0" collapsed="false">
      <c r="A32" s="193"/>
      <c r="B32" s="215" t="s">
        <v>289</v>
      </c>
      <c r="C32" s="216" t="s">
        <v>434</v>
      </c>
      <c r="D32" s="217" t="n">
        <v>-1305.31</v>
      </c>
      <c r="E32" s="218" t="s">
        <v>435</v>
      </c>
      <c r="F32" s="207"/>
      <c r="G32" s="204"/>
      <c r="H32" s="205"/>
    </row>
    <row r="33" customFormat="false" ht="18.6" hidden="false" customHeight="true" outlineLevel="0" collapsed="false">
      <c r="A33" s="193"/>
      <c r="B33" s="206" t="s">
        <v>271</v>
      </c>
      <c r="C33" s="201" t="s">
        <v>436</v>
      </c>
      <c r="D33" s="202" t="n">
        <v>-126.19</v>
      </c>
      <c r="E33" s="14"/>
      <c r="F33" s="207" t="n">
        <v>44620</v>
      </c>
      <c r="G33" s="204" t="n">
        <v>44620</v>
      </c>
      <c r="H33" s="205" t="s">
        <v>254</v>
      </c>
    </row>
    <row r="34" customFormat="false" ht="18.6" hidden="false" customHeight="true" outlineLevel="0" collapsed="false">
      <c r="A34" s="193"/>
      <c r="B34" s="219" t="s">
        <v>35</v>
      </c>
      <c r="C34" s="220"/>
      <c r="D34" s="221" t="n">
        <f aca="false">SUM(D2:D33)</f>
        <v>-118962.8</v>
      </c>
      <c r="E34" s="222"/>
      <c r="F34" s="223"/>
      <c r="G34" s="223"/>
      <c r="H34" s="224"/>
    </row>
    <row r="35" customFormat="false" ht="18.6" hidden="false" customHeight="true" outlineLevel="0" collapsed="false">
      <c r="A35" s="225" t="s">
        <v>299</v>
      </c>
      <c r="B35" s="152" t="s">
        <v>322</v>
      </c>
      <c r="C35" s="153"/>
      <c r="D35" s="154" t="n">
        <v>10078</v>
      </c>
      <c r="E35" s="155" t="s">
        <v>323</v>
      </c>
      <c r="F35" s="156" t="n">
        <v>44607</v>
      </c>
      <c r="G35" s="139" t="n">
        <v>44608</v>
      </c>
      <c r="H35" s="205" t="s">
        <v>254</v>
      </c>
    </row>
    <row r="36" customFormat="false" ht="18.6" hidden="false" customHeight="true" outlineLevel="0" collapsed="false">
      <c r="A36" s="225"/>
      <c r="B36" s="135" t="s">
        <v>300</v>
      </c>
      <c r="C36" s="136" t="s">
        <v>301</v>
      </c>
      <c r="D36" s="137" t="n">
        <v>99.97</v>
      </c>
      <c r="E36" s="138" t="s">
        <v>302</v>
      </c>
      <c r="F36" s="139" t="n">
        <v>44597</v>
      </c>
      <c r="G36" s="139"/>
      <c r="H36" s="205" t="s">
        <v>254</v>
      </c>
    </row>
    <row r="37" customFormat="false" ht="18.6" hidden="false" customHeight="true" outlineLevel="0" collapsed="false">
      <c r="A37" s="225"/>
      <c r="B37" s="135" t="s">
        <v>300</v>
      </c>
      <c r="C37" s="136" t="s">
        <v>303</v>
      </c>
      <c r="D37" s="137" t="n">
        <v>127.11</v>
      </c>
      <c r="E37" s="138" t="s">
        <v>302</v>
      </c>
      <c r="F37" s="139" t="n">
        <v>44597</v>
      </c>
      <c r="G37" s="139" t="n">
        <v>44599</v>
      </c>
      <c r="H37" s="205" t="s">
        <v>254</v>
      </c>
    </row>
    <row r="38" customFormat="false" ht="18.6" hidden="false" customHeight="true" outlineLevel="0" collapsed="false">
      <c r="A38" s="225"/>
      <c r="B38" s="135" t="s">
        <v>300</v>
      </c>
      <c r="C38" s="136" t="s">
        <v>304</v>
      </c>
      <c r="D38" s="137" t="n">
        <v>100.82</v>
      </c>
      <c r="E38" s="138"/>
      <c r="F38" s="139" t="n">
        <v>44597</v>
      </c>
      <c r="G38" s="139" t="n">
        <v>44599</v>
      </c>
      <c r="H38" s="205" t="s">
        <v>254</v>
      </c>
    </row>
    <row r="39" customFormat="false" ht="18.6" hidden="false" customHeight="true" outlineLevel="0" collapsed="false">
      <c r="A39" s="225"/>
      <c r="B39" s="135" t="s">
        <v>300</v>
      </c>
      <c r="C39" s="136" t="s">
        <v>305</v>
      </c>
      <c r="D39" s="137" t="n">
        <v>104.12</v>
      </c>
      <c r="E39" s="138"/>
      <c r="F39" s="139" t="n">
        <v>44597</v>
      </c>
      <c r="G39" s="139" t="n">
        <v>44599</v>
      </c>
      <c r="H39" s="205" t="s">
        <v>254</v>
      </c>
    </row>
    <row r="40" customFormat="false" ht="18.6" hidden="false" customHeight="true" outlineLevel="0" collapsed="false">
      <c r="A40" s="225"/>
      <c r="B40" s="135" t="s">
        <v>300</v>
      </c>
      <c r="C40" s="136" t="s">
        <v>306</v>
      </c>
      <c r="D40" s="137" t="n">
        <v>71.32</v>
      </c>
      <c r="E40" s="138"/>
      <c r="F40" s="139" t="n">
        <v>44597</v>
      </c>
      <c r="G40" s="139" t="n">
        <v>44599</v>
      </c>
      <c r="H40" s="205" t="s">
        <v>254</v>
      </c>
    </row>
    <row r="41" customFormat="false" ht="18.6" hidden="false" customHeight="true" outlineLevel="0" collapsed="false">
      <c r="A41" s="225"/>
      <c r="B41" s="135" t="s">
        <v>300</v>
      </c>
      <c r="C41" s="136" t="s">
        <v>307</v>
      </c>
      <c r="D41" s="137" t="n">
        <v>89.4</v>
      </c>
      <c r="E41" s="138"/>
      <c r="F41" s="139" t="n">
        <v>44597</v>
      </c>
      <c r="G41" s="139" t="n">
        <v>44599</v>
      </c>
      <c r="H41" s="205" t="s">
        <v>254</v>
      </c>
    </row>
    <row r="42" customFormat="false" ht="18.6" hidden="false" customHeight="true" outlineLevel="0" collapsed="false">
      <c r="A42" s="225"/>
      <c r="B42" s="135" t="s">
        <v>314</v>
      </c>
      <c r="C42" s="136"/>
      <c r="D42" s="137" t="n">
        <v>50</v>
      </c>
      <c r="E42" s="138" t="s">
        <v>315</v>
      </c>
      <c r="F42" s="139" t="n">
        <v>44598</v>
      </c>
      <c r="G42" s="139" t="n">
        <v>44599</v>
      </c>
      <c r="H42" s="205" t="s">
        <v>254</v>
      </c>
    </row>
    <row r="43" customFormat="false" ht="18.6" hidden="false" customHeight="true" outlineLevel="0" collapsed="false">
      <c r="A43" s="225"/>
      <c r="B43" s="226" t="s">
        <v>437</v>
      </c>
      <c r="C43" s="136" t="s">
        <v>438</v>
      </c>
      <c r="D43" s="137" t="n">
        <v>20.24</v>
      </c>
      <c r="E43" s="138" t="s">
        <v>376</v>
      </c>
      <c r="F43" s="139" t="n">
        <v>44599</v>
      </c>
      <c r="G43" s="139" t="n">
        <v>44599</v>
      </c>
      <c r="H43" s="205" t="s">
        <v>254</v>
      </c>
    </row>
    <row r="44" customFormat="false" ht="18.6" hidden="false" customHeight="true" outlineLevel="0" collapsed="false">
      <c r="A44" s="225"/>
      <c r="B44" s="152" t="s">
        <v>308</v>
      </c>
      <c r="C44" s="153"/>
      <c r="D44" s="154" t="n">
        <v>3203.09</v>
      </c>
      <c r="E44" s="155" t="s">
        <v>439</v>
      </c>
      <c r="F44" s="156" t="n">
        <v>44599</v>
      </c>
      <c r="G44" s="139" t="n">
        <v>44599</v>
      </c>
      <c r="H44" s="205" t="s">
        <v>254</v>
      </c>
    </row>
    <row r="45" customFormat="false" ht="18.6" hidden="false" customHeight="true" outlineLevel="0" collapsed="false">
      <c r="A45" s="225"/>
      <c r="B45" s="226" t="s">
        <v>437</v>
      </c>
      <c r="C45" s="136" t="s">
        <v>440</v>
      </c>
      <c r="D45" s="137" t="n">
        <v>163.77</v>
      </c>
      <c r="E45" s="138" t="s">
        <v>441</v>
      </c>
      <c r="F45" s="139" t="n">
        <v>44601</v>
      </c>
      <c r="G45" s="139" t="n">
        <v>44601</v>
      </c>
      <c r="H45" s="205" t="s">
        <v>254</v>
      </c>
    </row>
    <row r="46" customFormat="false" ht="18.6" hidden="false" customHeight="true" outlineLevel="0" collapsed="false">
      <c r="A46" s="225"/>
      <c r="B46" s="152" t="s">
        <v>35</v>
      </c>
      <c r="C46" s="153" t="s">
        <v>442</v>
      </c>
      <c r="D46" s="154" t="n">
        <v>1966.62</v>
      </c>
      <c r="E46" s="155"/>
      <c r="F46" s="156" t="n">
        <v>44602</v>
      </c>
      <c r="G46" s="139" t="n">
        <v>44602</v>
      </c>
      <c r="H46" s="205" t="s">
        <v>254</v>
      </c>
    </row>
    <row r="47" customFormat="false" ht="18.6" hidden="false" customHeight="true" outlineLevel="0" collapsed="false">
      <c r="A47" s="225"/>
      <c r="B47" s="135" t="s">
        <v>300</v>
      </c>
      <c r="C47" s="136" t="s">
        <v>320</v>
      </c>
      <c r="D47" s="137" t="n">
        <v>15.24</v>
      </c>
      <c r="E47" s="138" t="s">
        <v>321</v>
      </c>
      <c r="F47" s="139" t="n">
        <v>44607</v>
      </c>
      <c r="G47" s="139" t="n">
        <v>44607</v>
      </c>
      <c r="H47" s="205" t="s">
        <v>254</v>
      </c>
    </row>
    <row r="48" customFormat="false" ht="18.6" hidden="false" customHeight="true" outlineLevel="0" collapsed="false">
      <c r="A48" s="225"/>
      <c r="B48" s="227" t="s">
        <v>300</v>
      </c>
      <c r="C48" s="201" t="s">
        <v>324</v>
      </c>
      <c r="D48" s="228" t="n">
        <v>50.31</v>
      </c>
      <c r="E48" s="229"/>
      <c r="F48" s="207" t="n">
        <v>44607</v>
      </c>
      <c r="G48" s="207" t="n">
        <v>44609</v>
      </c>
      <c r="H48" s="205" t="s">
        <v>254</v>
      </c>
    </row>
    <row r="49" customFormat="false" ht="18.6" hidden="false" customHeight="true" outlineLevel="0" collapsed="false">
      <c r="A49" s="225"/>
      <c r="B49" s="227" t="s">
        <v>314</v>
      </c>
      <c r="C49" s="201"/>
      <c r="D49" s="202" t="n">
        <v>43</v>
      </c>
      <c r="E49" s="229"/>
      <c r="F49" s="207" t="n">
        <v>44612</v>
      </c>
      <c r="G49" s="207" t="n">
        <v>44613</v>
      </c>
      <c r="H49" s="205" t="s">
        <v>254</v>
      </c>
    </row>
    <row r="50" customFormat="false" ht="18.6" hidden="false" customHeight="true" outlineLevel="0" collapsed="false">
      <c r="A50" s="225"/>
      <c r="B50" s="135" t="s">
        <v>314</v>
      </c>
      <c r="C50" s="136"/>
      <c r="D50" s="137" t="n">
        <v>31</v>
      </c>
      <c r="E50" s="138"/>
      <c r="F50" s="139" t="n">
        <v>44612</v>
      </c>
      <c r="G50" s="139" t="n">
        <v>44613</v>
      </c>
      <c r="H50" s="205" t="s">
        <v>254</v>
      </c>
    </row>
    <row r="51" customFormat="false" ht="18.6" hidden="false" customHeight="true" outlineLevel="0" collapsed="false">
      <c r="A51" s="225"/>
      <c r="B51" s="135" t="s">
        <v>314</v>
      </c>
      <c r="C51" s="136"/>
      <c r="D51" s="137" t="n">
        <v>31</v>
      </c>
      <c r="E51" s="138"/>
      <c r="F51" s="139" t="n">
        <v>44612</v>
      </c>
      <c r="G51" s="139" t="n">
        <v>44613</v>
      </c>
      <c r="H51" s="205" t="s">
        <v>254</v>
      </c>
    </row>
    <row r="52" customFormat="false" ht="18.6" hidden="false" customHeight="true" outlineLevel="0" collapsed="false">
      <c r="A52" s="225"/>
      <c r="B52" s="152" t="s">
        <v>327</v>
      </c>
      <c r="C52" s="153" t="s">
        <v>328</v>
      </c>
      <c r="D52" s="154" t="n">
        <v>5074</v>
      </c>
      <c r="E52" s="155"/>
      <c r="F52" s="156" t="n">
        <v>44612</v>
      </c>
      <c r="G52" s="139" t="n">
        <v>44609</v>
      </c>
      <c r="H52" s="205" t="s">
        <v>254</v>
      </c>
    </row>
    <row r="53" customFormat="false" ht="18.6" hidden="false" customHeight="true" outlineLevel="0" collapsed="false">
      <c r="A53" s="225"/>
      <c r="B53" s="152" t="s">
        <v>329</v>
      </c>
      <c r="C53" s="153"/>
      <c r="D53" s="154" t="n">
        <v>1891.31</v>
      </c>
      <c r="E53" s="155"/>
      <c r="F53" s="156" t="n">
        <v>44612</v>
      </c>
      <c r="G53" s="139" t="n">
        <v>44617</v>
      </c>
      <c r="H53" s="205" t="s">
        <v>254</v>
      </c>
    </row>
    <row r="54" customFormat="false" ht="18.6" hidden="false" customHeight="true" outlineLevel="0" collapsed="false">
      <c r="A54" s="225"/>
      <c r="B54" s="135" t="s">
        <v>314</v>
      </c>
      <c r="C54" s="136" t="s">
        <v>325</v>
      </c>
      <c r="D54" s="137" t="n">
        <v>36.54</v>
      </c>
      <c r="E54" s="138" t="s">
        <v>326</v>
      </c>
      <c r="F54" s="139" t="n">
        <v>44617</v>
      </c>
      <c r="G54" s="139" t="n">
        <v>44252</v>
      </c>
      <c r="H54" s="205" t="s">
        <v>254</v>
      </c>
    </row>
    <row r="55" customFormat="false" ht="18.6" hidden="false" customHeight="true" outlineLevel="0" collapsed="false">
      <c r="A55" s="225"/>
      <c r="B55" s="152" t="s">
        <v>337</v>
      </c>
      <c r="C55" s="153"/>
      <c r="D55" s="154" t="n">
        <v>1500.57</v>
      </c>
      <c r="E55" s="155"/>
      <c r="F55" s="156" t="n">
        <v>44617</v>
      </c>
      <c r="G55" s="139" t="n">
        <v>44613</v>
      </c>
      <c r="H55" s="205" t="s">
        <v>254</v>
      </c>
    </row>
    <row r="56" customFormat="false" ht="18.6" hidden="false" customHeight="true" outlineLevel="0" collapsed="false">
      <c r="A56" s="225"/>
      <c r="B56" s="135" t="s">
        <v>338</v>
      </c>
      <c r="C56" s="136" t="s">
        <v>339</v>
      </c>
      <c r="D56" s="137" t="n">
        <v>5283.09</v>
      </c>
      <c r="E56" s="138"/>
      <c r="F56" s="139" t="n">
        <v>44618</v>
      </c>
      <c r="G56" s="139" t="n">
        <v>44617</v>
      </c>
      <c r="H56" s="205" t="s">
        <v>254</v>
      </c>
    </row>
    <row r="57" customFormat="false" ht="18.6" hidden="false" customHeight="true" outlineLevel="0" collapsed="false">
      <c r="A57" s="225"/>
      <c r="B57" s="152" t="s">
        <v>443</v>
      </c>
      <c r="C57" s="153" t="s">
        <v>444</v>
      </c>
      <c r="D57" s="154" t="n">
        <v>796.49</v>
      </c>
      <c r="E57" s="155" t="s">
        <v>253</v>
      </c>
      <c r="F57" s="156" t="n">
        <v>44620</v>
      </c>
      <c r="G57" s="139" t="n">
        <v>44620</v>
      </c>
      <c r="H57" s="205" t="s">
        <v>254</v>
      </c>
    </row>
    <row r="58" customFormat="false" ht="18.6" hidden="false" customHeight="true" outlineLevel="0" collapsed="false">
      <c r="A58" s="225"/>
      <c r="B58" s="152" t="s">
        <v>445</v>
      </c>
      <c r="C58" s="153" t="s">
        <v>446</v>
      </c>
      <c r="D58" s="154" t="n">
        <v>936.1</v>
      </c>
      <c r="E58" s="155"/>
      <c r="F58" s="156" t="n">
        <v>44620</v>
      </c>
      <c r="G58" s="139" t="s">
        <v>447</v>
      </c>
      <c r="H58" s="205" t="s">
        <v>254</v>
      </c>
    </row>
    <row r="59" customFormat="false" ht="18.6" hidden="false" customHeight="true" outlineLevel="0" collapsed="false">
      <c r="A59" s="225"/>
      <c r="B59" s="152" t="s">
        <v>448</v>
      </c>
      <c r="C59" s="153" t="s">
        <v>449</v>
      </c>
      <c r="D59" s="154" t="n">
        <v>1236</v>
      </c>
      <c r="E59" s="155" t="s">
        <v>450</v>
      </c>
      <c r="F59" s="139" t="n">
        <v>44617</v>
      </c>
      <c r="G59" s="139" t="n">
        <v>44617</v>
      </c>
      <c r="H59" s="205" t="s">
        <v>254</v>
      </c>
    </row>
    <row r="60" customFormat="false" ht="18.6" hidden="false" customHeight="true" outlineLevel="0" collapsed="false">
      <c r="A60" s="225"/>
      <c r="B60" s="152" t="s">
        <v>314</v>
      </c>
      <c r="C60" s="153" t="s">
        <v>451</v>
      </c>
      <c r="D60" s="154" t="n">
        <v>43</v>
      </c>
      <c r="E60" s="155" t="s">
        <v>452</v>
      </c>
      <c r="F60" s="156" t="n">
        <v>44613</v>
      </c>
      <c r="G60" s="139" t="n">
        <v>44613</v>
      </c>
      <c r="H60" s="205" t="s">
        <v>254</v>
      </c>
    </row>
    <row r="61" customFormat="false" ht="18.6" hidden="false" customHeight="true" outlineLevel="0" collapsed="false">
      <c r="A61" s="225"/>
      <c r="B61" s="152" t="s">
        <v>35</v>
      </c>
      <c r="C61" s="153" t="s">
        <v>453</v>
      </c>
      <c r="D61" s="154" t="n">
        <v>1748.92</v>
      </c>
      <c r="E61" s="155"/>
      <c r="F61" s="156" t="n">
        <v>44617</v>
      </c>
      <c r="G61" s="139" t="n">
        <v>44617</v>
      </c>
      <c r="H61" s="205" t="s">
        <v>254</v>
      </c>
    </row>
    <row r="62" customFormat="false" ht="18.6" hidden="false" customHeight="true" outlineLevel="0" collapsed="false">
      <c r="A62" s="225"/>
      <c r="B62" s="152" t="s">
        <v>454</v>
      </c>
      <c r="C62" s="153" t="s">
        <v>455</v>
      </c>
      <c r="D62" s="154" t="n">
        <v>366.58</v>
      </c>
      <c r="E62" s="155" t="s">
        <v>253</v>
      </c>
      <c r="F62" s="156" t="n">
        <v>44681</v>
      </c>
      <c r="G62" s="139"/>
      <c r="H62" s="205"/>
    </row>
    <row r="63" customFormat="false" ht="18.6" hidden="false" customHeight="true" outlineLevel="0" collapsed="false">
      <c r="A63" s="225"/>
      <c r="B63" s="152" t="s">
        <v>456</v>
      </c>
      <c r="C63" s="153" t="s">
        <v>457</v>
      </c>
      <c r="D63" s="154" t="n">
        <v>2363.02</v>
      </c>
      <c r="E63" s="155" t="s">
        <v>253</v>
      </c>
      <c r="F63" s="156" t="n">
        <v>44681</v>
      </c>
      <c r="G63" s="139"/>
      <c r="H63" s="205"/>
    </row>
    <row r="64" customFormat="false" ht="18.6" hidden="false" customHeight="true" outlineLevel="0" collapsed="false">
      <c r="A64" s="225"/>
      <c r="B64" s="152"/>
      <c r="C64" s="153"/>
      <c r="D64" s="154"/>
      <c r="E64" s="155"/>
      <c r="F64" s="156"/>
      <c r="G64" s="139"/>
      <c r="H64" s="205"/>
    </row>
    <row r="65" customFormat="false" ht="18.6" hidden="false" customHeight="true" outlineLevel="0" collapsed="false">
      <c r="A65" s="225"/>
      <c r="B65" s="152"/>
      <c r="C65" s="153"/>
      <c r="D65" s="154"/>
      <c r="E65" s="155"/>
      <c r="F65" s="156"/>
      <c r="G65" s="139"/>
      <c r="H65" s="205"/>
    </row>
    <row r="66" customFormat="false" ht="18.6" hidden="false" customHeight="true" outlineLevel="0" collapsed="false">
      <c r="A66" s="225"/>
      <c r="B66" s="219" t="s">
        <v>35</v>
      </c>
      <c r="C66" s="230"/>
      <c r="D66" s="231" t="n">
        <f aca="false">SUM(D35:D65)</f>
        <v>37520.63</v>
      </c>
      <c r="E66" s="222"/>
      <c r="F66" s="223"/>
      <c r="G66" s="223"/>
      <c r="H66" s="224"/>
    </row>
    <row r="67" customFormat="false" ht="18.6" hidden="false" customHeight="true" outlineLevel="0" collapsed="false">
      <c r="A67" s="232" t="s">
        <v>341</v>
      </c>
      <c r="B67" s="206" t="s">
        <v>458</v>
      </c>
      <c r="C67" s="201" t="s">
        <v>459</v>
      </c>
      <c r="D67" s="202" t="n">
        <v>48</v>
      </c>
      <c r="E67" s="214"/>
      <c r="F67" s="207" t="n">
        <v>44594</v>
      </c>
      <c r="G67" s="207"/>
      <c r="H67" s="199"/>
    </row>
    <row r="68" customFormat="false" ht="18.6" hidden="false" customHeight="true" outlineLevel="0" collapsed="false">
      <c r="A68" s="232"/>
      <c r="B68" s="206" t="s">
        <v>460</v>
      </c>
      <c r="C68" s="201" t="s">
        <v>461</v>
      </c>
      <c r="D68" s="202" t="n">
        <v>500</v>
      </c>
      <c r="E68" s="203" t="s">
        <v>462</v>
      </c>
      <c r="F68" s="207" t="n">
        <v>44599</v>
      </c>
      <c r="G68" s="207" t="n">
        <v>44599</v>
      </c>
      <c r="H68" s="199" t="s">
        <v>254</v>
      </c>
    </row>
    <row r="69" customFormat="false" ht="18.6" hidden="false" customHeight="true" outlineLevel="0" collapsed="false">
      <c r="A69" s="232"/>
      <c r="B69" s="200" t="s">
        <v>463</v>
      </c>
      <c r="C69" s="201" t="s">
        <v>464</v>
      </c>
      <c r="D69" s="202" t="n">
        <v>600</v>
      </c>
      <c r="E69" s="233" t="s">
        <v>465</v>
      </c>
      <c r="F69" s="204" t="n">
        <v>44607</v>
      </c>
      <c r="G69" s="204" t="n">
        <v>44599</v>
      </c>
      <c r="H69" s="205" t="s">
        <v>254</v>
      </c>
    </row>
    <row r="70" customFormat="false" ht="18.6" hidden="false" customHeight="true" outlineLevel="0" collapsed="false">
      <c r="A70" s="232"/>
      <c r="B70" s="234" t="s">
        <v>346</v>
      </c>
      <c r="C70" s="201" t="s">
        <v>466</v>
      </c>
      <c r="D70" s="202" t="n">
        <v>7717.52</v>
      </c>
      <c r="E70" s="203" t="s">
        <v>253</v>
      </c>
      <c r="F70" s="204" t="n">
        <v>44606</v>
      </c>
      <c r="G70" s="204" t="n">
        <v>44610</v>
      </c>
      <c r="H70" s="205"/>
      <c r="J70" s="19"/>
    </row>
    <row r="71" customFormat="false" ht="18.6" hidden="false" customHeight="true" outlineLevel="0" collapsed="false">
      <c r="A71" s="232"/>
      <c r="B71" s="200" t="s">
        <v>467</v>
      </c>
      <c r="C71" s="201" t="s">
        <v>468</v>
      </c>
      <c r="D71" s="202" t="n">
        <v>1440</v>
      </c>
      <c r="E71" s="214"/>
      <c r="F71" s="204" t="n">
        <v>44607</v>
      </c>
      <c r="G71" s="204" t="n">
        <v>44609</v>
      </c>
      <c r="H71" s="205" t="s">
        <v>254</v>
      </c>
      <c r="J71" s="18"/>
    </row>
    <row r="72" customFormat="false" ht="18.6" hidden="false" customHeight="true" outlineLevel="0" collapsed="false">
      <c r="A72" s="232"/>
      <c r="B72" s="200" t="s">
        <v>469</v>
      </c>
      <c r="C72" s="201" t="s">
        <v>470</v>
      </c>
      <c r="D72" s="202" t="n">
        <v>650</v>
      </c>
      <c r="E72" s="214" t="s">
        <v>253</v>
      </c>
      <c r="F72" s="204" t="n">
        <v>44607</v>
      </c>
      <c r="G72" s="204" t="n">
        <v>44592</v>
      </c>
      <c r="H72" s="205" t="s">
        <v>254</v>
      </c>
      <c r="I72" s="19"/>
      <c r="J72" s="19"/>
      <c r="K72" s="19"/>
      <c r="L72" s="19"/>
      <c r="M72" s="19"/>
    </row>
    <row r="73" customFormat="false" ht="18.6" hidden="false" customHeight="true" outlineLevel="0" collapsed="false">
      <c r="A73" s="232"/>
      <c r="B73" s="200" t="s">
        <v>128</v>
      </c>
      <c r="C73" s="201"/>
      <c r="D73" s="202" t="n">
        <v>9000</v>
      </c>
      <c r="E73" s="214" t="s">
        <v>471</v>
      </c>
      <c r="F73" s="204" t="n">
        <v>44607</v>
      </c>
      <c r="G73" s="204" t="n">
        <v>44609</v>
      </c>
      <c r="H73" s="205" t="s">
        <v>254</v>
      </c>
      <c r="I73" s="19"/>
      <c r="J73" s="19"/>
      <c r="K73" s="19"/>
      <c r="L73" s="19"/>
      <c r="M73" s="19"/>
    </row>
    <row r="74" customFormat="false" ht="18.6" hidden="false" customHeight="true" outlineLevel="0" collapsed="false">
      <c r="A74" s="232"/>
      <c r="B74" s="235" t="s">
        <v>472</v>
      </c>
      <c r="C74" s="201" t="s">
        <v>473</v>
      </c>
      <c r="D74" s="236" t="n">
        <v>883.54</v>
      </c>
      <c r="E74" s="229" t="s">
        <v>13</v>
      </c>
      <c r="F74" s="207" t="n">
        <v>44620</v>
      </c>
      <c r="G74" s="207"/>
      <c r="H74" s="199"/>
      <c r="J74" s="18"/>
    </row>
    <row r="75" customFormat="false" ht="18.6" hidden="false" customHeight="true" outlineLevel="0" collapsed="false">
      <c r="A75" s="232"/>
      <c r="B75" s="235" t="s">
        <v>186</v>
      </c>
      <c r="C75" s="201" t="s">
        <v>474</v>
      </c>
      <c r="D75" s="202" t="n">
        <v>-4380.4</v>
      </c>
      <c r="E75" s="229" t="s">
        <v>253</v>
      </c>
      <c r="F75" s="207" t="n">
        <v>44620</v>
      </c>
      <c r="G75" s="207" t="n">
        <v>44624</v>
      </c>
      <c r="H75" s="199" t="s">
        <v>254</v>
      </c>
    </row>
    <row r="76" customFormat="false" ht="18.6" hidden="false" customHeight="true" outlineLevel="0" collapsed="false">
      <c r="A76" s="232"/>
      <c r="B76" s="206" t="s">
        <v>475</v>
      </c>
      <c r="C76" s="201" t="s">
        <v>476</v>
      </c>
      <c r="D76" s="202" t="n">
        <v>-2937.12</v>
      </c>
      <c r="E76" s="237" t="s">
        <v>253</v>
      </c>
      <c r="F76" s="204" t="n">
        <v>44620</v>
      </c>
      <c r="G76" s="204" t="n">
        <v>44624</v>
      </c>
      <c r="H76" s="205" t="s">
        <v>254</v>
      </c>
    </row>
    <row r="77" customFormat="false" ht="18.6" hidden="false" customHeight="true" outlineLevel="0" collapsed="false">
      <c r="A77" s="232"/>
      <c r="B77" s="206" t="s">
        <v>361</v>
      </c>
      <c r="C77" s="201" t="s">
        <v>477</v>
      </c>
      <c r="D77" s="202" t="n">
        <v>3297.78</v>
      </c>
      <c r="E77" s="14" t="s">
        <v>478</v>
      </c>
      <c r="F77" s="204" t="n">
        <v>44620</v>
      </c>
      <c r="G77" s="204" t="n">
        <v>44624</v>
      </c>
      <c r="H77" s="205" t="s">
        <v>254</v>
      </c>
      <c r="J77" s="19"/>
    </row>
    <row r="78" customFormat="false" ht="18.6" hidden="false" customHeight="true" outlineLevel="0" collapsed="false">
      <c r="A78" s="232"/>
      <c r="B78" s="206" t="s">
        <v>361</v>
      </c>
      <c r="C78" s="201" t="s">
        <v>479</v>
      </c>
      <c r="D78" s="202" t="n">
        <v>16898.92</v>
      </c>
      <c r="E78" s="233" t="s">
        <v>253</v>
      </c>
      <c r="F78" s="204" t="n">
        <v>44620</v>
      </c>
      <c r="G78" s="204" t="n">
        <v>44624</v>
      </c>
      <c r="H78" s="205" t="s">
        <v>254</v>
      </c>
      <c r="J78" s="18"/>
    </row>
    <row r="79" customFormat="false" ht="18.6" hidden="false" customHeight="true" outlineLevel="0" collapsed="false">
      <c r="A79" s="232"/>
      <c r="B79" s="200" t="s">
        <v>361</v>
      </c>
      <c r="C79" s="201" t="s">
        <v>480</v>
      </c>
      <c r="D79" s="202" t="n">
        <v>5347.79</v>
      </c>
      <c r="E79" s="233" t="s">
        <v>478</v>
      </c>
      <c r="F79" s="204" t="n">
        <v>44620</v>
      </c>
      <c r="G79" s="204" t="n">
        <v>44624</v>
      </c>
      <c r="H79" s="205" t="s">
        <v>254</v>
      </c>
      <c r="J79" s="19"/>
    </row>
    <row r="80" customFormat="false" ht="18.6" hidden="false" customHeight="true" outlineLevel="0" collapsed="false">
      <c r="A80" s="232"/>
      <c r="B80" s="200" t="s">
        <v>361</v>
      </c>
      <c r="C80" s="201" t="s">
        <v>481</v>
      </c>
      <c r="D80" s="202" t="n">
        <v>35016.95</v>
      </c>
      <c r="E80" s="233" t="s">
        <v>253</v>
      </c>
      <c r="F80" s="204" t="n">
        <v>44620</v>
      </c>
      <c r="G80" s="204" t="n">
        <v>44264</v>
      </c>
      <c r="H80" s="205" t="s">
        <v>254</v>
      </c>
    </row>
    <row r="81" customFormat="false" ht="18.6" hidden="false" customHeight="true" outlineLevel="0" collapsed="false">
      <c r="A81" s="232"/>
      <c r="B81" s="234" t="s">
        <v>482</v>
      </c>
      <c r="C81" s="201" t="s">
        <v>483</v>
      </c>
      <c r="D81" s="202" t="n">
        <v>-3960</v>
      </c>
      <c r="E81" s="237" t="s">
        <v>253</v>
      </c>
      <c r="F81" s="204" t="n">
        <v>44620</v>
      </c>
      <c r="G81" s="204" t="n">
        <v>44654</v>
      </c>
      <c r="H81" s="238" t="s">
        <v>254</v>
      </c>
    </row>
    <row r="82" customFormat="false" ht="18.6" hidden="false" customHeight="true" outlineLevel="0" collapsed="false">
      <c r="A82" s="232"/>
      <c r="B82" s="200" t="s">
        <v>187</v>
      </c>
      <c r="C82" s="201" t="s">
        <v>484</v>
      </c>
      <c r="D82" s="202" t="n">
        <v>-1500</v>
      </c>
      <c r="E82" s="233" t="s">
        <v>253</v>
      </c>
      <c r="F82" s="204" t="n">
        <v>44620</v>
      </c>
      <c r="G82" s="204" t="n">
        <v>44623</v>
      </c>
      <c r="H82" s="205" t="s">
        <v>254</v>
      </c>
    </row>
    <row r="83" customFormat="false" ht="18.6" hidden="false" customHeight="true" outlineLevel="0" collapsed="false">
      <c r="A83" s="232"/>
      <c r="B83" s="200" t="s">
        <v>187</v>
      </c>
      <c r="C83" s="201" t="s">
        <v>485</v>
      </c>
      <c r="D83" s="202"/>
      <c r="E83" s="239" t="s">
        <v>486</v>
      </c>
      <c r="F83" s="204" t="n">
        <v>44620</v>
      </c>
      <c r="G83" s="204" t="n">
        <v>44624</v>
      </c>
      <c r="H83" s="205" t="s">
        <v>254</v>
      </c>
    </row>
    <row r="84" customFormat="false" ht="18.6" hidden="false" customHeight="true" outlineLevel="0" collapsed="false">
      <c r="A84" s="232"/>
      <c r="B84" s="200" t="s">
        <v>375</v>
      </c>
      <c r="C84" s="201" t="s">
        <v>487</v>
      </c>
      <c r="D84" s="202" t="n">
        <v>940</v>
      </c>
      <c r="E84" s="237" t="s">
        <v>488</v>
      </c>
      <c r="F84" s="204" t="n">
        <v>44602</v>
      </c>
      <c r="G84" s="204" t="n">
        <v>44629</v>
      </c>
      <c r="H84" s="205" t="s">
        <v>254</v>
      </c>
    </row>
    <row r="85" customFormat="false" ht="18.6" hidden="false" customHeight="true" outlineLevel="0" collapsed="false">
      <c r="A85" s="232"/>
      <c r="B85" s="240" t="s">
        <v>489</v>
      </c>
      <c r="C85" s="136" t="s">
        <v>490</v>
      </c>
      <c r="D85" s="137" t="n">
        <v>-46851.78</v>
      </c>
      <c r="E85" s="142" t="s">
        <v>491</v>
      </c>
      <c r="F85" s="139" t="n">
        <v>44607</v>
      </c>
      <c r="G85" s="139" t="n">
        <v>44624</v>
      </c>
      <c r="H85" s="241" t="s">
        <v>254</v>
      </c>
    </row>
    <row r="86" customFormat="false" ht="18.6" hidden="false" customHeight="true" outlineLevel="0" collapsed="false">
      <c r="A86" s="232"/>
      <c r="B86" s="200"/>
      <c r="C86" s="201"/>
      <c r="D86" s="202"/>
      <c r="E86" s="233"/>
      <c r="F86" s="204"/>
      <c r="G86" s="204"/>
      <c r="H86" s="205"/>
    </row>
    <row r="87" customFormat="false" ht="18.6" hidden="false" customHeight="true" outlineLevel="0" collapsed="false">
      <c r="A87" s="232"/>
      <c r="B87" s="200"/>
      <c r="C87" s="201"/>
      <c r="D87" s="202"/>
      <c r="E87" s="233"/>
      <c r="F87" s="204"/>
      <c r="G87" s="204"/>
      <c r="H87" s="205"/>
    </row>
    <row r="88" customFormat="false" ht="18.6" hidden="false" customHeight="true" outlineLevel="0" collapsed="false">
      <c r="A88" s="232"/>
      <c r="B88" s="200"/>
      <c r="C88" s="201"/>
      <c r="D88" s="202"/>
      <c r="E88" s="233"/>
      <c r="F88" s="204"/>
      <c r="G88" s="204"/>
      <c r="H88" s="205"/>
    </row>
    <row r="89" customFormat="false" ht="18.6" hidden="false" customHeight="true" outlineLevel="0" collapsed="false">
      <c r="A89" s="232"/>
      <c r="B89" s="200" t="s">
        <v>492</v>
      </c>
      <c r="C89" s="201"/>
      <c r="D89" s="202" t="n">
        <v>-590</v>
      </c>
      <c r="E89" s="233" t="s">
        <v>493</v>
      </c>
      <c r="F89" s="204" t="n">
        <v>44231</v>
      </c>
      <c r="G89" s="204" t="n">
        <v>525.65</v>
      </c>
      <c r="H89" s="205" t="s">
        <v>254</v>
      </c>
    </row>
    <row r="90" customFormat="false" ht="18.6" hidden="false" customHeight="true" outlineLevel="0" collapsed="false">
      <c r="A90" s="242"/>
      <c r="B90" s="200" t="s">
        <v>494</v>
      </c>
      <c r="C90" s="201"/>
      <c r="D90" s="243" t="n">
        <v>-2000</v>
      </c>
      <c r="E90" s="233" t="s">
        <v>495</v>
      </c>
      <c r="F90" s="204" t="n">
        <v>44602</v>
      </c>
      <c r="G90" s="204" t="n">
        <v>2408.15</v>
      </c>
      <c r="H90" s="205" t="s">
        <v>254</v>
      </c>
    </row>
    <row r="91" customFormat="false" ht="18.6" hidden="false" customHeight="true" outlineLevel="0" collapsed="false">
      <c r="A91" s="242"/>
      <c r="B91" s="200"/>
      <c r="C91" s="201"/>
      <c r="D91" s="243"/>
      <c r="E91" s="233"/>
      <c r="F91" s="204"/>
      <c r="G91" s="204" t="n">
        <v>52.52</v>
      </c>
      <c r="H91" s="205"/>
    </row>
    <row r="92" customFormat="false" ht="18.6" hidden="false" customHeight="true" outlineLevel="0" collapsed="false">
      <c r="A92" s="244" t="s">
        <v>496</v>
      </c>
      <c r="B92" s="245" t="s">
        <v>35</v>
      </c>
      <c r="C92" s="201"/>
      <c r="D92" s="246" t="n">
        <f aca="false">SUM(D67:D90)</f>
        <v>20121.2</v>
      </c>
      <c r="E92" s="233"/>
      <c r="F92" s="204"/>
      <c r="G92" s="204" t="n">
        <v>4531.34</v>
      </c>
      <c r="H92" s="205"/>
    </row>
    <row r="93" customFormat="false" ht="18.6" hidden="false" customHeight="true" outlineLevel="0" collapsed="false">
      <c r="A93" s="244"/>
      <c r="B93" s="247"/>
      <c r="C93" s="248"/>
      <c r="D93" s="249"/>
      <c r="E93" s="250"/>
      <c r="F93" s="251"/>
      <c r="G93" s="251" t="n">
        <v>1931.86</v>
      </c>
      <c r="H93" s="199"/>
    </row>
    <row r="94" customFormat="false" ht="18.6" hidden="false" customHeight="true" outlineLevel="0" collapsed="false">
      <c r="A94" s="244"/>
      <c r="B94" s="206"/>
      <c r="C94" s="201"/>
      <c r="D94" s="202"/>
      <c r="E94" s="14"/>
      <c r="F94" s="207"/>
      <c r="G94" s="207"/>
      <c r="H94" s="199"/>
    </row>
    <row r="95" customFormat="false" ht="18.6" hidden="false" customHeight="true" outlineLevel="0" collapsed="false">
      <c r="A95" s="244"/>
      <c r="B95" s="206"/>
      <c r="C95" s="201"/>
      <c r="D95" s="202"/>
      <c r="E95" s="14"/>
      <c r="F95" s="207"/>
      <c r="G95" s="207"/>
      <c r="H95" s="199"/>
    </row>
    <row r="96" customFormat="false" ht="21" hidden="false" customHeight="true" outlineLevel="0" collapsed="false">
      <c r="A96" s="252" t="s">
        <v>388</v>
      </c>
      <c r="B96" s="253"/>
      <c r="C96" s="254"/>
      <c r="D96" s="255"/>
      <c r="E96" s="222"/>
      <c r="F96" s="223"/>
      <c r="G96" s="223"/>
      <c r="H96" s="224"/>
    </row>
    <row r="97" customFormat="false" ht="21" hidden="false" customHeight="true" outlineLevel="0" collapsed="false">
      <c r="B97" s="19"/>
      <c r="C97" s="256"/>
      <c r="D97" s="257" t="n">
        <f aca="false">D92+D66+D34</f>
        <v>-61320.97</v>
      </c>
      <c r="E97" s="34"/>
    </row>
  </sheetData>
  <mergeCells count="4">
    <mergeCell ref="A2:A34"/>
    <mergeCell ref="A35:A66"/>
    <mergeCell ref="A67:A89"/>
    <mergeCell ref="A92:A95"/>
  </mergeCells>
  <conditionalFormatting sqref="B2:H2 H67 F70:H73 B66:H66 B86:H96 B68:H68 B4:H34 B70:D73 B74:H84">
    <cfRule type="expression" priority="2" aboveAverage="0" equalAverage="0" bottom="0" percent="0" rank="0" text="" dxfId="101">
      <formula>MOD(ROW(),2)=1</formula>
    </cfRule>
  </conditionalFormatting>
  <conditionalFormatting sqref="F2">
    <cfRule type="timePeriod" priority="3" timePeriod="yesterday" dxfId="102"/>
    <cfRule type="timePeriod" priority="4" timePeriod="today" dxfId="103"/>
    <cfRule type="cellIs" priority="5" operator="lessThan" aboveAverage="0" equalAverage="0" bottom="0" percent="0" rank="0" text="" dxfId="104">
      <formula>_xludf.today()</formula>
    </cfRule>
  </conditionalFormatting>
  <conditionalFormatting sqref="F2 F66 F86:F96 F4:F34 F70:F84">
    <cfRule type="cellIs" priority="6" operator="lessThan" aboveAverage="0" equalAverage="0" bottom="0" percent="0" rank="0" text="" dxfId="105">
      <formula>TODAY()</formula>
    </cfRule>
    <cfRule type="timePeriod" priority="7" timePeriod="last7Days" dxfId="106"/>
    <cfRule type="timePeriod" priority="8" timePeriod="yesterday" dxfId="107"/>
    <cfRule type="timePeriod" priority="9" timePeriod="lastMonth" dxfId="108"/>
    <cfRule type="timePeriod" priority="10" timePeriod="yesterday" dxfId="109"/>
    <cfRule type="timePeriod" priority="11" timePeriod="today" dxfId="110"/>
  </conditionalFormatting>
  <conditionalFormatting sqref="G67">
    <cfRule type="expression" priority="12" aboveAverage="0" equalAverage="0" bottom="0" percent="0" rank="0" text="" dxfId="111">
      <formula>MOD(ROW(),2)=1</formula>
    </cfRule>
  </conditionalFormatting>
  <conditionalFormatting sqref="B67:F67 E70:E73">
    <cfRule type="expression" priority="13" aboveAverage="0" equalAverage="0" bottom="0" percent="0" rank="0" text="" dxfId="112">
      <formula>MOD(ROW(),2)=1</formula>
    </cfRule>
  </conditionalFormatting>
  <conditionalFormatting sqref="F3:H3 B3:C3">
    <cfRule type="expression" priority="14" aboveAverage="0" equalAverage="0" bottom="0" percent="0" rank="0" text="" dxfId="113">
      <formula>MOD(ROW(),2)=1</formula>
    </cfRule>
  </conditionalFormatting>
  <conditionalFormatting sqref="F3">
    <cfRule type="cellIs" priority="15" operator="lessThan" aboveAverage="0" equalAverage="0" bottom="0" percent="0" rank="0" text="" dxfId="114">
      <formula>TODAY()</formula>
    </cfRule>
    <cfRule type="timePeriod" priority="16" timePeriod="last7Days" dxfId="115"/>
    <cfRule type="timePeriod" priority="17" timePeriod="yesterday" dxfId="116"/>
    <cfRule type="timePeriod" priority="18" timePeriod="lastMonth" dxfId="117"/>
    <cfRule type="timePeriod" priority="19" timePeriod="yesterday" dxfId="118"/>
    <cfRule type="timePeriod" priority="20" timePeriod="today" dxfId="119"/>
  </conditionalFormatting>
  <conditionalFormatting sqref="E3 C3">
    <cfRule type="expression" priority="21" aboveAverage="0" equalAverage="0" bottom="0" percent="0" rank="0" text="" dxfId="120">
      <formula>MOD(ROW(),2)=1</formula>
    </cfRule>
  </conditionalFormatting>
  <conditionalFormatting sqref="D3">
    <cfRule type="expression" priority="22" aboveAverage="0" equalAverage="0" bottom="0" percent="0" rank="0" text="" dxfId="121">
      <formula>MOD(ROW(),2)=1</formula>
    </cfRule>
  </conditionalFormatting>
  <conditionalFormatting sqref="B35:G40">
    <cfRule type="expression" priority="23" aboveAverage="0" equalAverage="0" bottom="0" percent="0" rank="0" text="" dxfId="122">
      <formula>MOD(ROW(),2)=1</formula>
    </cfRule>
  </conditionalFormatting>
  <conditionalFormatting sqref="D35:D40">
    <cfRule type="expression" priority="24" aboveAverage="0" equalAverage="0" bottom="0" percent="0" rank="0" text="" dxfId="123">
      <formula>MOD(ROW(),2)=1</formula>
    </cfRule>
  </conditionalFormatting>
  <conditionalFormatting sqref="B41:G41">
    <cfRule type="expression" priority="25" aboveAverage="0" equalAverage="0" bottom="0" percent="0" rank="0" text="" dxfId="124">
      <formula>MOD(ROW(),2)=1</formula>
    </cfRule>
  </conditionalFormatting>
  <conditionalFormatting sqref="D41">
    <cfRule type="expression" priority="26" aboveAverage="0" equalAverage="0" bottom="0" percent="0" rank="0" text="" dxfId="125">
      <formula>MOD(ROW(),2)=1</formula>
    </cfRule>
  </conditionalFormatting>
  <conditionalFormatting sqref="B42:G42">
    <cfRule type="expression" priority="27" aboveAverage="0" equalAverage="0" bottom="0" percent="0" rank="0" text="" dxfId="126">
      <formula>MOD(ROW(),2)=1</formula>
    </cfRule>
  </conditionalFormatting>
  <conditionalFormatting sqref="B42:D42">
    <cfRule type="expression" priority="28" aboveAverage="0" equalAverage="0" bottom="0" percent="0" rank="0" text="" dxfId="127">
      <formula>MOD(ROW(),2)=1</formula>
    </cfRule>
  </conditionalFormatting>
  <conditionalFormatting sqref="D42">
    <cfRule type="expression" priority="29" aboveAverage="0" equalAverage="0" bottom="0" percent="0" rank="0" text="" dxfId="128">
      <formula>MOD(ROW(),2)=1</formula>
    </cfRule>
  </conditionalFormatting>
  <conditionalFormatting sqref="B43:G43">
    <cfRule type="expression" priority="30" aboveAverage="0" equalAverage="0" bottom="0" percent="0" rank="0" text="" dxfId="129">
      <formula>MOD(ROW(),2)=1</formula>
    </cfRule>
  </conditionalFormatting>
  <conditionalFormatting sqref="B43:G43">
    <cfRule type="expression" priority="31" aboveAverage="0" equalAverage="0" bottom="0" percent="0" rank="0" text="" dxfId="130">
      <formula>MOD(ROW(),2)=1</formula>
    </cfRule>
  </conditionalFormatting>
  <conditionalFormatting sqref="B44:G47">
    <cfRule type="expression" priority="32" aboveAverage="0" equalAverage="0" bottom="0" percent="0" rank="0" text="" dxfId="131">
      <formula>MOD(ROW(),2)=1</formula>
    </cfRule>
  </conditionalFormatting>
  <conditionalFormatting sqref="E44:G45 G46:G47 D44:D47">
    <cfRule type="expression" priority="33" aboveAverage="0" equalAverage="0" bottom="0" percent="0" rank="0" text="" dxfId="132">
      <formula>MOD(ROW(),2)=1</formula>
    </cfRule>
  </conditionalFormatting>
  <conditionalFormatting sqref="B44:D44">
    <cfRule type="expression" priority="34" aboveAverage="0" equalAverage="0" bottom="0" percent="0" rank="0" text="" dxfId="133">
      <formula>MOD(ROW(),2)=1</formula>
    </cfRule>
  </conditionalFormatting>
  <conditionalFormatting sqref="B45:D45">
    <cfRule type="expression" priority="35" aboveAverage="0" equalAverage="0" bottom="0" percent="0" rank="0" text="" dxfId="134">
      <formula>MOD(ROW(),2)=1</formula>
    </cfRule>
  </conditionalFormatting>
  <conditionalFormatting sqref="D46:D47">
    <cfRule type="expression" priority="36" aboveAverage="0" equalAverage="0" bottom="0" percent="0" rank="0" text="" dxfId="135">
      <formula>MOD(ROW(),2)=1</formula>
    </cfRule>
  </conditionalFormatting>
  <conditionalFormatting sqref="B46:F47">
    <cfRule type="expression" priority="37" aboveAverage="0" equalAverage="0" bottom="0" percent="0" rank="0" text="" dxfId="136">
      <formula>MOD(ROW(),2)=1</formula>
    </cfRule>
  </conditionalFormatting>
  <conditionalFormatting sqref="F46:F47">
    <cfRule type="cellIs" priority="38" operator="lessThan" aboveAverage="0" equalAverage="0" bottom="0" percent="0" rank="0" text="" dxfId="137">
      <formula>TODAY()</formula>
    </cfRule>
    <cfRule type="timePeriod" priority="39" timePeriod="last7Days" dxfId="138"/>
    <cfRule type="timePeriod" priority="40" timePeriod="yesterday" dxfId="139"/>
    <cfRule type="timePeriod" priority="41" timePeriod="lastMonth" dxfId="140"/>
    <cfRule type="timePeriod" priority="42" timePeriod="yesterday" dxfId="141"/>
    <cfRule type="timePeriod" priority="43" timePeriod="today" dxfId="142"/>
  </conditionalFormatting>
  <conditionalFormatting sqref="B50:G50">
    <cfRule type="expression" priority="44" aboveAverage="0" equalAverage="0" bottom="0" percent="0" rank="0" text="" dxfId="143">
      <formula>MOD(ROW(),2)=1</formula>
    </cfRule>
  </conditionalFormatting>
  <conditionalFormatting sqref="B50:G50">
    <cfRule type="expression" priority="45" aboveAverage="0" equalAverage="0" bottom="0" percent="0" rank="0" text="" dxfId="144">
      <formula>MOD(ROW(),2)=1</formula>
    </cfRule>
  </conditionalFormatting>
  <conditionalFormatting sqref="F48:G49">
    <cfRule type="expression" priority="46" aboveAverage="0" equalAverage="0" bottom="0" percent="0" rank="0" text="" dxfId="145">
      <formula>MOD(ROW(),2)=1</formula>
    </cfRule>
  </conditionalFormatting>
  <conditionalFormatting sqref="F48:F49">
    <cfRule type="cellIs" priority="47" operator="lessThan" aboveAverage="0" equalAverage="0" bottom="0" percent="0" rank="0" text="" dxfId="146">
      <formula>TODAY()</formula>
    </cfRule>
    <cfRule type="timePeriod" priority="48" timePeriod="last7Days" dxfId="147"/>
    <cfRule type="timePeriod" priority="49" timePeriod="yesterday" dxfId="148"/>
    <cfRule type="timePeriod" priority="50" timePeriod="lastMonth" dxfId="149"/>
    <cfRule type="timePeriod" priority="51" timePeriod="yesterday" dxfId="150"/>
    <cfRule type="timePeriod" priority="52" timePeriod="today" dxfId="151"/>
  </conditionalFormatting>
  <conditionalFormatting sqref="C48:E49">
    <cfRule type="expression" priority="53" aboveAverage="0" equalAverage="0" bottom="0" percent="0" rank="0" text="" dxfId="152">
      <formula>MOD(ROW(),2)=1</formula>
    </cfRule>
  </conditionalFormatting>
  <conditionalFormatting sqref="B48:B49">
    <cfRule type="expression" priority="54" aboveAverage="0" equalAverage="0" bottom="0" percent="0" rank="0" text="" dxfId="153">
      <formula>MOD(ROW(),2)=1</formula>
    </cfRule>
  </conditionalFormatting>
  <conditionalFormatting sqref="B51:G52">
    <cfRule type="expression" priority="55" aboveAverage="0" equalAverage="0" bottom="0" percent="0" rank="0" text="" dxfId="154">
      <formula>MOD(ROW(),2)=1</formula>
    </cfRule>
  </conditionalFormatting>
  <conditionalFormatting sqref="G51 D51:D52 E52:G52">
    <cfRule type="expression" priority="56" aboveAverage="0" equalAverage="0" bottom="0" percent="0" rank="0" text="" dxfId="155">
      <formula>MOD(ROW(),2)=1</formula>
    </cfRule>
  </conditionalFormatting>
  <conditionalFormatting sqref="B51:F51">
    <cfRule type="expression" priority="57" aboveAverage="0" equalAverage="0" bottom="0" percent="0" rank="0" text="" dxfId="156">
      <formula>MOD(ROW(),2)=1</formula>
    </cfRule>
  </conditionalFormatting>
  <conditionalFormatting sqref="F51">
    <cfRule type="cellIs" priority="58" operator="lessThan" aboveAverage="0" equalAverage="0" bottom="0" percent="0" rank="0" text="" dxfId="157">
      <formula>TODAY()</formula>
    </cfRule>
    <cfRule type="timePeriod" priority="59" timePeriod="last7Days" dxfId="158"/>
    <cfRule type="timePeriod" priority="60" timePeriod="yesterday" dxfId="159"/>
    <cfRule type="timePeriod" priority="61" timePeriod="lastMonth" dxfId="160"/>
    <cfRule type="timePeriod" priority="62" timePeriod="yesterday" dxfId="161"/>
    <cfRule type="timePeriod" priority="63" timePeriod="today" dxfId="162"/>
  </conditionalFormatting>
  <conditionalFormatting sqref="B52:D52">
    <cfRule type="expression" priority="64" aboveAverage="0" equalAverage="0" bottom="0" percent="0" rank="0" text="" dxfId="163">
      <formula>MOD(ROW(),2)=1</formula>
    </cfRule>
  </conditionalFormatting>
  <conditionalFormatting sqref="B55:G65">
    <cfRule type="expression" priority="65" aboveAverage="0" equalAverage="0" bottom="0" percent="0" rank="0" text="" dxfId="164">
      <formula>MOD(ROW(),2)=1</formula>
    </cfRule>
  </conditionalFormatting>
  <conditionalFormatting sqref="G55:G65 D55:D65">
    <cfRule type="expression" priority="66" aboveAverage="0" equalAverage="0" bottom="0" percent="0" rank="0" text="" dxfId="165">
      <formula>MOD(ROW(),2)=1</formula>
    </cfRule>
  </conditionalFormatting>
  <conditionalFormatting sqref="B55:F65">
    <cfRule type="expression" priority="67" aboveAverage="0" equalAverage="0" bottom="0" percent="0" rank="0" text="" dxfId="166">
      <formula>MOD(ROW(),2)=1</formula>
    </cfRule>
  </conditionalFormatting>
  <conditionalFormatting sqref="F55:F65">
    <cfRule type="cellIs" priority="68" operator="lessThan" aboveAverage="0" equalAverage="0" bottom="0" percent="0" rank="0" text="" dxfId="167">
      <formula>TODAY()</formula>
    </cfRule>
    <cfRule type="timePeriod" priority="69" timePeriod="last7Days" dxfId="168"/>
    <cfRule type="timePeriod" priority="70" timePeriod="yesterday" dxfId="169"/>
    <cfRule type="timePeriod" priority="71" timePeriod="lastMonth" dxfId="170"/>
    <cfRule type="timePeriod" priority="72" timePeriod="yesterday" dxfId="171"/>
    <cfRule type="timePeriod" priority="73" timePeriod="today" dxfId="172"/>
  </conditionalFormatting>
  <conditionalFormatting sqref="B53:G53">
    <cfRule type="expression" priority="74" aboveAverage="0" equalAverage="0" bottom="0" percent="0" rank="0" text="" dxfId="173">
      <formula>MOD(ROW(),2)=1</formula>
    </cfRule>
  </conditionalFormatting>
  <conditionalFormatting sqref="B53:G53">
    <cfRule type="expression" priority="75" aboveAverage="0" equalAverage="0" bottom="0" percent="0" rank="0" text="" dxfId="174">
      <formula>MOD(ROW(),2)=1</formula>
    </cfRule>
  </conditionalFormatting>
  <conditionalFormatting sqref="B54:G54">
    <cfRule type="expression" priority="76" aboveAverage="0" equalAverage="0" bottom="0" percent="0" rank="0" text="" dxfId="175">
      <formula>MOD(ROW(),2)=1</formula>
    </cfRule>
  </conditionalFormatting>
  <conditionalFormatting sqref="B54:G54">
    <cfRule type="expression" priority="77" aboveAverage="0" equalAverage="0" bottom="0" percent="0" rank="0" text="" dxfId="176">
      <formula>MOD(ROW(),2)=1</formula>
    </cfRule>
  </conditionalFormatting>
  <conditionalFormatting sqref="B85:C85 E85:H85">
    <cfRule type="expression" priority="78" aboveAverage="0" equalAverage="0" bottom="0" percent="0" rank="0" text="" dxfId="177">
      <formula>MOD(ROW(),2)=1</formula>
    </cfRule>
  </conditionalFormatting>
  <conditionalFormatting sqref="D85">
    <cfRule type="expression" priority="79" aboveAverage="0" equalAverage="0" bottom="0" percent="0" rank="0" text="" dxfId="178">
      <formula>MOD(ROW(),2)=1</formula>
    </cfRule>
  </conditionalFormatting>
  <conditionalFormatting sqref="B69:H69">
    <cfRule type="expression" priority="80" aboveAverage="0" equalAverage="0" bottom="0" percent="0" rank="0" text="" dxfId="179">
      <formula>MOD(ROW(),2)=1</formula>
    </cfRule>
  </conditionalFormatting>
  <conditionalFormatting sqref="F69">
    <cfRule type="cellIs" priority="81" operator="lessThan" aboveAverage="0" equalAverage="0" bottom="0" percent="0" rank="0" text="" dxfId="180">
      <formula>TODAY()</formula>
    </cfRule>
    <cfRule type="timePeriod" priority="82" timePeriod="last7Days" dxfId="181"/>
    <cfRule type="timePeriod" priority="83" timePeriod="yesterday" dxfId="182"/>
    <cfRule type="timePeriod" priority="84" timePeriod="lastMonth" dxfId="183"/>
    <cfRule type="timePeriod" priority="85" timePeriod="yesterday" dxfId="184"/>
    <cfRule type="timePeriod" priority="86" timePeriod="today" dxfId="185"/>
  </conditionalFormatting>
  <conditionalFormatting sqref="F59">
    <cfRule type="expression" priority="87" aboveAverage="0" equalAverage="0" bottom="0" percent="0" rank="0" text="" dxfId="186">
      <formula>MOD(ROW(),2)=1</formula>
    </cfRule>
  </conditionalFormatting>
  <conditionalFormatting sqref="H35:H65">
    <cfRule type="expression" priority="88" aboveAverage="0" equalAverage="0" bottom="0" percent="0" rank="0" text="" dxfId="187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9" id="{BBD4DA9C-6C26-422C-8C7F-801811C4B07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H35:H65</xm:sqref>
        </x14:conditionalFormatting>
        <x14:conditionalFormatting xmlns:xm="http://schemas.microsoft.com/office/excel/2006/main">
          <x14:cfRule type="iconSet" priority="90" id="{EEF9408A-13DB-4EE9-B7C6-1F4D9FB9FC9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91" id="{9F9072A0-E753-4E75-BAB7-4F15F432EE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H93:H96</xm:sqref>
        </x14:conditionalFormatting>
        <x14:conditionalFormatting xmlns:xm="http://schemas.microsoft.com/office/excel/2006/main">
          <x14:cfRule type="iconSet" priority="92" id="{EB5774C0-2EED-428E-8FC4-C28CEC56701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A92</xm:sqref>
        </x14:conditionalFormatting>
        <x14:conditionalFormatting xmlns:xm="http://schemas.microsoft.com/office/excel/2006/main">
          <x14:cfRule type="iconSet" priority="93" id="{7BA0613B-54CF-4478-A61F-5E74A0DA16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4" id="{49918392-9188-43D2-A0ED-4C77CF319C6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5" id="{F1BEC8F6-4942-4A31-8542-18EA2A44D82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96" id="{C0B39B00-A3A7-4B49-BF8C-6CE42D3333A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7" id="{CA423FA8-ADF8-4E67-936F-3EEAB0A0A1D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8" id="{188CE894-C35A-4760-9B1F-6BA78FAA159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9" id="{72D41777-3A1D-41B7-BACD-6F3F7BA7102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100" id="{79BDBD2F-34F7-43A8-BBAC-BC4D702429C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A67 A35 A2</xm:sqref>
        </x14:conditionalFormatting>
        <x14:conditionalFormatting xmlns:xm="http://schemas.microsoft.com/office/excel/2006/main">
          <x14:cfRule type="iconSet" priority="101" id="{8A58DFC6-DF50-4C9E-AA63-B68FC5CABF4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102" id="{23806029-9049-40E0-B414-96AB33743F8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H86:H92 H74:H84</xm:sqref>
        </x14:conditionalFormatting>
        <x14:conditionalFormatting xmlns:xm="http://schemas.microsoft.com/office/excel/2006/main">
          <x14:cfRule type="iconSet" priority="103" id="{39804AF0-631C-49C6-9E49-C8DE8F7A6EE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H85</xm:sqref>
        </x14:conditionalFormatting>
        <x14:conditionalFormatting xmlns:xm="http://schemas.microsoft.com/office/excel/2006/main">
          <x14:cfRule type="iconSet" priority="104" id="{73BD1B3E-2594-481D-90C0-183D57B93FA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H69</xm:sqref>
        </x14:conditionalFormatting>
        <x14:conditionalFormatting xmlns:xm="http://schemas.microsoft.com/office/excel/2006/main">
          <x14:cfRule type="iconSet" priority="105" id="{8E76BFFC-FF58-4375-9742-6B89A0C7B66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H4:H34</xm:sqref>
        </x14:conditionalFormatting>
        <x14:conditionalFormatting xmlns:xm="http://schemas.microsoft.com/office/excel/2006/main">
          <x14:cfRule type="iconSet" priority="106" id="{80C862B2-0094-483C-96AE-A2EA94AB79C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H70:H73 H67:H68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3" activePane="bottomLeft" state="frozen"/>
      <selection pane="topLeft" activeCell="A1" activeCellId="0" sqref="A1"/>
      <selection pane="bottomLeft" activeCell="D100" activeCellId="0" sqref="D100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35.44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 t="s">
        <v>147</v>
      </c>
      <c r="C2" s="12" t="s">
        <v>497</v>
      </c>
      <c r="D2" s="262" t="n">
        <v>-229.32</v>
      </c>
      <c r="E2" s="14" t="s">
        <v>498</v>
      </c>
      <c r="F2" s="15" t="n">
        <v>44635</v>
      </c>
      <c r="G2" s="16" t="n">
        <v>-229.32</v>
      </c>
      <c r="H2" s="17" t="n">
        <f aca="false">D2-G2</f>
        <v>0</v>
      </c>
      <c r="I2" s="263" t="s">
        <v>254</v>
      </c>
    </row>
    <row r="3" customFormat="false" ht="18.6" hidden="false" customHeight="true" outlineLevel="0" collapsed="false">
      <c r="A3" s="261"/>
      <c r="B3" s="11" t="s">
        <v>147</v>
      </c>
      <c r="C3" s="12" t="s">
        <v>499</v>
      </c>
      <c r="D3" s="264" t="n">
        <v>11986.99</v>
      </c>
      <c r="E3" s="14" t="s">
        <v>253</v>
      </c>
      <c r="F3" s="15" t="n">
        <v>44635</v>
      </c>
      <c r="G3" s="16" t="n">
        <v>11986.99</v>
      </c>
      <c r="H3" s="17" t="n">
        <f aca="false">D3-G3</f>
        <v>0</v>
      </c>
      <c r="I3" s="263" t="s">
        <v>254</v>
      </c>
    </row>
    <row r="4" customFormat="false" ht="18.6" hidden="false" customHeight="true" outlineLevel="0" collapsed="false">
      <c r="A4" s="261"/>
      <c r="B4" s="11" t="s">
        <v>147</v>
      </c>
      <c r="C4" s="12" t="s">
        <v>500</v>
      </c>
      <c r="D4" s="264" t="n">
        <v>11970.9</v>
      </c>
      <c r="E4" s="14" t="s">
        <v>253</v>
      </c>
      <c r="F4" s="15" t="n">
        <v>44635</v>
      </c>
      <c r="G4" s="16" t="n">
        <v>11970.9</v>
      </c>
      <c r="H4" s="17" t="n">
        <f aca="false">D4-G4</f>
        <v>0</v>
      </c>
      <c r="I4" s="263" t="s">
        <v>254</v>
      </c>
      <c r="K4" s="19" t="s">
        <v>501</v>
      </c>
    </row>
    <row r="5" customFormat="false" ht="18.6" hidden="false" customHeight="true" outlineLevel="0" collapsed="false">
      <c r="A5" s="261"/>
      <c r="B5" s="11" t="s">
        <v>394</v>
      </c>
      <c r="C5" s="12" t="s">
        <v>502</v>
      </c>
      <c r="D5" s="264" t="n">
        <v>90</v>
      </c>
      <c r="E5" s="14" t="s">
        <v>503</v>
      </c>
      <c r="F5" s="15" t="n">
        <v>44640</v>
      </c>
      <c r="G5" s="16" t="n">
        <v>90</v>
      </c>
      <c r="H5" s="17" t="n">
        <f aca="false">D5-G5</f>
        <v>0</v>
      </c>
      <c r="I5" s="263" t="s">
        <v>254</v>
      </c>
      <c r="K5" s="18"/>
    </row>
    <row r="6" customFormat="false" ht="18.6" hidden="false" customHeight="true" outlineLevel="0" collapsed="false">
      <c r="A6" s="261"/>
      <c r="B6" s="11" t="s">
        <v>394</v>
      </c>
      <c r="C6" s="12" t="s">
        <v>504</v>
      </c>
      <c r="D6" s="264" t="n">
        <v>292.7</v>
      </c>
      <c r="E6" s="14" t="s">
        <v>253</v>
      </c>
      <c r="F6" s="15" t="n">
        <v>44640</v>
      </c>
      <c r="G6" s="16" t="n">
        <v>292.7</v>
      </c>
      <c r="H6" s="17" t="n">
        <f aca="false">D6-G6</f>
        <v>0</v>
      </c>
      <c r="I6" s="263" t="s">
        <v>254</v>
      </c>
      <c r="K6" s="19"/>
    </row>
    <row r="7" customFormat="false" ht="18.6" hidden="false" customHeight="true" outlineLevel="0" collapsed="false">
      <c r="A7" s="261"/>
      <c r="B7" s="11" t="s">
        <v>394</v>
      </c>
      <c r="C7" s="12" t="s">
        <v>505</v>
      </c>
      <c r="D7" s="264" t="n">
        <v>841.86</v>
      </c>
      <c r="E7" s="14" t="s">
        <v>253</v>
      </c>
      <c r="F7" s="15" t="n">
        <v>44640</v>
      </c>
      <c r="G7" s="16" t="n">
        <v>841.86</v>
      </c>
      <c r="H7" s="17" t="n">
        <f aca="false">D7-G7</f>
        <v>0</v>
      </c>
      <c r="I7" s="263" t="s">
        <v>254</v>
      </c>
      <c r="K7" s="19" t="s">
        <v>506</v>
      </c>
    </row>
    <row r="8" customFormat="false" ht="18.6" hidden="false" customHeight="true" outlineLevel="0" collapsed="false">
      <c r="A8" s="261"/>
      <c r="B8" s="11" t="s">
        <v>394</v>
      </c>
      <c r="C8" s="12" t="s">
        <v>507</v>
      </c>
      <c r="D8" s="264" t="n">
        <v>973.25</v>
      </c>
      <c r="E8" s="14"/>
      <c r="F8" s="15" t="n">
        <v>44640</v>
      </c>
      <c r="G8" s="16" t="n">
        <v>973.25</v>
      </c>
      <c r="H8" s="17" t="n">
        <f aca="false">D8-G8</f>
        <v>0</v>
      </c>
      <c r="I8" s="263" t="s">
        <v>254</v>
      </c>
      <c r="K8" s="19"/>
    </row>
    <row r="9" customFormat="false" ht="18.6" hidden="false" customHeight="true" outlineLevel="0" collapsed="false">
      <c r="A9" s="261"/>
      <c r="B9" s="11" t="s">
        <v>181</v>
      </c>
      <c r="C9" s="12" t="s">
        <v>508</v>
      </c>
      <c r="D9" s="264" t="n">
        <v>364.8</v>
      </c>
      <c r="E9" s="14" t="s">
        <v>253</v>
      </c>
      <c r="F9" s="15" t="n">
        <v>44651</v>
      </c>
      <c r="G9" s="16"/>
      <c r="H9" s="17" t="n">
        <f aca="false">D9-G9</f>
        <v>364.8</v>
      </c>
      <c r="I9" s="263"/>
      <c r="K9" s="20" t="n">
        <f aca="false">D114</f>
        <v>142521.16</v>
      </c>
      <c r="L9" s="20"/>
    </row>
    <row r="10" customFormat="false" ht="18.6" hidden="false" customHeight="true" outlineLevel="0" collapsed="false">
      <c r="A10" s="261"/>
      <c r="B10" s="11" t="s">
        <v>397</v>
      </c>
      <c r="C10" s="12" t="s">
        <v>509</v>
      </c>
      <c r="D10" s="264" t="n">
        <v>5937.68</v>
      </c>
      <c r="E10" s="14" t="s">
        <v>510</v>
      </c>
      <c r="F10" s="15" t="n">
        <v>44651</v>
      </c>
      <c r="G10" s="16" t="n">
        <v>5937.68</v>
      </c>
      <c r="H10" s="17" t="n">
        <f aca="false">D10-G10</f>
        <v>0</v>
      </c>
      <c r="I10" s="263"/>
      <c r="K10" s="19"/>
    </row>
    <row r="11" customFormat="false" ht="18.6" hidden="false" customHeight="true" outlineLevel="0" collapsed="false">
      <c r="A11" s="261"/>
      <c r="B11" s="11" t="s">
        <v>397</v>
      </c>
      <c r="C11" s="12" t="s">
        <v>511</v>
      </c>
      <c r="D11" s="264" t="n">
        <v>78.35</v>
      </c>
      <c r="E11" s="14" t="s">
        <v>268</v>
      </c>
      <c r="F11" s="15" t="n">
        <v>44651</v>
      </c>
      <c r="G11" s="16" t="n">
        <v>78.35</v>
      </c>
      <c r="H11" s="17" t="n">
        <f aca="false">D11-G11</f>
        <v>0</v>
      </c>
      <c r="I11" s="263"/>
      <c r="K11" s="19" t="s">
        <v>512</v>
      </c>
    </row>
    <row r="12" customFormat="false" ht="18.6" hidden="false" customHeight="true" outlineLevel="0" collapsed="false">
      <c r="A12" s="261"/>
      <c r="B12" s="11" t="s">
        <v>273</v>
      </c>
      <c r="C12" s="12" t="s">
        <v>513</v>
      </c>
      <c r="D12" s="264" t="n">
        <v>237.48</v>
      </c>
      <c r="E12" s="14"/>
      <c r="F12" s="15" t="n">
        <v>44651</v>
      </c>
      <c r="G12" s="16" t="n">
        <v>237.48</v>
      </c>
      <c r="H12" s="17" t="n">
        <f aca="false">D12-G12</f>
        <v>0</v>
      </c>
      <c r="I12" s="265" t="n">
        <v>44651</v>
      </c>
      <c r="K12" s="20" t="n">
        <f aca="false">D42</f>
        <v>115247.61</v>
      </c>
      <c r="L12" s="20"/>
    </row>
    <row r="13" customFormat="false" ht="18.6" hidden="false" customHeight="true" outlineLevel="0" collapsed="false">
      <c r="A13" s="261"/>
      <c r="B13" s="11" t="s">
        <v>289</v>
      </c>
      <c r="C13" s="12" t="s">
        <v>514</v>
      </c>
      <c r="D13" s="264" t="n">
        <v>109.42</v>
      </c>
      <c r="E13" s="14" t="s">
        <v>515</v>
      </c>
      <c r="F13" s="15" t="n">
        <v>44651</v>
      </c>
      <c r="G13" s="16" t="n">
        <v>109.42</v>
      </c>
      <c r="H13" s="17" t="n">
        <f aca="false">D13-G13</f>
        <v>0</v>
      </c>
      <c r="I13" s="265" t="n">
        <v>44651</v>
      </c>
    </row>
    <row r="14" customFormat="false" ht="18.6" hidden="false" customHeight="true" outlineLevel="0" collapsed="false">
      <c r="A14" s="261"/>
      <c r="B14" s="11" t="s">
        <v>289</v>
      </c>
      <c r="C14" s="12" t="s">
        <v>516</v>
      </c>
      <c r="D14" s="264" t="n">
        <v>56.71</v>
      </c>
      <c r="E14" s="14" t="s">
        <v>430</v>
      </c>
      <c r="F14" s="15" t="n">
        <v>44651</v>
      </c>
      <c r="G14" s="16" t="n">
        <v>56.71</v>
      </c>
      <c r="H14" s="17" t="n">
        <f aca="false">D14-G14</f>
        <v>0</v>
      </c>
      <c r="I14" s="265" t="n">
        <v>44651</v>
      </c>
      <c r="K14" s="19" t="s">
        <v>517</v>
      </c>
    </row>
    <row r="15" customFormat="false" ht="18.6" hidden="false" customHeight="true" outlineLevel="0" collapsed="false">
      <c r="A15" s="261"/>
      <c r="B15" s="11" t="s">
        <v>289</v>
      </c>
      <c r="C15" s="12" t="s">
        <v>518</v>
      </c>
      <c r="D15" s="264" t="n">
        <v>2926.72</v>
      </c>
      <c r="E15" s="14" t="s">
        <v>280</v>
      </c>
      <c r="F15" s="15" t="n">
        <v>44651</v>
      </c>
      <c r="G15" s="16" t="n">
        <v>2926.72</v>
      </c>
      <c r="H15" s="17" t="n">
        <f aca="false">D15-G15</f>
        <v>0</v>
      </c>
      <c r="I15" s="265" t="n">
        <v>44651</v>
      </c>
      <c r="K15" s="20" t="n">
        <f aca="false">+D114</f>
        <v>142521.16</v>
      </c>
      <c r="L15" s="20"/>
    </row>
    <row r="16" customFormat="false" ht="18.6" hidden="false" customHeight="true" outlineLevel="0" collapsed="false">
      <c r="A16" s="261"/>
      <c r="B16" s="11" t="s">
        <v>289</v>
      </c>
      <c r="C16" s="12" t="s">
        <v>519</v>
      </c>
      <c r="D16" s="264" t="n">
        <v>68.37</v>
      </c>
      <c r="E16" s="14" t="s">
        <v>253</v>
      </c>
      <c r="F16" s="15" t="n">
        <v>44651</v>
      </c>
      <c r="G16" s="266" t="n">
        <v>68.37</v>
      </c>
      <c r="H16" s="17" t="n">
        <f aca="false">D16-G16</f>
        <v>0</v>
      </c>
      <c r="I16" s="265" t="n">
        <v>44651</v>
      </c>
    </row>
    <row r="17" customFormat="false" ht="18.6" hidden="false" customHeight="true" outlineLevel="0" collapsed="false">
      <c r="A17" s="261"/>
      <c r="B17" s="11" t="s">
        <v>289</v>
      </c>
      <c r="C17" s="12" t="s">
        <v>520</v>
      </c>
      <c r="D17" s="264" t="n">
        <v>278.71</v>
      </c>
      <c r="E17" s="14" t="s">
        <v>253</v>
      </c>
      <c r="F17" s="15" t="n">
        <v>44651</v>
      </c>
      <c r="G17" s="266" t="n">
        <v>278.71</v>
      </c>
      <c r="H17" s="17" t="n">
        <f aca="false">D17-G17</f>
        <v>0</v>
      </c>
      <c r="I17" s="265" t="n">
        <v>44651</v>
      </c>
      <c r="K17" s="19" t="s">
        <v>521</v>
      </c>
    </row>
    <row r="18" customFormat="false" ht="18.6" hidden="false" customHeight="true" outlineLevel="0" collapsed="false">
      <c r="A18" s="261"/>
      <c r="B18" s="11" t="s">
        <v>289</v>
      </c>
      <c r="C18" s="12" t="s">
        <v>522</v>
      </c>
      <c r="D18" s="264" t="n">
        <v>304.87</v>
      </c>
      <c r="E18" s="14" t="s">
        <v>258</v>
      </c>
      <c r="F18" s="267" t="n">
        <v>44651</v>
      </c>
      <c r="G18" s="266" t="n">
        <v>304.87</v>
      </c>
      <c r="H18" s="17" t="n">
        <f aca="false">D18-G18</f>
        <v>0</v>
      </c>
      <c r="I18" s="265" t="n">
        <v>44651</v>
      </c>
      <c r="K18" s="21" t="n">
        <f aca="false">K12+K9</f>
        <v>257768.77</v>
      </c>
      <c r="L18" s="21"/>
      <c r="M18" s="21"/>
    </row>
    <row r="19" customFormat="false" ht="18.6" hidden="false" customHeight="true" outlineLevel="0" collapsed="false">
      <c r="A19" s="261"/>
      <c r="B19" s="11" t="s">
        <v>289</v>
      </c>
      <c r="C19" s="12" t="s">
        <v>523</v>
      </c>
      <c r="D19" s="264" t="n">
        <v>26.17</v>
      </c>
      <c r="E19" s="14"/>
      <c r="F19" s="267" t="n">
        <v>44651</v>
      </c>
      <c r="G19" s="266" t="n">
        <v>26.17</v>
      </c>
      <c r="H19" s="17" t="n">
        <f aca="false">D19-G19</f>
        <v>0</v>
      </c>
      <c r="I19" s="265" t="n">
        <v>44651</v>
      </c>
    </row>
    <row r="20" customFormat="false" ht="18.6" hidden="false" customHeight="true" outlineLevel="0" collapsed="false">
      <c r="A20" s="261"/>
      <c r="B20" s="11" t="s">
        <v>289</v>
      </c>
      <c r="C20" s="12" t="s">
        <v>524</v>
      </c>
      <c r="D20" s="264" t="n">
        <v>109.63</v>
      </c>
      <c r="E20" s="14" t="s">
        <v>417</v>
      </c>
      <c r="F20" s="15" t="n">
        <v>44651</v>
      </c>
      <c r="G20" s="266" t="n">
        <v>109.63</v>
      </c>
      <c r="H20" s="17" t="n">
        <f aca="false">D20-G20</f>
        <v>0</v>
      </c>
      <c r="I20" s="265" t="n">
        <v>44651</v>
      </c>
    </row>
    <row r="21" customFormat="false" ht="18.6" hidden="false" customHeight="true" outlineLevel="0" collapsed="false">
      <c r="A21" s="261"/>
      <c r="B21" s="11" t="s">
        <v>289</v>
      </c>
      <c r="C21" s="12" t="s">
        <v>525</v>
      </c>
      <c r="D21" s="264" t="n">
        <v>154.81</v>
      </c>
      <c r="E21" s="14"/>
      <c r="F21" s="267" t="n">
        <v>44651</v>
      </c>
      <c r="G21" s="266" t="n">
        <v>154.81</v>
      </c>
      <c r="H21" s="17" t="n">
        <f aca="false">D21-G21</f>
        <v>0</v>
      </c>
      <c r="I21" s="265" t="n">
        <v>44651</v>
      </c>
    </row>
    <row r="22" customFormat="false" ht="18.6" hidden="false" customHeight="true" outlineLevel="0" collapsed="false">
      <c r="A22" s="261"/>
      <c r="B22" s="11" t="s">
        <v>289</v>
      </c>
      <c r="C22" s="12" t="s">
        <v>526</v>
      </c>
      <c r="D22" s="264" t="n">
        <v>937.71</v>
      </c>
      <c r="E22" s="14"/>
      <c r="F22" s="267" t="n">
        <v>44651</v>
      </c>
      <c r="G22" s="266" t="n">
        <v>937.71</v>
      </c>
      <c r="H22" s="17" t="n">
        <f aca="false">D22-G22</f>
        <v>0</v>
      </c>
      <c r="I22" s="265" t="n">
        <v>44651</v>
      </c>
    </row>
    <row r="23" customFormat="false" ht="18.6" hidden="false" customHeight="true" outlineLevel="0" collapsed="false">
      <c r="A23" s="261"/>
      <c r="B23" s="11" t="s">
        <v>287</v>
      </c>
      <c r="C23" s="12"/>
      <c r="D23" s="264" t="n">
        <v>5829.72</v>
      </c>
      <c r="E23" s="14"/>
      <c r="F23" s="267" t="n">
        <v>44651</v>
      </c>
      <c r="G23" s="266" t="n">
        <v>5829.72</v>
      </c>
      <c r="H23" s="17" t="n">
        <f aca="false">D23-G23</f>
        <v>0</v>
      </c>
      <c r="I23" s="265" t="n">
        <v>44651</v>
      </c>
    </row>
    <row r="24" customFormat="false" ht="18.6" hidden="false" customHeight="true" outlineLevel="0" collapsed="false">
      <c r="A24" s="261"/>
      <c r="B24" s="11" t="s">
        <v>164</v>
      </c>
      <c r="C24" s="12" t="s">
        <v>527</v>
      </c>
      <c r="D24" s="264" t="n">
        <v>213.61</v>
      </c>
      <c r="E24" s="14"/>
      <c r="F24" s="267" t="n">
        <v>44651</v>
      </c>
      <c r="G24" s="266" t="n">
        <v>213.61</v>
      </c>
      <c r="H24" s="17" t="n">
        <f aca="false">D24-G24</f>
        <v>0</v>
      </c>
      <c r="I24" s="265" t="n">
        <v>44651</v>
      </c>
    </row>
    <row r="25" customFormat="false" ht="18.6" hidden="false" customHeight="true" outlineLevel="0" collapsed="false">
      <c r="A25" s="261"/>
      <c r="B25" s="11" t="s">
        <v>291</v>
      </c>
      <c r="C25" s="12" t="s">
        <v>528</v>
      </c>
      <c r="D25" s="264" t="n">
        <v>2985.02</v>
      </c>
      <c r="E25" s="14" t="s">
        <v>11</v>
      </c>
      <c r="F25" s="267" t="n">
        <v>44651</v>
      </c>
      <c r="G25" s="266" t="n">
        <v>2985.02</v>
      </c>
      <c r="H25" s="17" t="n">
        <f aca="false">D25-G25</f>
        <v>0</v>
      </c>
      <c r="I25" s="265" t="n">
        <v>44651</v>
      </c>
    </row>
    <row r="26" customFormat="false" ht="18.6" hidden="false" customHeight="true" outlineLevel="0" collapsed="false">
      <c r="A26" s="261"/>
      <c r="B26" s="11" t="s">
        <v>291</v>
      </c>
      <c r="C26" s="12" t="s">
        <v>529</v>
      </c>
      <c r="D26" s="264" t="n">
        <v>2697.19</v>
      </c>
      <c r="E26" s="14" t="s">
        <v>352</v>
      </c>
      <c r="F26" s="267" t="n">
        <v>44651</v>
      </c>
      <c r="G26" s="266" t="n">
        <v>2697.19</v>
      </c>
      <c r="H26" s="17" t="n">
        <f aca="false">D26-G26</f>
        <v>0</v>
      </c>
      <c r="I26" s="265" t="n">
        <v>44651</v>
      </c>
    </row>
    <row r="27" customFormat="false" ht="18.6" hidden="false" customHeight="true" outlineLevel="0" collapsed="false">
      <c r="A27" s="261"/>
      <c r="B27" s="11" t="s">
        <v>291</v>
      </c>
      <c r="C27" s="12" t="s">
        <v>530</v>
      </c>
      <c r="D27" s="264" t="n">
        <v>12.78</v>
      </c>
      <c r="E27" s="14"/>
      <c r="F27" s="267" t="n">
        <v>44651</v>
      </c>
      <c r="G27" s="268" t="n">
        <v>12.78</v>
      </c>
      <c r="H27" s="17" t="n">
        <f aca="false">D27-G27</f>
        <v>0</v>
      </c>
      <c r="I27" s="265" t="n">
        <v>44651</v>
      </c>
    </row>
    <row r="28" customFormat="false" ht="18.6" hidden="false" customHeight="true" outlineLevel="0" collapsed="false">
      <c r="A28" s="261"/>
      <c r="B28" s="11" t="s">
        <v>291</v>
      </c>
      <c r="C28" s="12" t="s">
        <v>531</v>
      </c>
      <c r="D28" s="264" t="n">
        <v>8253.05</v>
      </c>
      <c r="E28" s="14" t="s">
        <v>253</v>
      </c>
      <c r="F28" s="267" t="n">
        <v>44651</v>
      </c>
      <c r="G28" s="268" t="n">
        <v>8253.05</v>
      </c>
      <c r="H28" s="17" t="n">
        <f aca="false">D28-G28</f>
        <v>0</v>
      </c>
      <c r="I28" s="265" t="n">
        <v>44651</v>
      </c>
    </row>
    <row r="29" customFormat="false" ht="18.6" hidden="false" customHeight="true" outlineLevel="0" collapsed="false">
      <c r="A29" s="261"/>
      <c r="B29" s="11" t="s">
        <v>291</v>
      </c>
      <c r="C29" s="12" t="s">
        <v>532</v>
      </c>
      <c r="D29" s="264" t="n">
        <v>372.04</v>
      </c>
      <c r="E29" s="14"/>
      <c r="F29" s="267" t="n">
        <v>44651</v>
      </c>
      <c r="G29" s="268" t="n">
        <v>372.04</v>
      </c>
      <c r="H29" s="17" t="n">
        <f aca="false">D29-G29</f>
        <v>0</v>
      </c>
      <c r="I29" s="265" t="n">
        <v>44651</v>
      </c>
    </row>
    <row r="30" customFormat="false" ht="18.6" hidden="false" customHeight="true" outlineLevel="0" collapsed="false">
      <c r="A30" s="261"/>
      <c r="B30" s="11" t="s">
        <v>291</v>
      </c>
      <c r="C30" s="12" t="s">
        <v>533</v>
      </c>
      <c r="D30" s="264" t="n">
        <v>1260</v>
      </c>
      <c r="E30" s="14" t="s">
        <v>430</v>
      </c>
      <c r="F30" s="267" t="n">
        <v>44651</v>
      </c>
      <c r="G30" s="268" t="n">
        <v>1260</v>
      </c>
      <c r="H30" s="17" t="n">
        <f aca="false">D30-G30</f>
        <v>0</v>
      </c>
      <c r="I30" s="265" t="n">
        <v>44651</v>
      </c>
    </row>
    <row r="31" customFormat="false" ht="18.6" hidden="false" customHeight="true" outlineLevel="0" collapsed="false">
      <c r="A31" s="261"/>
      <c r="B31" s="11" t="s">
        <v>291</v>
      </c>
      <c r="C31" s="12" t="s">
        <v>534</v>
      </c>
      <c r="D31" s="264" t="n">
        <v>811.2</v>
      </c>
      <c r="E31" s="14" t="s">
        <v>280</v>
      </c>
      <c r="F31" s="267" t="n">
        <v>44651</v>
      </c>
      <c r="G31" s="268" t="n">
        <v>811.2</v>
      </c>
      <c r="H31" s="17" t="n">
        <f aca="false">D31-G31</f>
        <v>0</v>
      </c>
      <c r="I31" s="265" t="n">
        <v>44651</v>
      </c>
    </row>
    <row r="32" customFormat="false" ht="18.6" hidden="false" customHeight="true" outlineLevel="0" collapsed="false">
      <c r="A32" s="261"/>
      <c r="B32" s="11" t="s">
        <v>275</v>
      </c>
      <c r="C32" s="12" t="s">
        <v>535</v>
      </c>
      <c r="D32" s="264" t="n">
        <v>9397.2</v>
      </c>
      <c r="E32" s="14" t="s">
        <v>352</v>
      </c>
      <c r="F32" s="267" t="n">
        <v>44651</v>
      </c>
      <c r="G32" s="268" t="n">
        <v>9397.2</v>
      </c>
      <c r="H32" s="17" t="n">
        <f aca="false">D32-G32</f>
        <v>0</v>
      </c>
      <c r="I32" s="265" t="n">
        <v>44651</v>
      </c>
    </row>
    <row r="33" customFormat="false" ht="18.6" hidden="false" customHeight="true" outlineLevel="0" collapsed="false">
      <c r="A33" s="269"/>
      <c r="B33" s="11" t="s">
        <v>275</v>
      </c>
      <c r="C33" s="12" t="s">
        <v>536</v>
      </c>
      <c r="D33" s="270" t="n">
        <v>1014.6</v>
      </c>
      <c r="E33" s="271"/>
      <c r="F33" s="272" t="n">
        <v>44651</v>
      </c>
      <c r="G33" s="273" t="n">
        <v>1014.6</v>
      </c>
      <c r="H33" s="17" t="n">
        <f aca="false">D33-G33</f>
        <v>0</v>
      </c>
      <c r="I33" s="265" t="n">
        <v>44651</v>
      </c>
    </row>
    <row r="34" customFormat="false" ht="18.6" hidden="false" customHeight="true" outlineLevel="0" collapsed="false">
      <c r="A34" s="269"/>
      <c r="B34" s="274" t="s">
        <v>275</v>
      </c>
      <c r="C34" s="275" t="s">
        <v>537</v>
      </c>
      <c r="D34" s="270" t="n">
        <v>2690.4</v>
      </c>
      <c r="E34" s="271"/>
      <c r="F34" s="272" t="n">
        <v>44651</v>
      </c>
      <c r="G34" s="273" t="n">
        <v>2690.4</v>
      </c>
      <c r="H34" s="17" t="n">
        <f aca="false">D34-G34</f>
        <v>0</v>
      </c>
      <c r="I34" s="265" t="n">
        <v>44651</v>
      </c>
    </row>
    <row r="35" customFormat="false" ht="18.6" hidden="false" customHeight="true" outlineLevel="0" collapsed="false">
      <c r="A35" s="269"/>
      <c r="B35" s="274" t="s">
        <v>275</v>
      </c>
      <c r="C35" s="275" t="s">
        <v>538</v>
      </c>
      <c r="D35" s="270" t="n">
        <v>3655.92</v>
      </c>
      <c r="E35" s="271" t="s">
        <v>11</v>
      </c>
      <c r="F35" s="272" t="n">
        <v>44651</v>
      </c>
      <c r="G35" s="273" t="n">
        <v>3655.92</v>
      </c>
      <c r="H35" s="17" t="n">
        <f aca="false">D35-G35</f>
        <v>0</v>
      </c>
      <c r="I35" s="265" t="n">
        <v>44651</v>
      </c>
    </row>
    <row r="36" customFormat="false" ht="18.6" hidden="false" customHeight="true" outlineLevel="0" collapsed="false">
      <c r="A36" s="269"/>
      <c r="B36" s="274" t="s">
        <v>275</v>
      </c>
      <c r="C36" s="275" t="s">
        <v>539</v>
      </c>
      <c r="D36" s="270" t="n">
        <v>4572.24</v>
      </c>
      <c r="E36" s="271" t="s">
        <v>540</v>
      </c>
      <c r="F36" s="272" t="n">
        <v>44651</v>
      </c>
      <c r="G36" s="273" t="n">
        <v>4572.24</v>
      </c>
      <c r="H36" s="17" t="n">
        <f aca="false">D36-G36</f>
        <v>0</v>
      </c>
      <c r="I36" s="265" t="n">
        <v>44651</v>
      </c>
    </row>
    <row r="37" customFormat="false" ht="18.6" hidden="false" customHeight="true" outlineLevel="0" collapsed="false">
      <c r="A37" s="269"/>
      <c r="B37" s="274" t="s">
        <v>275</v>
      </c>
      <c r="C37" s="275" t="s">
        <v>541</v>
      </c>
      <c r="D37" s="270" t="n">
        <v>23709.96</v>
      </c>
      <c r="E37" s="271" t="s">
        <v>253</v>
      </c>
      <c r="F37" s="272" t="n">
        <v>44651</v>
      </c>
      <c r="G37" s="273" t="n">
        <v>23709.96</v>
      </c>
      <c r="H37" s="17" t="n">
        <f aca="false">D37-G37</f>
        <v>0</v>
      </c>
      <c r="I37" s="265" t="n">
        <v>44651</v>
      </c>
    </row>
    <row r="38" customFormat="false" ht="18.6" hidden="false" customHeight="true" outlineLevel="0" collapsed="false">
      <c r="A38" s="269"/>
      <c r="B38" s="274" t="s">
        <v>275</v>
      </c>
      <c r="C38" s="275" t="s">
        <v>542</v>
      </c>
      <c r="D38" s="270" t="n">
        <v>2588.04</v>
      </c>
      <c r="E38" s="271" t="s">
        <v>354</v>
      </c>
      <c r="F38" s="272" t="n">
        <v>44651</v>
      </c>
      <c r="G38" s="273" t="n">
        <v>2588.04</v>
      </c>
      <c r="H38" s="17" t="n">
        <f aca="false">D38-G38</f>
        <v>0</v>
      </c>
      <c r="I38" s="265" t="n">
        <v>44651</v>
      </c>
    </row>
    <row r="39" customFormat="false" ht="18.6" hidden="false" customHeight="true" outlineLevel="0" collapsed="false">
      <c r="A39" s="269"/>
      <c r="B39" s="276" t="s">
        <v>191</v>
      </c>
      <c r="C39" s="275" t="s">
        <v>543</v>
      </c>
      <c r="D39" s="270" t="n">
        <v>968.62</v>
      </c>
      <c r="E39" s="271" t="s">
        <v>253</v>
      </c>
      <c r="F39" s="272" t="n">
        <v>44271</v>
      </c>
      <c r="G39" s="273" t="n">
        <v>968.62</v>
      </c>
      <c r="H39" s="17" t="n">
        <f aca="false">D39-G39</f>
        <v>0</v>
      </c>
      <c r="I39" s="265" t="n">
        <v>44651</v>
      </c>
    </row>
    <row r="40" customFormat="false" ht="18.6" hidden="false" customHeight="true" outlineLevel="0" collapsed="false">
      <c r="A40" s="269"/>
      <c r="B40" s="276" t="s">
        <v>191</v>
      </c>
      <c r="C40" s="275" t="s">
        <v>544</v>
      </c>
      <c r="D40" s="270" t="n">
        <v>2034.65</v>
      </c>
      <c r="E40" s="271" t="s">
        <v>253</v>
      </c>
      <c r="F40" s="272"/>
      <c r="G40" s="273" t="n">
        <v>2034.65</v>
      </c>
      <c r="H40" s="17" t="n">
        <f aca="false">D40-G40</f>
        <v>0</v>
      </c>
      <c r="I40" s="265" t="n">
        <v>44651</v>
      </c>
    </row>
    <row r="41" customFormat="false" ht="18.6" hidden="false" customHeight="true" outlineLevel="0" collapsed="false">
      <c r="A41" s="269"/>
      <c r="B41" s="277" t="s">
        <v>166</v>
      </c>
      <c r="C41" s="278" t="s">
        <v>545</v>
      </c>
      <c r="D41" s="279" t="n">
        <v>4663.56</v>
      </c>
      <c r="E41" s="280" t="s">
        <v>546</v>
      </c>
      <c r="F41" s="281" t="n">
        <v>44651</v>
      </c>
      <c r="G41" s="282" t="n">
        <v>4663.56</v>
      </c>
      <c r="H41" s="283" t="n">
        <f aca="false">D41-G41</f>
        <v>0</v>
      </c>
      <c r="I41" s="284" t="n">
        <v>44651</v>
      </c>
    </row>
    <row r="42" customFormat="false" ht="18.6" hidden="false" customHeight="true" outlineLevel="0" collapsed="false">
      <c r="A42" s="269"/>
      <c r="B42" s="285" t="s">
        <v>35</v>
      </c>
      <c r="C42" s="286"/>
      <c r="D42" s="287" t="n">
        <f aca="false">+SUM(D2:D41)</f>
        <v>115247.61</v>
      </c>
      <c r="E42" s="288"/>
      <c r="F42" s="289"/>
      <c r="G42" s="290"/>
      <c r="H42" s="291" t="n">
        <f aca="false">+SUM(H2:H41)</f>
        <v>364.8</v>
      </c>
      <c r="I42" s="292"/>
    </row>
    <row r="43" customFormat="false" ht="18.6" hidden="false" customHeight="true" outlineLevel="0" collapsed="false">
      <c r="A43" s="225" t="s">
        <v>299</v>
      </c>
      <c r="B43" s="293" t="s">
        <v>300</v>
      </c>
      <c r="C43" s="12" t="s">
        <v>301</v>
      </c>
      <c r="D43" s="264" t="n">
        <v>99.97</v>
      </c>
      <c r="E43" s="14" t="s">
        <v>302</v>
      </c>
      <c r="F43" s="267"/>
      <c r="G43" s="266" t="n">
        <v>99.97</v>
      </c>
      <c r="H43" s="17" t="n">
        <f aca="false">D43-G43</f>
        <v>0</v>
      </c>
      <c r="I43" s="265" t="n">
        <v>44627</v>
      </c>
    </row>
    <row r="44" customFormat="false" ht="18.6" hidden="false" customHeight="true" outlineLevel="0" collapsed="false">
      <c r="A44" s="225"/>
      <c r="B44" s="294" t="s">
        <v>308</v>
      </c>
      <c r="C44" s="295"/>
      <c r="D44" s="296" t="n">
        <v>3203.09</v>
      </c>
      <c r="E44" s="297" t="s">
        <v>439</v>
      </c>
      <c r="F44" s="298" t="n">
        <v>44599</v>
      </c>
      <c r="G44" s="266" t="n">
        <v>3203.09</v>
      </c>
      <c r="H44" s="17" t="n">
        <f aca="false">D44-G44</f>
        <v>0</v>
      </c>
      <c r="I44" s="265" t="s">
        <v>254</v>
      </c>
    </row>
    <row r="45" customFormat="false" ht="18.6" hidden="false" customHeight="true" outlineLevel="0" collapsed="false">
      <c r="A45" s="225"/>
      <c r="B45" s="293" t="s">
        <v>547</v>
      </c>
      <c r="C45" s="12" t="s">
        <v>548</v>
      </c>
      <c r="D45" s="264" t="n">
        <v>768.98</v>
      </c>
      <c r="E45" s="14" t="s">
        <v>549</v>
      </c>
      <c r="F45" s="267" t="n">
        <v>44622</v>
      </c>
      <c r="G45" s="266" t="n">
        <v>768.98</v>
      </c>
      <c r="H45" s="17" t="n">
        <f aca="false">D45-G45</f>
        <v>0</v>
      </c>
      <c r="I45" s="265" t="s">
        <v>254</v>
      </c>
    </row>
    <row r="46" customFormat="false" ht="18.6" hidden="false" customHeight="true" outlineLevel="0" collapsed="false">
      <c r="A46" s="225"/>
      <c r="B46" s="293" t="s">
        <v>300</v>
      </c>
      <c r="C46" s="12" t="s">
        <v>303</v>
      </c>
      <c r="D46" s="264" t="n">
        <v>127.11</v>
      </c>
      <c r="E46" s="14" t="s">
        <v>302</v>
      </c>
      <c r="F46" s="267" t="n">
        <v>44627</v>
      </c>
      <c r="G46" s="266" t="n">
        <v>127.11</v>
      </c>
      <c r="H46" s="17" t="n">
        <f aca="false">D46-G46</f>
        <v>0</v>
      </c>
      <c r="I46" s="265" t="s">
        <v>254</v>
      </c>
    </row>
    <row r="47" customFormat="false" ht="18.6" hidden="false" customHeight="true" outlineLevel="0" collapsed="false">
      <c r="A47" s="225"/>
      <c r="B47" s="293" t="s">
        <v>300</v>
      </c>
      <c r="C47" s="12" t="s">
        <v>304</v>
      </c>
      <c r="D47" s="264" t="n">
        <v>100.82</v>
      </c>
      <c r="E47" s="14"/>
      <c r="F47" s="267" t="n">
        <v>44627</v>
      </c>
      <c r="G47" s="266" t="n">
        <v>100.82</v>
      </c>
      <c r="H47" s="17" t="n">
        <f aca="false">D47-G47</f>
        <v>0</v>
      </c>
      <c r="I47" s="265" t="s">
        <v>254</v>
      </c>
    </row>
    <row r="48" customFormat="false" ht="18.6" hidden="false" customHeight="true" outlineLevel="0" collapsed="false">
      <c r="A48" s="225"/>
      <c r="B48" s="293" t="s">
        <v>300</v>
      </c>
      <c r="C48" s="12" t="s">
        <v>305</v>
      </c>
      <c r="D48" s="264" t="n">
        <v>104.12</v>
      </c>
      <c r="E48" s="14"/>
      <c r="F48" s="267" t="n">
        <v>44627</v>
      </c>
      <c r="G48" s="266" t="n">
        <v>104.12</v>
      </c>
      <c r="H48" s="17" t="n">
        <f aca="false">D48-G48</f>
        <v>0</v>
      </c>
      <c r="I48" s="265" t="s">
        <v>254</v>
      </c>
    </row>
    <row r="49" customFormat="false" ht="18.6" hidden="false" customHeight="true" outlineLevel="0" collapsed="false">
      <c r="A49" s="225"/>
      <c r="B49" s="293" t="s">
        <v>300</v>
      </c>
      <c r="C49" s="12" t="s">
        <v>306</v>
      </c>
      <c r="D49" s="264" t="n">
        <v>71.32</v>
      </c>
      <c r="E49" s="14"/>
      <c r="F49" s="267" t="n">
        <v>44627</v>
      </c>
      <c r="G49" s="266" t="n">
        <v>71.32</v>
      </c>
      <c r="H49" s="17" t="n">
        <f aca="false">D49-G49</f>
        <v>0</v>
      </c>
      <c r="I49" s="265" t="s">
        <v>254</v>
      </c>
    </row>
    <row r="50" customFormat="false" ht="18.6" hidden="false" customHeight="true" outlineLevel="0" collapsed="false">
      <c r="A50" s="225"/>
      <c r="B50" s="293" t="s">
        <v>300</v>
      </c>
      <c r="C50" s="12" t="s">
        <v>307</v>
      </c>
      <c r="D50" s="264" t="n">
        <v>89.4</v>
      </c>
      <c r="E50" s="14"/>
      <c r="F50" s="267" t="n">
        <v>44627</v>
      </c>
      <c r="G50" s="266" t="n">
        <v>89.4</v>
      </c>
      <c r="H50" s="17" t="n">
        <f aca="false">D50-G50</f>
        <v>0</v>
      </c>
      <c r="I50" s="265" t="s">
        <v>254</v>
      </c>
    </row>
    <row r="51" customFormat="false" ht="18.6" hidden="false" customHeight="true" outlineLevel="0" collapsed="false">
      <c r="A51" s="225"/>
      <c r="B51" s="293" t="s">
        <v>314</v>
      </c>
      <c r="C51" s="12"/>
      <c r="D51" s="264" t="n">
        <v>50</v>
      </c>
      <c r="E51" s="14" t="s">
        <v>315</v>
      </c>
      <c r="F51" s="267" t="n">
        <v>44627</v>
      </c>
      <c r="G51" s="266" t="n">
        <v>50</v>
      </c>
      <c r="H51" s="17" t="n">
        <f aca="false">D51-G51</f>
        <v>0</v>
      </c>
      <c r="I51" s="265" t="s">
        <v>254</v>
      </c>
    </row>
    <row r="52" customFormat="false" ht="18.6" hidden="false" customHeight="true" outlineLevel="0" collapsed="false">
      <c r="A52" s="225"/>
      <c r="B52" s="293" t="s">
        <v>300</v>
      </c>
      <c r="C52" s="12" t="s">
        <v>320</v>
      </c>
      <c r="D52" s="264" t="n">
        <v>15.24</v>
      </c>
      <c r="E52" s="14" t="s">
        <v>321</v>
      </c>
      <c r="F52" s="267" t="n">
        <v>44635</v>
      </c>
      <c r="G52" s="266" t="n">
        <v>15.24</v>
      </c>
      <c r="H52" s="17" t="n">
        <f aca="false">D52-G52</f>
        <v>0</v>
      </c>
      <c r="I52" s="265" t="s">
        <v>254</v>
      </c>
    </row>
    <row r="53" customFormat="false" ht="18.6" hidden="false" customHeight="true" outlineLevel="0" collapsed="false">
      <c r="A53" s="225"/>
      <c r="B53" s="293" t="s">
        <v>300</v>
      </c>
      <c r="C53" s="12" t="s">
        <v>324</v>
      </c>
      <c r="D53" s="264" t="n">
        <v>93.87</v>
      </c>
      <c r="E53" s="14"/>
      <c r="F53" s="267" t="n">
        <v>44635</v>
      </c>
      <c r="G53" s="266" t="n">
        <v>93.87</v>
      </c>
      <c r="H53" s="17" t="n">
        <f aca="false">D53-G53</f>
        <v>0</v>
      </c>
      <c r="I53" s="265" t="n">
        <v>44635</v>
      </c>
    </row>
    <row r="54" customFormat="false" ht="18.6" hidden="false" customHeight="true" outlineLevel="0" collapsed="false">
      <c r="A54" s="225"/>
      <c r="B54" s="293" t="s">
        <v>314</v>
      </c>
      <c r="C54" s="12"/>
      <c r="D54" s="264" t="n">
        <v>43</v>
      </c>
      <c r="E54" s="14"/>
      <c r="F54" s="267" t="n">
        <v>44645</v>
      </c>
      <c r="G54" s="266" t="n">
        <v>43</v>
      </c>
      <c r="H54" s="17" t="n">
        <f aca="false">D54-G54</f>
        <v>0</v>
      </c>
      <c r="I54" s="265" t="s">
        <v>254</v>
      </c>
    </row>
    <row r="55" customFormat="false" ht="18.6" hidden="false" customHeight="true" outlineLevel="0" collapsed="false">
      <c r="A55" s="225"/>
      <c r="B55" s="293" t="s">
        <v>316</v>
      </c>
      <c r="C55" s="12" t="s">
        <v>550</v>
      </c>
      <c r="D55" s="264" t="n">
        <f aca="false">15.95*2</f>
        <v>31.9</v>
      </c>
      <c r="E55" s="14"/>
      <c r="F55" s="267" t="n">
        <v>44629</v>
      </c>
      <c r="G55" s="266" t="n">
        <v>31.9</v>
      </c>
      <c r="H55" s="17" t="n">
        <f aca="false">D55-G55</f>
        <v>0</v>
      </c>
      <c r="I55" s="265" t="s">
        <v>254</v>
      </c>
    </row>
    <row r="56" customFormat="false" ht="18.6" hidden="false" customHeight="true" outlineLevel="0" collapsed="false">
      <c r="A56" s="225"/>
      <c r="B56" s="293" t="s">
        <v>551</v>
      </c>
      <c r="C56" s="12"/>
      <c r="D56" s="264" t="n">
        <v>53.88</v>
      </c>
      <c r="E56" s="14"/>
      <c r="F56" s="267" t="n">
        <v>44627</v>
      </c>
      <c r="G56" s="266" t="n">
        <v>53.88</v>
      </c>
      <c r="H56" s="17" t="n">
        <f aca="false">D56-G56</f>
        <v>0</v>
      </c>
      <c r="I56" s="265" t="s">
        <v>254</v>
      </c>
    </row>
    <row r="57" customFormat="false" ht="18.6" hidden="false" customHeight="true" outlineLevel="0" collapsed="false">
      <c r="A57" s="225"/>
      <c r="B57" s="293" t="s">
        <v>552</v>
      </c>
      <c r="C57" s="12"/>
      <c r="D57" s="264" t="n">
        <v>590</v>
      </c>
      <c r="E57" s="14" t="s">
        <v>553</v>
      </c>
      <c r="F57" s="267" t="n">
        <v>44627</v>
      </c>
      <c r="G57" s="266" t="n">
        <v>590</v>
      </c>
      <c r="H57" s="17" t="n">
        <f aca="false">D57-G57</f>
        <v>0</v>
      </c>
      <c r="I57" s="265" t="s">
        <v>254</v>
      </c>
    </row>
    <row r="58" customFormat="false" ht="18.6" hidden="false" customHeight="true" outlineLevel="0" collapsed="false">
      <c r="A58" s="225"/>
      <c r="B58" s="293" t="s">
        <v>554</v>
      </c>
      <c r="C58" s="12"/>
      <c r="D58" s="264" t="n">
        <v>2200</v>
      </c>
      <c r="E58" s="14" t="s">
        <v>555</v>
      </c>
      <c r="F58" s="267" t="n">
        <v>44627</v>
      </c>
      <c r="G58" s="266" t="n">
        <v>2200</v>
      </c>
      <c r="H58" s="17" t="n">
        <f aca="false">D58-G58</f>
        <v>0</v>
      </c>
      <c r="I58" s="265" t="s">
        <v>254</v>
      </c>
    </row>
    <row r="59" customFormat="false" ht="18.6" hidden="false" customHeight="true" outlineLevel="0" collapsed="false">
      <c r="A59" s="225"/>
      <c r="B59" s="293" t="s">
        <v>556</v>
      </c>
      <c r="C59" s="12"/>
      <c r="D59" s="264" t="n">
        <v>304.78</v>
      </c>
      <c r="E59" s="14" t="s">
        <v>557</v>
      </c>
      <c r="F59" s="267" t="n">
        <v>44627</v>
      </c>
      <c r="G59" s="266" t="n">
        <v>304.78</v>
      </c>
      <c r="H59" s="17" t="n">
        <f aca="false">D59-G59</f>
        <v>0</v>
      </c>
      <c r="I59" s="265" t="s">
        <v>254</v>
      </c>
    </row>
    <row r="60" customFormat="false" ht="18.6" hidden="false" customHeight="true" outlineLevel="0" collapsed="false">
      <c r="A60" s="225"/>
      <c r="B60" s="293" t="s">
        <v>558</v>
      </c>
      <c r="C60" s="12"/>
      <c r="D60" s="264" t="n">
        <v>600</v>
      </c>
      <c r="E60" s="14" t="s">
        <v>462</v>
      </c>
      <c r="F60" s="267" t="n">
        <v>44627</v>
      </c>
      <c r="G60" s="266" t="n">
        <v>600</v>
      </c>
      <c r="H60" s="17" t="n">
        <f aca="false">D60-G60</f>
        <v>0</v>
      </c>
      <c r="I60" s="265" t="s">
        <v>254</v>
      </c>
    </row>
    <row r="61" customFormat="false" ht="18.6" hidden="false" customHeight="true" outlineLevel="0" collapsed="false">
      <c r="A61" s="225"/>
      <c r="B61" s="293" t="s">
        <v>559</v>
      </c>
      <c r="C61" s="12"/>
      <c r="D61" s="264" t="n">
        <v>500</v>
      </c>
      <c r="E61" s="14" t="s">
        <v>462</v>
      </c>
      <c r="F61" s="267" t="n">
        <v>44627</v>
      </c>
      <c r="G61" s="266" t="n">
        <v>500</v>
      </c>
      <c r="H61" s="17" t="n">
        <f aca="false">D61-G61</f>
        <v>0</v>
      </c>
      <c r="I61" s="265" t="s">
        <v>254</v>
      </c>
    </row>
    <row r="62" customFormat="false" ht="18.6" hidden="false" customHeight="true" outlineLevel="0" collapsed="false">
      <c r="A62" s="225"/>
      <c r="B62" s="293" t="s">
        <v>311</v>
      </c>
      <c r="C62" s="12"/>
      <c r="D62" s="264" t="n">
        <v>19.97</v>
      </c>
      <c r="E62" s="14"/>
      <c r="F62" s="267" t="n">
        <v>44628</v>
      </c>
      <c r="G62" s="266" t="n">
        <v>19.97</v>
      </c>
      <c r="H62" s="17" t="n">
        <f aca="false">D62-G62</f>
        <v>0</v>
      </c>
      <c r="I62" s="265" t="s">
        <v>254</v>
      </c>
    </row>
    <row r="63" customFormat="false" ht="18.6" hidden="false" customHeight="true" outlineLevel="0" collapsed="false">
      <c r="A63" s="225"/>
      <c r="B63" s="293" t="s">
        <v>100</v>
      </c>
      <c r="C63" s="12"/>
      <c r="D63" s="264" t="n">
        <v>14.14</v>
      </c>
      <c r="E63" s="14"/>
      <c r="F63" s="267" t="n">
        <v>44630</v>
      </c>
      <c r="G63" s="266" t="n">
        <v>14.14</v>
      </c>
      <c r="H63" s="17" t="n">
        <f aca="false">D63-G63</f>
        <v>0</v>
      </c>
      <c r="I63" s="265" t="s">
        <v>254</v>
      </c>
    </row>
    <row r="64" customFormat="false" ht="18.6" hidden="false" customHeight="true" outlineLevel="0" collapsed="false">
      <c r="A64" s="225"/>
      <c r="B64" s="293" t="s">
        <v>35</v>
      </c>
      <c r="C64" s="12" t="s">
        <v>560</v>
      </c>
      <c r="D64" s="264" t="n">
        <v>1875.91</v>
      </c>
      <c r="E64" s="14"/>
      <c r="F64" s="267" t="n">
        <v>44630</v>
      </c>
      <c r="G64" s="266" t="n">
        <v>1875.91</v>
      </c>
      <c r="H64" s="17" t="n">
        <f aca="false">D64-G64</f>
        <v>0</v>
      </c>
      <c r="I64" s="265" t="s">
        <v>254</v>
      </c>
    </row>
    <row r="65" customFormat="false" ht="18.6" hidden="false" customHeight="true" outlineLevel="0" collapsed="false">
      <c r="A65" s="225"/>
      <c r="B65" s="293" t="s">
        <v>561</v>
      </c>
      <c r="C65" s="12"/>
      <c r="D65" s="264" t="n">
        <v>16.99</v>
      </c>
      <c r="E65" s="14" t="s">
        <v>562</v>
      </c>
      <c r="F65" s="267" t="n">
        <v>44630</v>
      </c>
      <c r="G65" s="266" t="n">
        <v>16.99</v>
      </c>
      <c r="H65" s="17" t="n">
        <f aca="false">D65-G65</f>
        <v>0</v>
      </c>
      <c r="I65" s="265" t="s">
        <v>254</v>
      </c>
    </row>
    <row r="66" customFormat="false" ht="18.6" hidden="false" customHeight="true" outlineLevel="0" collapsed="false">
      <c r="A66" s="225"/>
      <c r="B66" s="299" t="s">
        <v>322</v>
      </c>
      <c r="C66" s="12"/>
      <c r="D66" s="300" t="n">
        <v>11150</v>
      </c>
      <c r="E66" s="14" t="s">
        <v>323</v>
      </c>
      <c r="F66" s="267" t="n">
        <v>44635</v>
      </c>
      <c r="G66" s="266" t="n">
        <v>11150</v>
      </c>
      <c r="H66" s="17" t="n">
        <f aca="false">D66-G66</f>
        <v>0</v>
      </c>
      <c r="I66" s="265" t="s">
        <v>254</v>
      </c>
    </row>
    <row r="67" customFormat="false" ht="18.6" hidden="false" customHeight="true" outlineLevel="0" collapsed="false">
      <c r="A67" s="225"/>
      <c r="B67" s="293" t="s">
        <v>314</v>
      </c>
      <c r="C67" s="12"/>
      <c r="D67" s="264" t="n">
        <v>31</v>
      </c>
      <c r="E67" s="14"/>
      <c r="F67" s="267" t="n">
        <v>44640</v>
      </c>
      <c r="G67" s="266" t="n">
        <v>31</v>
      </c>
      <c r="H67" s="17" t="n">
        <f aca="false">D67-G67</f>
        <v>0</v>
      </c>
      <c r="I67" s="265" t="s">
        <v>254</v>
      </c>
    </row>
    <row r="68" customFormat="false" ht="18.6" hidden="false" customHeight="true" outlineLevel="0" collapsed="false">
      <c r="A68" s="225"/>
      <c r="B68" s="293" t="s">
        <v>314</v>
      </c>
      <c r="C68" s="12"/>
      <c r="D68" s="264" t="n">
        <v>31</v>
      </c>
      <c r="E68" s="14"/>
      <c r="F68" s="267" t="n">
        <v>44640</v>
      </c>
      <c r="G68" s="266" t="n">
        <v>31</v>
      </c>
      <c r="H68" s="17" t="n">
        <f aca="false">D68-G68</f>
        <v>0</v>
      </c>
      <c r="I68" s="265" t="s">
        <v>254</v>
      </c>
    </row>
    <row r="69" customFormat="false" ht="18.6" hidden="false" customHeight="true" outlineLevel="0" collapsed="false">
      <c r="A69" s="225"/>
      <c r="B69" s="293" t="s">
        <v>314</v>
      </c>
      <c r="C69" s="12" t="s">
        <v>325</v>
      </c>
      <c r="D69" s="264" t="n">
        <v>31</v>
      </c>
      <c r="E69" s="14" t="s">
        <v>326</v>
      </c>
      <c r="F69" s="267" t="n">
        <v>44640</v>
      </c>
      <c r="G69" s="266" t="n">
        <v>31</v>
      </c>
      <c r="H69" s="17" t="n">
        <f aca="false">D69-G69</f>
        <v>0</v>
      </c>
      <c r="I69" s="265" t="s">
        <v>254</v>
      </c>
    </row>
    <row r="70" customFormat="false" ht="18.6" hidden="false" customHeight="true" outlineLevel="0" collapsed="false">
      <c r="A70" s="225"/>
      <c r="B70" s="299" t="s">
        <v>338</v>
      </c>
      <c r="C70" s="12" t="s">
        <v>339</v>
      </c>
      <c r="D70" s="300" t="n">
        <v>5283.09</v>
      </c>
      <c r="E70" s="14"/>
      <c r="F70" s="267" t="n">
        <v>44640</v>
      </c>
      <c r="G70" s="266" t="n">
        <v>5283.09</v>
      </c>
      <c r="H70" s="17" t="n">
        <f aca="false">D70-G70</f>
        <v>0</v>
      </c>
      <c r="I70" s="265" t="n">
        <v>44286</v>
      </c>
    </row>
    <row r="71" customFormat="false" ht="18.6" hidden="false" customHeight="true" outlineLevel="0" collapsed="false">
      <c r="A71" s="225"/>
      <c r="B71" s="299" t="s">
        <v>327</v>
      </c>
      <c r="C71" s="12" t="s">
        <v>328</v>
      </c>
      <c r="D71" s="300" t="n">
        <v>4965</v>
      </c>
      <c r="E71" s="14"/>
      <c r="F71" s="267" t="n">
        <v>44635</v>
      </c>
      <c r="G71" s="266" t="n">
        <v>4965</v>
      </c>
      <c r="H71" s="17" t="n">
        <f aca="false">D71-G71</f>
        <v>0</v>
      </c>
      <c r="I71" s="265" t="s">
        <v>254</v>
      </c>
    </row>
    <row r="72" customFormat="false" ht="18.6" hidden="false" customHeight="true" outlineLevel="0" collapsed="false">
      <c r="A72" s="225"/>
      <c r="B72" s="301" t="s">
        <v>329</v>
      </c>
      <c r="C72" s="302"/>
      <c r="D72" s="303" t="n">
        <v>2117.11</v>
      </c>
      <c r="E72" s="142"/>
      <c r="F72" s="304" t="n">
        <v>44640</v>
      </c>
      <c r="G72" s="305" t="n">
        <v>2117.11</v>
      </c>
      <c r="H72" s="17" t="n">
        <f aca="false">D72-G72</f>
        <v>0</v>
      </c>
      <c r="I72" s="265" t="s">
        <v>254</v>
      </c>
    </row>
    <row r="73" customFormat="false" ht="18.6" hidden="false" customHeight="true" outlineLevel="0" collapsed="false">
      <c r="A73" s="225"/>
      <c r="B73" s="299" t="s">
        <v>337</v>
      </c>
      <c r="C73" s="12"/>
      <c r="D73" s="300" t="n">
        <v>1765.42</v>
      </c>
      <c r="E73" s="14"/>
      <c r="F73" s="267" t="n">
        <v>44640</v>
      </c>
      <c r="G73" s="266" t="n">
        <v>1765.42</v>
      </c>
      <c r="H73" s="17" t="n">
        <f aca="false">D73-G73</f>
        <v>0</v>
      </c>
      <c r="I73" s="265" t="s">
        <v>254</v>
      </c>
    </row>
    <row r="74" customFormat="false" ht="18.6" hidden="false" customHeight="true" outlineLevel="0" collapsed="false">
      <c r="A74" s="225"/>
      <c r="B74" s="293" t="s">
        <v>437</v>
      </c>
      <c r="C74" s="12" t="s">
        <v>438</v>
      </c>
      <c r="D74" s="264" t="n">
        <v>20.24</v>
      </c>
      <c r="E74" s="14" t="s">
        <v>376</v>
      </c>
      <c r="F74" s="267" t="n">
        <v>44645</v>
      </c>
      <c r="G74" s="266" t="n">
        <v>20.24</v>
      </c>
      <c r="H74" s="17" t="n">
        <f aca="false">D74-G74</f>
        <v>0</v>
      </c>
      <c r="I74" s="265" t="n">
        <v>44651</v>
      </c>
    </row>
    <row r="75" customFormat="false" ht="18.6" hidden="false" customHeight="true" outlineLevel="0" collapsed="false">
      <c r="A75" s="225"/>
      <c r="B75" s="293" t="s">
        <v>437</v>
      </c>
      <c r="C75" s="12" t="s">
        <v>440</v>
      </c>
      <c r="D75" s="264" t="n">
        <v>163.77</v>
      </c>
      <c r="E75" s="14" t="s">
        <v>441</v>
      </c>
      <c r="F75" s="267" t="n">
        <v>44645</v>
      </c>
      <c r="G75" s="266" t="n">
        <v>163.77</v>
      </c>
      <c r="H75" s="17" t="n">
        <f aca="false">D75-G75</f>
        <v>0</v>
      </c>
      <c r="I75" s="265" t="n">
        <v>44651</v>
      </c>
    </row>
    <row r="76" customFormat="false" ht="18.6" hidden="false" customHeight="true" outlineLevel="0" collapsed="false">
      <c r="A76" s="225"/>
      <c r="B76" s="293" t="s">
        <v>255</v>
      </c>
      <c r="C76" s="12" t="s">
        <v>563</v>
      </c>
      <c r="D76" s="264" t="n">
        <v>142.33</v>
      </c>
      <c r="E76" s="14"/>
      <c r="F76" s="267" t="n">
        <v>44643</v>
      </c>
      <c r="G76" s="266" t="n">
        <v>142.33</v>
      </c>
      <c r="H76" s="17" t="n">
        <f aca="false">D76-G76</f>
        <v>0</v>
      </c>
      <c r="I76" s="265" t="s">
        <v>254</v>
      </c>
    </row>
    <row r="77" customFormat="false" ht="18.6" hidden="false" customHeight="true" outlineLevel="0" collapsed="false">
      <c r="A77" s="225"/>
      <c r="B77" s="293" t="s">
        <v>437</v>
      </c>
      <c r="C77" s="12" t="s">
        <v>564</v>
      </c>
      <c r="D77" s="264" t="n">
        <v>295.19</v>
      </c>
      <c r="E77" s="14" t="s">
        <v>565</v>
      </c>
      <c r="F77" s="267" t="n">
        <v>44634</v>
      </c>
      <c r="G77" s="266" t="n">
        <v>295.19</v>
      </c>
      <c r="H77" s="17" t="n">
        <f aca="false">D77-G77</f>
        <v>0</v>
      </c>
      <c r="I77" s="265" t="s">
        <v>254</v>
      </c>
    </row>
    <row r="78" customFormat="false" ht="18.6" hidden="false" customHeight="true" outlineLevel="0" collapsed="false">
      <c r="A78" s="225"/>
      <c r="B78" s="293" t="s">
        <v>311</v>
      </c>
      <c r="C78" s="12"/>
      <c r="D78" s="264" t="n">
        <v>31.66</v>
      </c>
      <c r="E78" s="14"/>
      <c r="F78" s="267" t="n">
        <v>44645</v>
      </c>
      <c r="G78" s="266" t="n">
        <v>31.66</v>
      </c>
      <c r="H78" s="17" t="n">
        <f aca="false">D78-G78</f>
        <v>0</v>
      </c>
      <c r="I78" s="265" t="s">
        <v>254</v>
      </c>
    </row>
    <row r="79" customFormat="false" ht="18.6" hidden="false" customHeight="true" outlineLevel="0" collapsed="false">
      <c r="A79" s="225"/>
      <c r="B79" s="293" t="s">
        <v>448</v>
      </c>
      <c r="C79" s="12" t="s">
        <v>449</v>
      </c>
      <c r="D79" s="264" t="n">
        <v>1164</v>
      </c>
      <c r="E79" s="14" t="s">
        <v>450</v>
      </c>
      <c r="F79" s="267" t="n">
        <v>44645</v>
      </c>
      <c r="G79" s="266" t="n">
        <v>1164</v>
      </c>
      <c r="H79" s="17" t="n">
        <f aca="false">D79-G79</f>
        <v>0</v>
      </c>
      <c r="I79" s="265" t="s">
        <v>254</v>
      </c>
    </row>
    <row r="80" customFormat="false" ht="18.6" hidden="false" customHeight="true" outlineLevel="0" collapsed="false">
      <c r="A80" s="225"/>
      <c r="B80" s="293" t="s">
        <v>443</v>
      </c>
      <c r="C80" s="12" t="s">
        <v>444</v>
      </c>
      <c r="D80" s="264" t="n">
        <v>796.49</v>
      </c>
      <c r="E80" s="14" t="s">
        <v>253</v>
      </c>
      <c r="F80" s="267" t="n">
        <v>44651</v>
      </c>
      <c r="G80" s="266" t="n">
        <v>796.49</v>
      </c>
      <c r="H80" s="17" t="n">
        <f aca="false">D80-G80</f>
        <v>0</v>
      </c>
      <c r="I80" s="265" t="n">
        <v>44651</v>
      </c>
    </row>
    <row r="81" customFormat="false" ht="18.6" hidden="false" customHeight="true" outlineLevel="0" collapsed="false">
      <c r="A81" s="225"/>
      <c r="B81" s="293" t="s">
        <v>445</v>
      </c>
      <c r="C81" s="12" t="s">
        <v>446</v>
      </c>
      <c r="D81" s="264" t="n">
        <v>936.1</v>
      </c>
      <c r="E81" s="14"/>
      <c r="F81" s="267" t="n">
        <v>44622</v>
      </c>
      <c r="G81" s="266" t="n">
        <v>936.1</v>
      </c>
      <c r="H81" s="17" t="n">
        <f aca="false">D81-G81</f>
        <v>0</v>
      </c>
      <c r="I81" s="265" t="n">
        <v>44622</v>
      </c>
    </row>
    <row r="82" customFormat="false" ht="18.6" hidden="false" customHeight="true" outlineLevel="0" collapsed="false">
      <c r="A82" s="225"/>
      <c r="B82" s="293" t="s">
        <v>566</v>
      </c>
      <c r="C82" s="12" t="s">
        <v>567</v>
      </c>
      <c r="D82" s="264" t="n">
        <v>586.43</v>
      </c>
      <c r="E82" s="14" t="s">
        <v>280</v>
      </c>
      <c r="F82" s="267" t="n">
        <v>44651</v>
      </c>
      <c r="G82" s="266" t="n">
        <v>586.43</v>
      </c>
      <c r="H82" s="17" t="n">
        <f aca="false">D82-G82</f>
        <v>0</v>
      </c>
      <c r="I82" s="265" t="n">
        <v>44651</v>
      </c>
    </row>
    <row r="83" customFormat="false" ht="18.6" hidden="false" customHeight="true" outlineLevel="0" collapsed="false">
      <c r="A83" s="225"/>
      <c r="B83" s="293" t="s">
        <v>164</v>
      </c>
      <c r="C83" s="12" t="s">
        <v>568</v>
      </c>
      <c r="D83" s="264" t="n">
        <v>213.61</v>
      </c>
      <c r="E83" s="14"/>
      <c r="F83" s="267" t="n">
        <v>44651</v>
      </c>
      <c r="G83" s="266" t="n">
        <v>213.61</v>
      </c>
      <c r="H83" s="17" t="n">
        <f aca="false">D83-G83</f>
        <v>0</v>
      </c>
      <c r="I83" s="265" t="n">
        <v>44651</v>
      </c>
    </row>
    <row r="84" customFormat="false" ht="18.6" hidden="false" customHeight="true" outlineLevel="0" collapsed="false">
      <c r="A84" s="225"/>
      <c r="B84" s="293" t="s">
        <v>569</v>
      </c>
      <c r="C84" s="12" t="s">
        <v>570</v>
      </c>
      <c r="D84" s="264" t="n">
        <v>2828.04</v>
      </c>
      <c r="E84" s="14" t="s">
        <v>253</v>
      </c>
      <c r="F84" s="267" t="n">
        <v>44650</v>
      </c>
      <c r="G84" s="266" t="n">
        <v>2828.04</v>
      </c>
      <c r="H84" s="17" t="n">
        <f aca="false">D84-G84</f>
        <v>0</v>
      </c>
      <c r="I84" s="265" t="n">
        <v>44650</v>
      </c>
    </row>
    <row r="85" customFormat="false" ht="18.6" hidden="false" customHeight="true" outlineLevel="0" collapsed="false">
      <c r="A85" s="225"/>
      <c r="B85" s="293" t="s">
        <v>569</v>
      </c>
      <c r="C85" s="12" t="s">
        <v>571</v>
      </c>
      <c r="D85" s="264" t="n">
        <v>275.11</v>
      </c>
      <c r="E85" s="14" t="s">
        <v>253</v>
      </c>
      <c r="F85" s="267" t="n">
        <v>44650</v>
      </c>
      <c r="G85" s="266" t="n">
        <v>275.11</v>
      </c>
      <c r="H85" s="17" t="n">
        <f aca="false">D85-G85</f>
        <v>0</v>
      </c>
      <c r="I85" s="265" t="n">
        <v>44650</v>
      </c>
    </row>
    <row r="86" customFormat="false" ht="18.6" hidden="false" customHeight="true" outlineLevel="0" collapsed="false">
      <c r="A86" s="225"/>
      <c r="B86" s="293" t="s">
        <v>35</v>
      </c>
      <c r="C86" s="12" t="s">
        <v>572</v>
      </c>
      <c r="D86" s="264" t="n">
        <v>2345.35</v>
      </c>
      <c r="E86" s="306"/>
      <c r="F86" s="267" t="n">
        <v>44645</v>
      </c>
      <c r="G86" s="266" t="n">
        <v>2345.35</v>
      </c>
      <c r="H86" s="17" t="n">
        <f aca="false">D86-G86</f>
        <v>0</v>
      </c>
      <c r="I86" s="265" t="n">
        <v>44651</v>
      </c>
    </row>
    <row r="87" customFormat="false" ht="18.6" hidden="false" customHeight="true" outlineLevel="0" collapsed="false">
      <c r="A87" s="225"/>
      <c r="B87" s="293" t="s">
        <v>573</v>
      </c>
      <c r="C87" s="12" t="s">
        <v>574</v>
      </c>
      <c r="D87" s="264" t="n">
        <v>588</v>
      </c>
      <c r="E87" s="306"/>
      <c r="F87" s="267" t="n">
        <v>44645</v>
      </c>
      <c r="G87" s="266" t="n">
        <v>588</v>
      </c>
      <c r="H87" s="17" t="n">
        <f aca="false">D87-G87</f>
        <v>0</v>
      </c>
      <c r="I87" s="265" t="n">
        <v>44651</v>
      </c>
    </row>
    <row r="88" customFormat="false" ht="18.6" hidden="false" customHeight="true" outlineLevel="0" collapsed="false">
      <c r="A88" s="225"/>
      <c r="B88" s="293"/>
      <c r="C88" s="12"/>
      <c r="D88" s="264"/>
      <c r="E88" s="14"/>
      <c r="F88" s="267"/>
      <c r="G88" s="266"/>
      <c r="H88" s="17" t="n">
        <f aca="false">D88-G88</f>
        <v>0</v>
      </c>
      <c r="I88" s="265"/>
    </row>
    <row r="89" customFormat="false" ht="18.6" hidden="false" customHeight="true" outlineLevel="0" collapsed="false">
      <c r="A89" s="225"/>
      <c r="B89" s="307" t="s">
        <v>35</v>
      </c>
      <c r="C89" s="308"/>
      <c r="D89" s="309" t="n">
        <f aca="false">SUM(D43:D88)</f>
        <v>46734.43</v>
      </c>
      <c r="E89" s="310"/>
      <c r="F89" s="311"/>
      <c r="G89" s="312"/>
      <c r="H89" s="291" t="n">
        <f aca="false">+SUM(H43:H88)</f>
        <v>0</v>
      </c>
      <c r="I89" s="313"/>
    </row>
    <row r="90" customFormat="false" ht="18.6" hidden="false" customHeight="true" outlineLevel="0" collapsed="false">
      <c r="A90" s="232" t="s">
        <v>341</v>
      </c>
      <c r="B90" s="314" t="s">
        <v>575</v>
      </c>
      <c r="C90" s="275" t="s">
        <v>576</v>
      </c>
      <c r="D90" s="315" t="n">
        <v>31.2</v>
      </c>
      <c r="E90" s="271"/>
      <c r="F90" s="316" t="n">
        <v>44621</v>
      </c>
      <c r="G90" s="273" t="n">
        <v>31.2</v>
      </c>
      <c r="H90" s="17" t="n">
        <f aca="false">D90-G90</f>
        <v>0</v>
      </c>
      <c r="I90" s="317" t="s">
        <v>254</v>
      </c>
    </row>
    <row r="91" customFormat="false" ht="18.6" hidden="false" customHeight="true" outlineLevel="0" collapsed="false">
      <c r="A91" s="232"/>
      <c r="B91" s="318" t="s">
        <v>577</v>
      </c>
      <c r="C91" s="12" t="s">
        <v>578</v>
      </c>
      <c r="D91" s="264" t="n">
        <v>3328.92</v>
      </c>
      <c r="E91" s="14" t="s">
        <v>253</v>
      </c>
      <c r="F91" s="267" t="n">
        <v>44622</v>
      </c>
      <c r="G91" s="266" t="n">
        <v>3328.92</v>
      </c>
      <c r="H91" s="17" t="n">
        <f aca="false">D91-G91</f>
        <v>0</v>
      </c>
      <c r="I91" s="265" t="n">
        <v>44650</v>
      </c>
    </row>
    <row r="92" customFormat="false" ht="18.6" hidden="false" customHeight="true" outlineLevel="0" collapsed="false">
      <c r="A92" s="232"/>
      <c r="B92" s="293" t="s">
        <v>349</v>
      </c>
      <c r="C92" s="12" t="s">
        <v>579</v>
      </c>
      <c r="D92" s="264" t="n">
        <v>525.65</v>
      </c>
      <c r="E92" s="14" t="s">
        <v>253</v>
      </c>
      <c r="F92" s="267" t="n">
        <v>44624</v>
      </c>
      <c r="G92" s="266" t="n">
        <v>525.65</v>
      </c>
      <c r="H92" s="17" t="n">
        <f aca="false">D92-G92</f>
        <v>0</v>
      </c>
      <c r="I92" s="263" t="s">
        <v>254</v>
      </c>
    </row>
    <row r="93" customFormat="false" ht="18.6" hidden="false" customHeight="true" outlineLevel="0" collapsed="false">
      <c r="A93" s="232"/>
      <c r="B93" s="293" t="s">
        <v>349</v>
      </c>
      <c r="C93" s="12" t="s">
        <v>580</v>
      </c>
      <c r="D93" s="264" t="n">
        <v>2408.15</v>
      </c>
      <c r="E93" s="14" t="s">
        <v>280</v>
      </c>
      <c r="F93" s="267" t="n">
        <v>44624</v>
      </c>
      <c r="G93" s="266" t="n">
        <v>2408.15</v>
      </c>
      <c r="H93" s="17" t="n">
        <f aca="false">D93-G93</f>
        <v>0</v>
      </c>
      <c r="I93" s="263" t="s">
        <v>254</v>
      </c>
    </row>
    <row r="94" customFormat="false" ht="18.6" hidden="false" customHeight="true" outlineLevel="0" collapsed="false">
      <c r="A94" s="232"/>
      <c r="B94" s="318" t="s">
        <v>472</v>
      </c>
      <c r="C94" s="319" t="s">
        <v>581</v>
      </c>
      <c r="D94" s="264" t="n">
        <v>52.52</v>
      </c>
      <c r="E94" s="233" t="s">
        <v>352</v>
      </c>
      <c r="F94" s="320" t="n">
        <v>44624</v>
      </c>
      <c r="G94" s="273" t="n">
        <v>52.52</v>
      </c>
      <c r="H94" s="17" t="n">
        <f aca="false">D94-G94</f>
        <v>0</v>
      </c>
      <c r="I94" s="321" t="s">
        <v>254</v>
      </c>
    </row>
    <row r="95" customFormat="false" ht="18.6" hidden="false" customHeight="true" outlineLevel="0" collapsed="false">
      <c r="A95" s="232"/>
      <c r="B95" s="318" t="s">
        <v>349</v>
      </c>
      <c r="C95" s="319" t="s">
        <v>582</v>
      </c>
      <c r="D95" s="264" t="n">
        <v>4531.34</v>
      </c>
      <c r="E95" s="233" t="s">
        <v>258</v>
      </c>
      <c r="F95" s="320" t="n">
        <v>44624</v>
      </c>
      <c r="G95" s="273" t="n">
        <v>4531.34</v>
      </c>
      <c r="H95" s="17" t="n">
        <f aca="false">D95-G95</f>
        <v>0</v>
      </c>
      <c r="I95" s="321" t="s">
        <v>254</v>
      </c>
    </row>
    <row r="96" customFormat="false" ht="18.6" hidden="false" customHeight="true" outlineLevel="0" collapsed="false">
      <c r="A96" s="232"/>
      <c r="B96" s="318" t="s">
        <v>472</v>
      </c>
      <c r="C96" s="319" t="s">
        <v>583</v>
      </c>
      <c r="D96" s="264" t="n">
        <v>1931.86</v>
      </c>
      <c r="E96" s="233" t="s">
        <v>584</v>
      </c>
      <c r="F96" s="320" t="n">
        <v>44624</v>
      </c>
      <c r="G96" s="273" t="n">
        <v>1931.86</v>
      </c>
      <c r="H96" s="17" t="n">
        <f aca="false">D96-G96</f>
        <v>0</v>
      </c>
      <c r="I96" s="321" t="s">
        <v>254</v>
      </c>
    </row>
    <row r="97" customFormat="false" ht="18.6" hidden="false" customHeight="true" outlineLevel="0" collapsed="false">
      <c r="A97" s="232"/>
      <c r="B97" s="318" t="s">
        <v>187</v>
      </c>
      <c r="C97" s="322" t="s">
        <v>585</v>
      </c>
      <c r="D97" s="264" t="n">
        <v>3000</v>
      </c>
      <c r="E97" s="233" t="s">
        <v>253</v>
      </c>
      <c r="F97" s="323" t="n">
        <v>44625</v>
      </c>
      <c r="G97" s="273" t="n">
        <v>3000</v>
      </c>
      <c r="H97" s="17" t="n">
        <f aca="false">D97-G97</f>
        <v>0</v>
      </c>
      <c r="I97" s="321"/>
    </row>
    <row r="98" customFormat="false" ht="18.6" hidden="false" customHeight="true" outlineLevel="0" collapsed="false">
      <c r="A98" s="232"/>
      <c r="B98" s="318" t="s">
        <v>148</v>
      </c>
      <c r="C98" s="12" t="s">
        <v>586</v>
      </c>
      <c r="D98" s="264" t="n">
        <v>1052.34</v>
      </c>
      <c r="E98" s="14"/>
      <c r="F98" s="267" t="n">
        <v>44625</v>
      </c>
      <c r="G98" s="16"/>
      <c r="H98" s="17" t="n">
        <f aca="false">D98-G98</f>
        <v>1052.34</v>
      </c>
      <c r="I98" s="321"/>
    </row>
    <row r="99" customFormat="false" ht="18.6" hidden="false" customHeight="true" outlineLevel="0" collapsed="false">
      <c r="A99" s="232"/>
      <c r="B99" s="293" t="s">
        <v>587</v>
      </c>
      <c r="C99" s="12" t="s">
        <v>588</v>
      </c>
      <c r="D99" s="264" t="n">
        <v>650</v>
      </c>
      <c r="E99" s="14" t="s">
        <v>253</v>
      </c>
      <c r="F99" s="267" t="n">
        <v>44630</v>
      </c>
      <c r="G99" s="266" t="n">
        <v>650</v>
      </c>
      <c r="H99" s="17" t="n">
        <f aca="false">D99-G99</f>
        <v>0</v>
      </c>
      <c r="I99" s="263"/>
    </row>
    <row r="100" customFormat="false" ht="18.6" hidden="false" customHeight="true" outlineLevel="0" collapsed="false">
      <c r="A100" s="232"/>
      <c r="B100" s="318" t="s">
        <v>589</v>
      </c>
      <c r="C100" s="319"/>
      <c r="D100" s="264" t="n">
        <v>46530.36</v>
      </c>
      <c r="E100" s="233"/>
      <c r="F100" s="320" t="n">
        <v>44635</v>
      </c>
      <c r="G100" s="266" t="n">
        <v>46530.36</v>
      </c>
      <c r="H100" s="17" t="n">
        <f aca="false">D100-G100</f>
        <v>0</v>
      </c>
      <c r="I100" s="324" t="n">
        <v>44650</v>
      </c>
    </row>
    <row r="101" customFormat="false" ht="18.6" hidden="false" customHeight="true" outlineLevel="0" collapsed="false">
      <c r="A101" s="232"/>
      <c r="B101" s="318" t="s">
        <v>467</v>
      </c>
      <c r="C101" s="319" t="s">
        <v>590</v>
      </c>
      <c r="D101" s="264" t="n">
        <v>511.2</v>
      </c>
      <c r="E101" s="233"/>
      <c r="F101" s="320" t="n">
        <v>44635</v>
      </c>
      <c r="G101" s="266" t="n">
        <v>511.2</v>
      </c>
      <c r="H101" s="17" t="n">
        <f aca="false">D101-G101</f>
        <v>0</v>
      </c>
      <c r="I101" s="321" t="s">
        <v>254</v>
      </c>
    </row>
    <row r="102" customFormat="false" ht="18.6" hidden="false" customHeight="true" outlineLevel="0" collapsed="false">
      <c r="A102" s="232"/>
      <c r="B102" s="318" t="s">
        <v>591</v>
      </c>
      <c r="C102" s="319" t="s">
        <v>592</v>
      </c>
      <c r="D102" s="264" t="n">
        <v>10623.14</v>
      </c>
      <c r="E102" s="233" t="s">
        <v>593</v>
      </c>
      <c r="F102" s="320" t="n">
        <v>44650</v>
      </c>
      <c r="G102" s="266" t="n">
        <v>10623.14</v>
      </c>
      <c r="H102" s="17" t="n">
        <f aca="false">D102-G102</f>
        <v>0</v>
      </c>
      <c r="I102" s="321" t="s">
        <v>254</v>
      </c>
    </row>
    <row r="103" customFormat="false" ht="18.6" hidden="false" customHeight="true" outlineLevel="0" collapsed="false">
      <c r="A103" s="232"/>
      <c r="B103" s="318" t="s">
        <v>361</v>
      </c>
      <c r="C103" s="319" t="s">
        <v>594</v>
      </c>
      <c r="D103" s="264" t="n">
        <v>4049.28</v>
      </c>
      <c r="E103" s="233" t="s">
        <v>595</v>
      </c>
      <c r="F103" s="320" t="n">
        <v>44651</v>
      </c>
      <c r="G103" s="266" t="n">
        <v>4049.28</v>
      </c>
      <c r="H103" s="17" t="n">
        <f aca="false">D103-G103</f>
        <v>0</v>
      </c>
      <c r="I103" s="324" t="n">
        <v>44676</v>
      </c>
    </row>
    <row r="104" customFormat="false" ht="18.6" hidden="false" customHeight="true" outlineLevel="0" collapsed="false">
      <c r="A104" s="232"/>
      <c r="B104" s="318" t="s">
        <v>361</v>
      </c>
      <c r="C104" s="319" t="s">
        <v>596</v>
      </c>
      <c r="D104" s="264" t="n">
        <v>23617.22</v>
      </c>
      <c r="E104" s="233" t="s">
        <v>253</v>
      </c>
      <c r="F104" s="320" t="n">
        <v>44651</v>
      </c>
      <c r="G104" s="266" t="n">
        <v>23617.22</v>
      </c>
      <c r="H104" s="17" t="n">
        <f aca="false">D104-G104</f>
        <v>0</v>
      </c>
      <c r="I104" s="324" t="n">
        <v>44676</v>
      </c>
    </row>
    <row r="105" customFormat="false" ht="18.6" hidden="false" customHeight="true" outlineLevel="0" collapsed="false">
      <c r="A105" s="232"/>
      <c r="B105" s="318" t="s">
        <v>361</v>
      </c>
      <c r="C105" s="319" t="s">
        <v>597</v>
      </c>
      <c r="D105" s="264" t="n">
        <v>4378.08</v>
      </c>
      <c r="E105" s="233" t="s">
        <v>595</v>
      </c>
      <c r="F105" s="320" t="n">
        <v>44651</v>
      </c>
      <c r="G105" s="266" t="n">
        <v>4378.08</v>
      </c>
      <c r="H105" s="17" t="n">
        <f aca="false">D105-G105</f>
        <v>0</v>
      </c>
      <c r="I105" s="324" t="n">
        <v>44676</v>
      </c>
    </row>
    <row r="106" customFormat="false" ht="18.6" hidden="false" customHeight="true" outlineLevel="0" collapsed="false">
      <c r="A106" s="232"/>
      <c r="B106" s="318" t="s">
        <v>361</v>
      </c>
      <c r="C106" s="319" t="s">
        <v>598</v>
      </c>
      <c r="D106" s="264" t="n">
        <v>27679.1</v>
      </c>
      <c r="E106" s="233" t="s">
        <v>253</v>
      </c>
      <c r="F106" s="320" t="n">
        <v>44651</v>
      </c>
      <c r="G106" s="266" t="n">
        <v>27679.1</v>
      </c>
      <c r="H106" s="17" t="n">
        <f aca="false">D106-G106</f>
        <v>0</v>
      </c>
      <c r="I106" s="324" t="n">
        <v>44676</v>
      </c>
    </row>
    <row r="107" customFormat="false" ht="18.6" hidden="false" customHeight="true" outlineLevel="0" collapsed="false">
      <c r="A107" s="232"/>
      <c r="B107" s="318" t="s">
        <v>599</v>
      </c>
      <c r="C107" s="319" t="s">
        <v>600</v>
      </c>
      <c r="D107" s="325" t="n">
        <v>220.8</v>
      </c>
      <c r="E107" s="233"/>
      <c r="F107" s="320" t="n">
        <v>44651</v>
      </c>
      <c r="G107" s="266"/>
      <c r="H107" s="17" t="n">
        <f aca="false">D107-G107</f>
        <v>220.8</v>
      </c>
      <c r="I107" s="321"/>
    </row>
    <row r="108" customFormat="false" ht="20.25" hidden="false" customHeight="true" outlineLevel="0" collapsed="false">
      <c r="A108" s="232"/>
      <c r="B108" s="318" t="s">
        <v>601</v>
      </c>
      <c r="C108" s="319" t="s">
        <v>602</v>
      </c>
      <c r="D108" s="264" t="n">
        <v>1900</v>
      </c>
      <c r="E108" s="326"/>
      <c r="F108" s="320" t="n">
        <v>44635</v>
      </c>
      <c r="G108" s="266" t="n">
        <v>1900</v>
      </c>
      <c r="H108" s="17" t="n">
        <f aca="false">D108-G108</f>
        <v>0</v>
      </c>
      <c r="I108" s="321"/>
    </row>
    <row r="109" customFormat="false" ht="20.25" hidden="false" customHeight="true" outlineLevel="0" collapsed="false">
      <c r="A109" s="232"/>
      <c r="B109" s="318" t="s">
        <v>382</v>
      </c>
      <c r="C109" s="319" t="s">
        <v>603</v>
      </c>
      <c r="D109" s="264" t="n">
        <v>480</v>
      </c>
      <c r="E109" s="326" t="s">
        <v>604</v>
      </c>
      <c r="F109" s="320" t="n">
        <v>44650</v>
      </c>
      <c r="G109" s="268" t="n">
        <v>480</v>
      </c>
      <c r="H109" s="17" t="n">
        <f aca="false">D109-G109</f>
        <v>0</v>
      </c>
      <c r="I109" s="324" t="n">
        <v>44650</v>
      </c>
    </row>
    <row r="110" customFormat="false" ht="20.25" hidden="false" customHeight="true" outlineLevel="0" collapsed="false">
      <c r="A110" s="232"/>
      <c r="B110" s="318" t="s">
        <v>605</v>
      </c>
      <c r="C110" s="319"/>
      <c r="D110" s="264" t="n">
        <v>1900</v>
      </c>
      <c r="E110" s="326" t="s">
        <v>258</v>
      </c>
      <c r="F110" s="320" t="n">
        <v>44645</v>
      </c>
      <c r="G110" s="268" t="n">
        <v>1900</v>
      </c>
      <c r="H110" s="17" t="n">
        <f aca="false">D110-G110</f>
        <v>0</v>
      </c>
      <c r="I110" s="321"/>
    </row>
    <row r="111" customFormat="false" ht="20.25" hidden="false" customHeight="true" outlineLevel="0" collapsed="false">
      <c r="A111" s="232"/>
      <c r="B111" s="318" t="s">
        <v>606</v>
      </c>
      <c r="C111" s="319" t="s">
        <v>607</v>
      </c>
      <c r="D111" s="264" t="n">
        <v>2400</v>
      </c>
      <c r="E111" s="326" t="s">
        <v>608</v>
      </c>
      <c r="F111" s="320" t="n">
        <v>44650</v>
      </c>
      <c r="G111" s="268" t="n">
        <v>2400</v>
      </c>
      <c r="H111" s="17" t="n">
        <f aca="false">D111-G111</f>
        <v>0</v>
      </c>
      <c r="I111" s="324" t="n">
        <v>44650</v>
      </c>
    </row>
    <row r="112" customFormat="false" ht="20.25" hidden="false" customHeight="true" outlineLevel="0" collapsed="false">
      <c r="A112" s="232"/>
      <c r="B112" s="318" t="s">
        <v>609</v>
      </c>
      <c r="C112" s="319" t="s">
        <v>610</v>
      </c>
      <c r="D112" s="264" t="n">
        <v>720</v>
      </c>
      <c r="E112" s="326" t="s">
        <v>611</v>
      </c>
      <c r="F112" s="320" t="n">
        <v>44637</v>
      </c>
      <c r="G112" s="268" t="n">
        <v>720</v>
      </c>
      <c r="H112" s="17" t="n">
        <f aca="false">D112-G112</f>
        <v>0</v>
      </c>
      <c r="I112" s="324" t="n">
        <v>44650</v>
      </c>
    </row>
    <row r="113" customFormat="false" ht="20.25" hidden="false" customHeight="true" outlineLevel="0" collapsed="false">
      <c r="A113" s="232"/>
      <c r="B113" s="318"/>
      <c r="C113" s="319"/>
      <c r="D113" s="264"/>
      <c r="E113" s="326"/>
      <c r="F113" s="320"/>
      <c r="G113" s="268"/>
      <c r="H113" s="17" t="n">
        <f aca="false">D113-G113</f>
        <v>0</v>
      </c>
      <c r="I113" s="321"/>
    </row>
    <row r="114" customFormat="false" ht="18.6" hidden="false" customHeight="true" outlineLevel="0" collapsed="false">
      <c r="A114" s="232"/>
      <c r="B114" s="307" t="s">
        <v>35</v>
      </c>
      <c r="C114" s="308"/>
      <c r="D114" s="309" t="n">
        <f aca="false">SUM(D90:D113)</f>
        <v>142521.16</v>
      </c>
      <c r="E114" s="310"/>
      <c r="F114" s="311"/>
      <c r="G114" s="312"/>
      <c r="H114" s="291" t="n">
        <f aca="false">+SUM(H90:H111)</f>
        <v>1273.14</v>
      </c>
      <c r="I114" s="292"/>
    </row>
    <row r="115" customFormat="false" ht="21" hidden="false" customHeight="true" outlineLevel="0" collapsed="false">
      <c r="A115" s="327"/>
      <c r="B115" s="31"/>
      <c r="C115" s="32"/>
      <c r="D115" s="33"/>
      <c r="E115" s="34"/>
    </row>
    <row r="116" customFormat="false" ht="21" hidden="false" customHeight="true" outlineLevel="0" collapsed="false">
      <c r="A116" s="327" t="s">
        <v>388</v>
      </c>
      <c r="B116" s="31"/>
      <c r="C116" s="32"/>
      <c r="D116" s="328" t="n">
        <f aca="false">+SUM(D114+D89+D42)</f>
        <v>304503.2</v>
      </c>
    </row>
  </sheetData>
  <mergeCells count="7">
    <mergeCell ref="A2:A32"/>
    <mergeCell ref="K9:L9"/>
    <mergeCell ref="K12:L12"/>
    <mergeCell ref="K15:L15"/>
    <mergeCell ref="K18:M18"/>
    <mergeCell ref="A43:A89"/>
    <mergeCell ref="A90:A114"/>
  </mergeCells>
  <conditionalFormatting sqref="D90 C91:E91 B92:G96 C97:D98 F97:G98 B71:G71 B2:I2 B73:G73 B43:I43 F20:F24 B3:G20 C21:G21 B24 B89:G89 D32:G33 B44:E51 G44:G51 B52:G67 H44:I73 B114:G114 I114 I3:I12 H85:H88 B88:F88 I14:I15 B74:H82 I74:I84 B34:G37 H3:H37 B38:I41 B108:I113 B99:G107 I91:I107 G100:G108 H90:H113">
    <cfRule type="expression" priority="2" aboveAverage="0" equalAverage="0" bottom="0" percent="0" rank="0" text="" dxfId="188">
      <formula>MOD(ROW(),2)=1</formula>
    </cfRule>
  </conditionalFormatting>
  <conditionalFormatting sqref="F2:G13">
    <cfRule type="timePeriod" priority="3" timePeriod="yesterday" dxfId="189"/>
    <cfRule type="timePeriod" priority="4" timePeriod="today" dxfId="190"/>
    <cfRule type="cellIs" priority="5" operator="lessThan" aboveAverage="0" equalAverage="0" bottom="0" percent="0" rank="0" text="" dxfId="191">
      <formula>_xludf.today()</formula>
    </cfRule>
  </conditionalFormatting>
  <conditionalFormatting sqref="F71:G71 F2:G21 F20:F24 F89:G89 F43:G43 G44:G51 F52:G67 F88 F73:G82 F32:G41 F92:G114">
    <cfRule type="cellIs" priority="6" operator="lessThan" aboveAverage="0" equalAverage="0" bottom="0" percent="0" rank="0" text="" dxfId="192">
      <formula>TODAY()</formula>
    </cfRule>
    <cfRule type="timePeriod" priority="7" timePeriod="last7Days" dxfId="193"/>
    <cfRule type="timePeriod" priority="8" timePeriod="yesterday" dxfId="194"/>
    <cfRule type="timePeriod" priority="9" timePeriod="lastMonth" dxfId="195"/>
    <cfRule type="timePeriod" priority="10" timePeriod="yesterday" dxfId="196"/>
    <cfRule type="timePeriod" priority="11" timePeriod="today" dxfId="197"/>
  </conditionalFormatting>
  <conditionalFormatting sqref="B90:E90 B91 I90">
    <cfRule type="expression" priority="12" aboveAverage="0" equalAverage="0" bottom="0" percent="0" rank="0" text="" dxfId="198">
      <formula>MOD(ROW(),2)=1</formula>
    </cfRule>
  </conditionalFormatting>
  <conditionalFormatting sqref="F14:G14">
    <cfRule type="timePeriod" priority="13" timePeriod="yesterday" dxfId="199"/>
    <cfRule type="timePeriod" priority="14" timePeriod="today" dxfId="200"/>
    <cfRule type="cellIs" priority="15" operator="lessThan" aboveAverage="0" equalAverage="0" bottom="0" percent="0" rank="0" text="" dxfId="201">
      <formula>_xludf.today()</formula>
    </cfRule>
  </conditionalFormatting>
  <conditionalFormatting sqref="F15:G15">
    <cfRule type="timePeriod" priority="16" timePeriod="yesterday" dxfId="202"/>
    <cfRule type="timePeriod" priority="17" timePeriod="today" dxfId="203"/>
    <cfRule type="cellIs" priority="18" operator="lessThan" aboveAverage="0" equalAverage="0" bottom="0" percent="0" rank="0" text="" dxfId="204">
      <formula>_xludf.today()</formula>
    </cfRule>
  </conditionalFormatting>
  <conditionalFormatting sqref="B22:G25">
    <cfRule type="expression" priority="19" aboveAverage="0" equalAverage="0" bottom="0" percent="0" rank="0" text="" dxfId="205">
      <formula>MOD(ROW(),2)=1</formula>
    </cfRule>
  </conditionalFormatting>
  <conditionalFormatting sqref="F22:G25">
    <cfRule type="cellIs" priority="20" operator="lessThan" aboveAverage="0" equalAverage="0" bottom="0" percent="0" rank="0" text="" dxfId="206">
      <formula>TODAY()</formula>
    </cfRule>
    <cfRule type="timePeriod" priority="21" timePeriod="last7Days" dxfId="207"/>
    <cfRule type="timePeriod" priority="22" timePeriod="yesterday" dxfId="208"/>
    <cfRule type="timePeriod" priority="23" timePeriod="lastMonth" dxfId="209"/>
    <cfRule type="timePeriod" priority="24" timePeriod="yesterday" dxfId="210"/>
    <cfRule type="timePeriod" priority="25" timePeriod="today" dxfId="211"/>
  </conditionalFormatting>
  <conditionalFormatting sqref="B26:G31 B32:C33">
    <cfRule type="expression" priority="26" aboveAverage="0" equalAverage="0" bottom="0" percent="0" rank="0" text="" dxfId="212">
      <formula>MOD(ROW(),2)=1</formula>
    </cfRule>
  </conditionalFormatting>
  <conditionalFormatting sqref="F26:G31">
    <cfRule type="cellIs" priority="27" operator="lessThan" aboveAverage="0" equalAverage="0" bottom="0" percent="0" rank="0" text="" dxfId="213">
      <formula>TODAY()</formula>
    </cfRule>
    <cfRule type="timePeriod" priority="28" timePeriod="last7Days" dxfId="214"/>
    <cfRule type="timePeriod" priority="29" timePeriod="yesterday" dxfId="215"/>
    <cfRule type="timePeriod" priority="30" timePeriod="lastMonth" dxfId="216"/>
    <cfRule type="timePeriod" priority="31" timePeriod="yesterday" dxfId="217"/>
    <cfRule type="timePeriod" priority="32" timePeriod="today" dxfId="218"/>
  </conditionalFormatting>
  <conditionalFormatting sqref="E42:G42">
    <cfRule type="expression" priority="33" aboveAverage="0" equalAverage="0" bottom="0" percent="0" rank="0" text="" dxfId="219">
      <formula>MOD(ROW(),2)=1</formula>
    </cfRule>
  </conditionalFormatting>
  <conditionalFormatting sqref="F42:G42">
    <cfRule type="cellIs" priority="34" operator="lessThan" aboveAverage="0" equalAverage="0" bottom="0" percent="0" rank="0" text="" dxfId="220">
      <formula>TODAY()</formula>
    </cfRule>
    <cfRule type="timePeriod" priority="35" timePeriod="last7Days" dxfId="221"/>
    <cfRule type="timePeriod" priority="36" timePeriod="yesterday" dxfId="222"/>
    <cfRule type="timePeriod" priority="37" timePeriod="lastMonth" dxfId="223"/>
    <cfRule type="timePeriod" priority="38" timePeriod="yesterday" dxfId="224"/>
    <cfRule type="timePeriod" priority="39" timePeriod="today" dxfId="225"/>
  </conditionalFormatting>
  <conditionalFormatting sqref="I16:I25">
    <cfRule type="expression" priority="40" aboveAverage="0" equalAverage="0" bottom="0" percent="0" rank="0" text="" dxfId="226">
      <formula>MOD(ROW(),2)=1</formula>
    </cfRule>
  </conditionalFormatting>
  <conditionalFormatting sqref="I42">
    <cfRule type="expression" priority="42" aboveAverage="0" equalAverage="0" bottom="0" percent="0" rank="0" text="" dxfId="227">
      <formula>MOD(ROW(),2)=1</formula>
    </cfRule>
  </conditionalFormatting>
  <conditionalFormatting sqref="B43:I43 B44:E48 G44:G48">
    <cfRule type="expression" priority="44" aboveAverage="0" equalAverage="0" bottom="0" percent="0" rank="0" text="" dxfId="228">
      <formula>MOD(ROW(),2)=1</formula>
    </cfRule>
  </conditionalFormatting>
  <conditionalFormatting sqref="D43:D48">
    <cfRule type="expression" priority="45" aboveAverage="0" equalAverage="0" bottom="0" percent="0" rank="0" text="" dxfId="229">
      <formula>MOD(ROW(),2)=1</formula>
    </cfRule>
  </conditionalFormatting>
  <conditionalFormatting sqref="B49:E49 G49">
    <cfRule type="expression" priority="46" aboveAverage="0" equalAverage="0" bottom="0" percent="0" rank="0" text="" dxfId="230">
      <formula>MOD(ROW(),2)=1</formula>
    </cfRule>
  </conditionalFormatting>
  <conditionalFormatting sqref="D49">
    <cfRule type="expression" priority="47" aboveAverage="0" equalAverage="0" bottom="0" percent="0" rank="0" text="" dxfId="231">
      <formula>MOD(ROW(),2)=1</formula>
    </cfRule>
  </conditionalFormatting>
  <conditionalFormatting sqref="B50:E50 G50">
    <cfRule type="expression" priority="48" aboveAverage="0" equalAverage="0" bottom="0" percent="0" rank="0" text="" dxfId="232">
      <formula>MOD(ROW(),2)=1</formula>
    </cfRule>
  </conditionalFormatting>
  <conditionalFormatting sqref="B50:D50">
    <cfRule type="expression" priority="49" aboveAverage="0" equalAverage="0" bottom="0" percent="0" rank="0" text="" dxfId="233">
      <formula>MOD(ROW(),2)=1</formula>
    </cfRule>
  </conditionalFormatting>
  <conditionalFormatting sqref="D50">
    <cfRule type="expression" priority="50" aboveAverage="0" equalAverage="0" bottom="0" percent="0" rank="0" text="" dxfId="234">
      <formula>MOD(ROW(),2)=1</formula>
    </cfRule>
  </conditionalFormatting>
  <conditionalFormatting sqref="B51:E51 G51">
    <cfRule type="expression" priority="51" aboveAverage="0" equalAverage="0" bottom="0" percent="0" rank="0" text="" dxfId="235">
      <formula>MOD(ROW(),2)=1</formula>
    </cfRule>
  </conditionalFormatting>
  <conditionalFormatting sqref="B51:E51 G51">
    <cfRule type="expression" priority="52" aboveAverage="0" equalAverage="0" bottom="0" percent="0" rank="0" text="" dxfId="236">
      <formula>MOD(ROW(),2)=1</formula>
    </cfRule>
  </conditionalFormatting>
  <conditionalFormatting sqref="B52:G55">
    <cfRule type="expression" priority="53" aboveAverage="0" equalAverage="0" bottom="0" percent="0" rank="0" text="" dxfId="237">
      <formula>MOD(ROW(),2)=1</formula>
    </cfRule>
  </conditionalFormatting>
  <conditionalFormatting sqref="E52:G53 D52:D55">
    <cfRule type="expression" priority="54" aboveAverage="0" equalAverage="0" bottom="0" percent="0" rank="0" text="" dxfId="238">
      <formula>MOD(ROW(),2)=1</formula>
    </cfRule>
  </conditionalFormatting>
  <conditionalFormatting sqref="B52:D52">
    <cfRule type="expression" priority="55" aboveAverage="0" equalAverage="0" bottom="0" percent="0" rank="0" text="" dxfId="239">
      <formula>MOD(ROW(),2)=1</formula>
    </cfRule>
  </conditionalFormatting>
  <conditionalFormatting sqref="B53:D53">
    <cfRule type="expression" priority="56" aboveAverage="0" equalAverage="0" bottom="0" percent="0" rank="0" text="" dxfId="240">
      <formula>MOD(ROW(),2)=1</formula>
    </cfRule>
  </conditionalFormatting>
  <conditionalFormatting sqref="D54:D55">
    <cfRule type="expression" priority="57" aboveAverage="0" equalAverage="0" bottom="0" percent="0" rank="0" text="" dxfId="241">
      <formula>MOD(ROW(),2)=1</formula>
    </cfRule>
  </conditionalFormatting>
  <conditionalFormatting sqref="B54:G55">
    <cfRule type="expression" priority="58" aboveAverage="0" equalAverage="0" bottom="0" percent="0" rank="0" text="" dxfId="242">
      <formula>MOD(ROW(),2)=1</formula>
    </cfRule>
  </conditionalFormatting>
  <conditionalFormatting sqref="F54:G55">
    <cfRule type="cellIs" priority="59" operator="lessThan" aboveAverage="0" equalAverage="0" bottom="0" percent="0" rank="0" text="" dxfId="243">
      <formula>TODAY()</formula>
    </cfRule>
    <cfRule type="timePeriod" priority="60" timePeriod="last7Days" dxfId="244"/>
    <cfRule type="timePeriod" priority="61" timePeriod="yesterday" dxfId="245"/>
    <cfRule type="timePeriod" priority="62" timePeriod="lastMonth" dxfId="246"/>
    <cfRule type="timePeriod" priority="63" timePeriod="yesterday" dxfId="247"/>
    <cfRule type="timePeriod" priority="64" timePeriod="today" dxfId="248"/>
  </conditionalFormatting>
  <conditionalFormatting sqref="B59:G59">
    <cfRule type="expression" priority="65" aboveAverage="0" equalAverage="0" bottom="0" percent="0" rank="0" text="" dxfId="249">
      <formula>MOD(ROW(),2)=1</formula>
    </cfRule>
  </conditionalFormatting>
  <conditionalFormatting sqref="B59:G59">
    <cfRule type="expression" priority="66" aboveAverage="0" equalAverage="0" bottom="0" percent="0" rank="0" text="" dxfId="250">
      <formula>MOD(ROW(),2)=1</formula>
    </cfRule>
  </conditionalFormatting>
  <conditionalFormatting sqref="F56:G58">
    <cfRule type="expression" priority="67" aboveAverage="0" equalAverage="0" bottom="0" percent="0" rank="0" text="" dxfId="251">
      <formula>MOD(ROW(),2)=1</formula>
    </cfRule>
  </conditionalFormatting>
  <conditionalFormatting sqref="F56:G58">
    <cfRule type="cellIs" priority="68" operator="lessThan" aboveAverage="0" equalAverage="0" bottom="0" percent="0" rank="0" text="" dxfId="252">
      <formula>TODAY()</formula>
    </cfRule>
    <cfRule type="timePeriod" priority="69" timePeriod="last7Days" dxfId="253"/>
    <cfRule type="timePeriod" priority="70" timePeriod="yesterday" dxfId="254"/>
    <cfRule type="timePeriod" priority="71" timePeriod="lastMonth" dxfId="255"/>
    <cfRule type="timePeriod" priority="72" timePeriod="yesterday" dxfId="256"/>
    <cfRule type="timePeriod" priority="73" timePeriod="today" dxfId="257"/>
  </conditionalFormatting>
  <conditionalFormatting sqref="C56:E58">
    <cfRule type="expression" priority="74" aboveAverage="0" equalAverage="0" bottom="0" percent="0" rank="0" text="" dxfId="258">
      <formula>MOD(ROW(),2)=1</formula>
    </cfRule>
  </conditionalFormatting>
  <conditionalFormatting sqref="B56:B58">
    <cfRule type="expression" priority="75" aboveAverage="0" equalAverage="0" bottom="0" percent="0" rank="0" text="" dxfId="259">
      <formula>MOD(ROW(),2)=1</formula>
    </cfRule>
  </conditionalFormatting>
  <conditionalFormatting sqref="B60:G61">
    <cfRule type="expression" priority="76" aboveAverage="0" equalAverage="0" bottom="0" percent="0" rank="0" text="" dxfId="260">
      <formula>MOD(ROW(),2)=1</formula>
    </cfRule>
  </conditionalFormatting>
  <conditionalFormatting sqref="D60:D61 E61:G61">
    <cfRule type="expression" priority="77" aboveAverage="0" equalAverage="0" bottom="0" percent="0" rank="0" text="" dxfId="261">
      <formula>MOD(ROW(),2)=1</formula>
    </cfRule>
  </conditionalFormatting>
  <conditionalFormatting sqref="B60:G60">
    <cfRule type="expression" priority="78" aboveAverage="0" equalAverage="0" bottom="0" percent="0" rank="0" text="" dxfId="262">
      <formula>MOD(ROW(),2)=1</formula>
    </cfRule>
  </conditionalFormatting>
  <conditionalFormatting sqref="F60:G60">
    <cfRule type="cellIs" priority="79" operator="lessThan" aboveAverage="0" equalAverage="0" bottom="0" percent="0" rank="0" text="" dxfId="263">
      <formula>TODAY()</formula>
    </cfRule>
    <cfRule type="timePeriod" priority="80" timePeriod="last7Days" dxfId="264"/>
    <cfRule type="timePeriod" priority="81" timePeriod="yesterday" dxfId="265"/>
    <cfRule type="timePeriod" priority="82" timePeriod="lastMonth" dxfId="266"/>
    <cfRule type="timePeriod" priority="83" timePeriod="yesterday" dxfId="267"/>
    <cfRule type="timePeriod" priority="84" timePeriod="today" dxfId="268"/>
  </conditionalFormatting>
  <conditionalFormatting sqref="B61:D61">
    <cfRule type="expression" priority="85" aboveAverage="0" equalAverage="0" bottom="0" percent="0" rank="0" text="" dxfId="269">
      <formula>MOD(ROW(),2)=1</formula>
    </cfRule>
  </conditionalFormatting>
  <conditionalFormatting sqref="B62:G62">
    <cfRule type="expression" priority="86" aboveAverage="0" equalAverage="0" bottom="0" percent="0" rank="0" text="" dxfId="270">
      <formula>MOD(ROW(),2)=1</formula>
    </cfRule>
  </conditionalFormatting>
  <conditionalFormatting sqref="B62:G62">
    <cfRule type="expression" priority="87" aboveAverage="0" equalAverage="0" bottom="0" percent="0" rank="0" text="" dxfId="271">
      <formula>MOD(ROW(),2)=1</formula>
    </cfRule>
  </conditionalFormatting>
  <conditionalFormatting sqref="B63:G63">
    <cfRule type="expression" priority="88" aboveAverage="0" equalAverage="0" bottom="0" percent="0" rank="0" text="" dxfId="272">
      <formula>MOD(ROW(),2)=1</formula>
    </cfRule>
  </conditionalFormatting>
  <conditionalFormatting sqref="B63:G63">
    <cfRule type="expression" priority="89" aboveAverage="0" equalAverage="0" bottom="0" percent="0" rank="0" text="" dxfId="273">
      <formula>MOD(ROW(),2)=1</formula>
    </cfRule>
  </conditionalFormatting>
  <conditionalFormatting sqref="B97:B98">
    <cfRule type="expression" priority="90" aboveAverage="0" equalAverage="0" bottom="0" percent="0" rank="0" text="" dxfId="274">
      <formula>MOD(ROW(),2)=1</formula>
    </cfRule>
  </conditionalFormatting>
  <conditionalFormatting sqref="E98">
    <cfRule type="expression" priority="91" aboveAverage="0" equalAverage="0" bottom="0" percent="0" rank="0" text="" dxfId="275">
      <formula>MOD(ROW(),2)=1</formula>
    </cfRule>
  </conditionalFormatting>
  <conditionalFormatting sqref="E97">
    <cfRule type="expression" priority="92" aboveAverage="0" equalAverage="0" bottom="0" percent="0" rank="0" text="" dxfId="276">
      <formula>MOD(ROW(),2)=1</formula>
    </cfRule>
  </conditionalFormatting>
  <conditionalFormatting sqref="F90:G91">
    <cfRule type="expression" priority="93" aboveAverage="0" equalAverage="0" bottom="0" percent="0" rank="0" text="" dxfId="277">
      <formula>MOD(ROW(),2)=1</formula>
    </cfRule>
  </conditionalFormatting>
  <conditionalFormatting sqref="F90:G91">
    <cfRule type="cellIs" priority="94" operator="lessThan" aboveAverage="0" equalAverage="0" bottom="0" percent="0" rank="0" text="" dxfId="278">
      <formula>TODAY()</formula>
    </cfRule>
    <cfRule type="timePeriod" priority="95" timePeriod="last7Days" dxfId="279"/>
    <cfRule type="timePeriod" priority="96" timePeriod="yesterday" dxfId="280"/>
    <cfRule type="timePeriod" priority="97" timePeriod="lastMonth" dxfId="281"/>
    <cfRule type="timePeriod" priority="98" timePeriod="yesterday" dxfId="282"/>
    <cfRule type="timePeriod" priority="99" timePeriod="today" dxfId="283"/>
  </conditionalFormatting>
  <conditionalFormatting sqref="C42:D42">
    <cfRule type="expression" priority="100" aboveAverage="0" equalAverage="0" bottom="0" percent="0" rank="0" text="" dxfId="284">
      <formula>MOD(ROW(),2)=1</formula>
    </cfRule>
  </conditionalFormatting>
  <conditionalFormatting sqref="B42">
    <cfRule type="expression" priority="101" aboveAverage="0" equalAverage="0" bottom="0" percent="0" rank="0" text="" dxfId="285">
      <formula>MOD(ROW(),2)=1</formula>
    </cfRule>
  </conditionalFormatting>
  <conditionalFormatting sqref="B68:G70">
    <cfRule type="expression" priority="102" aboveAverage="0" equalAverage="0" bottom="0" percent="0" rank="0" text="" dxfId="286">
      <formula>MOD(ROW(),2)=1</formula>
    </cfRule>
  </conditionalFormatting>
  <conditionalFormatting sqref="F68:G70">
    <cfRule type="cellIs" priority="103" operator="lessThan" aboveAverage="0" equalAverage="0" bottom="0" percent="0" rank="0" text="" dxfId="287">
      <formula>TODAY()</formula>
    </cfRule>
    <cfRule type="timePeriod" priority="104" timePeriod="last7Days" dxfId="288"/>
    <cfRule type="timePeriod" priority="105" timePeriod="yesterday" dxfId="289"/>
    <cfRule type="timePeriod" priority="106" timePeriod="lastMonth" dxfId="290"/>
    <cfRule type="timePeriod" priority="107" timePeriod="yesterday" dxfId="291"/>
    <cfRule type="timePeriod" priority="108" timePeriod="today" dxfId="292"/>
  </conditionalFormatting>
  <conditionalFormatting sqref="B72:G72">
    <cfRule type="expression" priority="109" aboveAverage="0" equalAverage="0" bottom="0" percent="0" rank="0" text="" dxfId="293">
      <formula>MOD(ROW(),2)=1</formula>
    </cfRule>
  </conditionalFormatting>
  <conditionalFormatting sqref="D72:G72">
    <cfRule type="expression" priority="110" aboveAverage="0" equalAverage="0" bottom="0" percent="0" rank="0" text="" dxfId="294">
      <formula>MOD(ROW(),2)=1</formula>
    </cfRule>
  </conditionalFormatting>
  <conditionalFormatting sqref="B72:D72">
    <cfRule type="expression" priority="111" aboveAverage="0" equalAverage="0" bottom="0" percent="0" rank="0" text="" dxfId="295">
      <formula>MOD(ROW(),2)=1</formula>
    </cfRule>
  </conditionalFormatting>
  <conditionalFormatting sqref="F15:F16">
    <cfRule type="timePeriod" priority="112" timePeriod="yesterday" dxfId="296"/>
    <cfRule type="timePeriod" priority="113" timePeriod="today" dxfId="297"/>
    <cfRule type="cellIs" priority="114" operator="lessThan" aboveAverage="0" equalAverage="0" bottom="0" percent="0" rank="0" text="" dxfId="298">
      <formula>_xludf.today()</formula>
    </cfRule>
  </conditionalFormatting>
  <conditionalFormatting sqref="F17">
    <cfRule type="timePeriod" priority="115" timePeriod="yesterday" dxfId="299"/>
    <cfRule type="timePeriod" priority="116" timePeriod="today" dxfId="300"/>
    <cfRule type="cellIs" priority="117" operator="lessThan" aboveAverage="0" equalAverage="0" bottom="0" percent="0" rank="0" text="" dxfId="301">
      <formula>_xludf.today()</formula>
    </cfRule>
  </conditionalFormatting>
  <conditionalFormatting sqref="F20">
    <cfRule type="timePeriod" priority="118" timePeriod="yesterday" dxfId="302"/>
    <cfRule type="timePeriod" priority="119" timePeriod="today" dxfId="303"/>
    <cfRule type="cellIs" priority="120" operator="lessThan" aboveAverage="0" equalAverage="0" bottom="0" percent="0" rank="0" text="" dxfId="304">
      <formula>_xludf.today()</formula>
    </cfRule>
  </conditionalFormatting>
  <conditionalFormatting sqref="B21">
    <cfRule type="expression" priority="121" aboveAverage="0" equalAverage="0" bottom="0" percent="0" rank="0" text="" dxfId="305">
      <formula>MOD(ROW(),2)=1</formula>
    </cfRule>
  </conditionalFormatting>
  <conditionalFormatting sqref="B21">
    <cfRule type="expression" priority="122" aboveAverage="0" equalAverage="0" bottom="0" percent="0" rank="0" text="" dxfId="306">
      <formula>MOD(ROW(),2)=1</formula>
    </cfRule>
  </conditionalFormatting>
  <conditionalFormatting sqref="B22:B23">
    <cfRule type="expression" priority="123" aboveAverage="0" equalAverage="0" bottom="0" percent="0" rank="0" text="" dxfId="307">
      <formula>MOD(ROW(),2)=1</formula>
    </cfRule>
  </conditionalFormatting>
  <conditionalFormatting sqref="I88:I89">
    <cfRule type="expression" priority="124" aboveAverage="0" equalAverage="0" bottom="0" percent="0" rank="0" text="" dxfId="308">
      <formula>MOD(ROW(),2)=1</formula>
    </cfRule>
  </conditionalFormatting>
  <conditionalFormatting sqref="I88:I89">
    <cfRule type="expression" priority="125" aboveAverage="0" equalAverage="0" bottom="0" percent="0" rank="0" text="" dxfId="309">
      <formula>MOD(ROW(),2)=1</formula>
    </cfRule>
  </conditionalFormatting>
  <conditionalFormatting sqref="I85:I87">
    <cfRule type="expression" priority="128" aboveAverage="0" equalAverage="0" bottom="0" percent="0" rank="0" text="" dxfId="310">
      <formula>MOD(ROW(),2)=1</formula>
    </cfRule>
  </conditionalFormatting>
  <conditionalFormatting sqref="I85:I87">
    <cfRule type="expression" priority="130" aboveAverage="0" equalAverage="0" bottom="0" percent="0" rank="0" text="" dxfId="311">
      <formula>MOD(ROW(),2)=1</formula>
    </cfRule>
  </conditionalFormatting>
  <conditionalFormatting sqref="E86:F87 F85">
    <cfRule type="expression" priority="131" aboveAverage="0" equalAverage="0" bottom="0" percent="0" rank="0" text="" dxfId="312">
      <formula>MOD(ROW(),2)=1</formula>
    </cfRule>
  </conditionalFormatting>
  <conditionalFormatting sqref="E86:F87 F85">
    <cfRule type="cellIs" priority="132" operator="lessThan" aboveAverage="0" equalAverage="0" bottom="0" percent="0" rank="0" text="" dxfId="313">
      <formula>TODAY()</formula>
    </cfRule>
    <cfRule type="timePeriod" priority="133" timePeriod="last7Days" dxfId="314"/>
    <cfRule type="timePeriod" priority="134" timePeriod="yesterday" dxfId="315"/>
    <cfRule type="timePeriod" priority="135" timePeriod="lastMonth" dxfId="316"/>
    <cfRule type="timePeriod" priority="136" timePeriod="yesterday" dxfId="317"/>
    <cfRule type="timePeriod" priority="137" timePeriod="today" dxfId="318"/>
  </conditionalFormatting>
  <conditionalFormatting sqref="B85:B87 B83:F84 H83:H84">
    <cfRule type="expression" priority="138" aboveAverage="0" equalAverage="0" bottom="0" percent="0" rank="0" text="" dxfId="319">
      <formula>MOD(ROW(),2)=1</formula>
    </cfRule>
  </conditionalFormatting>
  <conditionalFormatting sqref="F83:F84">
    <cfRule type="cellIs" priority="139" operator="lessThan" aboveAverage="0" equalAverage="0" bottom="0" percent="0" rank="0" text="" dxfId="320">
      <formula>TODAY()</formula>
    </cfRule>
    <cfRule type="timePeriod" priority="140" timePeriod="last7Days" dxfId="321"/>
    <cfRule type="timePeriod" priority="141" timePeriod="yesterday" dxfId="322"/>
    <cfRule type="timePeriod" priority="142" timePeriod="lastMonth" dxfId="323"/>
    <cfRule type="timePeriod" priority="143" timePeriod="yesterday" dxfId="324"/>
    <cfRule type="timePeriod" priority="144" timePeriod="today" dxfId="325"/>
  </conditionalFormatting>
  <conditionalFormatting sqref="F44:F51">
    <cfRule type="expression" priority="145" aboveAverage="0" equalAverage="0" bottom="0" percent="0" rank="0" text="" dxfId="326">
      <formula>MOD(ROW(),2)=1</formula>
    </cfRule>
  </conditionalFormatting>
  <conditionalFormatting sqref="F44:F51">
    <cfRule type="cellIs" priority="146" operator="lessThan" aboveAverage="0" equalAverage="0" bottom="0" percent="0" rank="0" text="" dxfId="327">
      <formula>TODAY()</formula>
    </cfRule>
    <cfRule type="timePeriod" priority="147" timePeriod="last7Days" dxfId="328"/>
    <cfRule type="timePeriod" priority="148" timePeriod="yesterday" dxfId="329"/>
    <cfRule type="timePeriod" priority="149" timePeriod="lastMonth" dxfId="330"/>
    <cfRule type="timePeriod" priority="150" timePeriod="yesterday" dxfId="331"/>
    <cfRule type="timePeriod" priority="151" timePeriod="today" dxfId="332"/>
  </conditionalFormatting>
  <conditionalFormatting sqref="F54:F55">
    <cfRule type="expression" priority="152" aboveAverage="0" equalAverage="0" bottom="0" percent="0" rank="0" text="" dxfId="333">
      <formula>MOD(ROW(),2)=1</formula>
    </cfRule>
  </conditionalFormatting>
  <conditionalFormatting sqref="H42">
    <cfRule type="expression" priority="153" aboveAverage="0" equalAverage="0" bottom="0" percent="0" rank="0" text="" dxfId="334">
      <formula>MOD(ROW(),2)=1</formula>
    </cfRule>
  </conditionalFormatting>
  <conditionalFormatting sqref="H89">
    <cfRule type="expression" priority="154" aboveAverage="0" equalAverage="0" bottom="0" percent="0" rank="0" text="" dxfId="335">
      <formula>MOD(ROW(),2)=1</formula>
    </cfRule>
  </conditionalFormatting>
  <conditionalFormatting sqref="H114">
    <cfRule type="expression" priority="155" aboveAverage="0" equalAverage="0" bottom="0" percent="0" rank="0" text="" dxfId="336">
      <formula>MOD(ROW(),2)=1</formula>
    </cfRule>
  </conditionalFormatting>
  <conditionalFormatting sqref="G83:G88">
    <cfRule type="expression" priority="156" aboveAverage="0" equalAverage="0" bottom="0" percent="0" rank="0" text="" dxfId="337">
      <formula>MOD(ROW(),2)=1</formula>
    </cfRule>
  </conditionalFormatting>
  <conditionalFormatting sqref="G83:G88">
    <cfRule type="cellIs" priority="157" operator="lessThan" aboveAverage="0" equalAverage="0" bottom="0" percent="0" rank="0" text="" dxfId="338">
      <formula>TODAY()</formula>
    </cfRule>
    <cfRule type="timePeriod" priority="158" timePeriod="last7Days" dxfId="339"/>
    <cfRule type="timePeriod" priority="159" timePeriod="yesterday" dxfId="340"/>
    <cfRule type="timePeriod" priority="160" timePeriod="lastMonth" dxfId="341"/>
    <cfRule type="timePeriod" priority="161" timePeriod="yesterday" dxfId="342"/>
    <cfRule type="timePeriod" priority="162" timePeriod="today" dxfId="343"/>
  </conditionalFormatting>
  <conditionalFormatting sqref="D85:D87">
    <cfRule type="expression" priority="163" aboveAverage="0" equalAverage="0" bottom="0" percent="0" rank="0" text="" dxfId="344">
      <formula>MOD(ROW(),2)=1</formula>
    </cfRule>
  </conditionalFormatting>
  <conditionalFormatting sqref="C85:C87">
    <cfRule type="expression" priority="164" aboveAverage="0" equalAverage="0" bottom="0" percent="0" rank="0" text="" dxfId="345">
      <formula>MOD(ROW(),2)=1</formula>
    </cfRule>
  </conditionalFormatting>
  <conditionalFormatting sqref="E85">
    <cfRule type="expression" priority="165" aboveAverage="0" equalAverage="0" bottom="0" percent="0" rank="0" text="" dxfId="346">
      <formula>MOD(ROW(),2)=1</formula>
    </cfRule>
  </conditionalFormatting>
  <conditionalFormatting sqref="I26:I30">
    <cfRule type="expression" priority="166" aboveAverage="0" equalAverage="0" bottom="0" percent="0" rank="0" text="" dxfId="347">
      <formula>MOD(ROW(),2)=1</formula>
    </cfRule>
  </conditionalFormatting>
  <conditionalFormatting sqref="I31">
    <cfRule type="expression" priority="168" aboveAverage="0" equalAverage="0" bottom="0" percent="0" rank="0" text="" dxfId="348">
      <formula>MOD(ROW(),2)=1</formula>
    </cfRule>
  </conditionalFormatting>
  <conditionalFormatting sqref="I13">
    <cfRule type="expression" priority="170" aboveAverage="0" equalAverage="0" bottom="0" percent="0" rank="0" text="" dxfId="349">
      <formula>MOD(ROW(),2)=1</formula>
    </cfRule>
  </conditionalFormatting>
  <conditionalFormatting sqref="I32:I37">
    <cfRule type="expression" priority="172" aboveAverage="0" equalAverage="0" bottom="0" percent="0" rank="0" text="" dxfId="350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E6833D4D-D382-4452-82CB-43BDA47DA9E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I16:I25</xm:sqref>
        </x14:conditionalFormatting>
        <x14:conditionalFormatting xmlns:xm="http://schemas.microsoft.com/office/excel/2006/main">
          <x14:cfRule type="iconSet" priority="43" id="{76A0B2B0-1AA6-46AC-AFA2-25B1E3102F7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I42</xm:sqref>
        </x14:conditionalFormatting>
        <x14:conditionalFormatting xmlns:xm="http://schemas.microsoft.com/office/excel/2006/main">
          <x14:cfRule type="iconSet" priority="126" id="{AEAD90C2-2079-49E7-AF34-C286DD63786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27" id="{37FAE76C-8BAA-4A3F-BDDA-867D57C0A3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29" id="{1DB4C15B-DC35-459A-BA48-69DAB4AC6F9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I85:I87</xm:sqref>
        </x14:conditionalFormatting>
        <x14:conditionalFormatting xmlns:xm="http://schemas.microsoft.com/office/excel/2006/main">
          <x14:cfRule type="iconSet" priority="167" id="{00426496-60FE-47C6-8E78-559073EAC0F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I26:I30</xm:sqref>
        </x14:conditionalFormatting>
        <x14:conditionalFormatting xmlns:xm="http://schemas.microsoft.com/office/excel/2006/main">
          <x14:cfRule type="iconSet" priority="169" id="{A2E1B9FF-B1EA-4AD7-8EEE-2CEF9B2EA08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</xm:sqref>
        </x14:conditionalFormatting>
        <x14:conditionalFormatting xmlns:xm="http://schemas.microsoft.com/office/excel/2006/main">
          <x14:cfRule type="iconSet" priority="171" id="{1D98EAEB-BAE0-4B7D-9677-15FBF8A7404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173" id="{00406B95-6B60-4097-8CB1-5EB27179FAD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I32:I37</xm:sqref>
        </x14:conditionalFormatting>
        <x14:conditionalFormatting xmlns:xm="http://schemas.microsoft.com/office/excel/2006/main">
          <x14:cfRule type="iconSet" priority="174" id="{C5B4A660-FD5B-4CD4-BD81-B1ECE1AAA94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75" id="{7A5943AF-2A6A-44C2-A120-6580745C232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I98</xm:sqref>
        </x14:conditionalFormatting>
        <x14:conditionalFormatting xmlns:xm="http://schemas.microsoft.com/office/excel/2006/main">
          <x14:cfRule type="iconSet" priority="176" id="{FDF6994A-52DE-41C0-8C6B-A7F0D3B93D9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A90 A43 A2</xm:sqref>
        </x14:conditionalFormatting>
        <x14:conditionalFormatting xmlns:xm="http://schemas.microsoft.com/office/excel/2006/main">
          <x14:cfRule type="iconSet" priority="177" id="{7227D51F-AAF0-4931-AF29-BEB515A4F3D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8" id="{164A7DC9-7063-4FD0-89E2-262F5CE131A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9" id="{7185E0D1-E3E7-4B75-8294-7D711B6B42E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I43</xm:sqref>
        </x14:conditionalFormatting>
        <x14:conditionalFormatting xmlns:xm="http://schemas.microsoft.com/office/excel/2006/main">
          <x14:cfRule type="iconSet" priority="180" id="{5EDB6386-4427-4814-B2B9-BF20907837D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I90</xm:sqref>
        </x14:conditionalFormatting>
        <x14:conditionalFormatting xmlns:xm="http://schemas.microsoft.com/office/excel/2006/main">
          <x14:cfRule type="iconSet" priority="181" id="{823052C8-8F26-4231-9DC0-617BA4E0997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82" id="{C0208AE1-538B-435C-9E2A-306CC22E62E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I7:I8</xm:sqref>
        </x14:conditionalFormatting>
        <x14:conditionalFormatting xmlns:xm="http://schemas.microsoft.com/office/excel/2006/main">
          <x14:cfRule type="iconSet" priority="183" id="{C0BB1436-54E0-4B6B-AA45-2BE5C77BF2E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184" id="{CE88DE8C-BDAA-40B8-8020-70B58120E7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185" id="{20E3A1A9-47F6-4BB3-9BCF-7B11E17B8E2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186" id="{91F27F4C-A27E-44C5-9499-B0D58A6845F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187" id="{A71620CD-321C-4139-9FB1-A02DD35670B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I91:I98</xm:sqref>
        </x14:conditionalFormatting>
        <x14:conditionalFormatting xmlns:xm="http://schemas.microsoft.com/office/excel/2006/main">
          <x14:cfRule type="iconSet" priority="188" id="{27DC2C1D-F2A8-42CB-9384-9859B855C3F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I3:I12 I14:I15</xm:sqref>
        </x14:conditionalFormatting>
        <x14:conditionalFormatting xmlns:xm="http://schemas.microsoft.com/office/excel/2006/main">
          <x14:cfRule type="iconSet" priority="189" id="{8BBFE8DF-2C8F-4C40-B716-E7D4FF5EC2E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I88:I89 I44:I73</xm:sqref>
        </x14:conditionalFormatting>
        <x14:conditionalFormatting xmlns:xm="http://schemas.microsoft.com/office/excel/2006/main">
          <x14:cfRule type="iconSet" priority="190" id="{A88F6360-1342-4090-B258-948B868AB66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I44:I73</xm:sqref>
        </x14:conditionalFormatting>
        <x14:conditionalFormatting xmlns:xm="http://schemas.microsoft.com/office/excel/2006/main">
          <x14:cfRule type="iconSet" priority="191" id="{D0A8ED1D-7F53-4C3F-BD2F-FCED90F210F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I3:I8</xm:sqref>
        </x14:conditionalFormatting>
        <x14:conditionalFormatting xmlns:xm="http://schemas.microsoft.com/office/excel/2006/main">
          <x14:cfRule type="iconSet" priority="192" id="{B3A27CB3-F7ED-4D5A-B689-262B306FEA8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I74:I84</xm:sqref>
        </x14:conditionalFormatting>
        <x14:conditionalFormatting xmlns:xm="http://schemas.microsoft.com/office/excel/2006/main">
          <x14:cfRule type="iconSet" priority="193" id="{95B39F3B-F9A8-4BD1-BD70-4DA7B482CF8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</xm:sqref>
        </x14:conditionalFormatting>
        <x14:conditionalFormatting xmlns:xm="http://schemas.microsoft.com/office/excel/2006/main">
          <x14:cfRule type="iconSet" priority="194" id="{22482E73-AAF1-4975-9D6C-2695D9D0408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I38:I41</xm:sqref>
        </x14:conditionalFormatting>
        <x14:conditionalFormatting xmlns:xm="http://schemas.microsoft.com/office/excel/2006/main">
          <x14:cfRule type="iconSet" priority="195" id="{814E50C0-A6DA-4DBC-BCCB-9E1FFCF0326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I99:I114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11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80" activePane="bottomLeft" state="frozen"/>
      <selection pane="topLeft" activeCell="A1" activeCellId="0" sqref="A1"/>
      <selection pane="bottomLeft" activeCell="F105" activeCellId="0" sqref="F105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 t="s">
        <v>147</v>
      </c>
      <c r="C2" s="12" t="s">
        <v>612</v>
      </c>
      <c r="D2" s="13" t="n">
        <v>-346.5</v>
      </c>
      <c r="E2" s="329" t="s">
        <v>498</v>
      </c>
      <c r="F2" s="330" t="n">
        <v>44666</v>
      </c>
      <c r="G2" s="331" t="n">
        <v>-346.5</v>
      </c>
      <c r="H2" s="332" t="n">
        <f aca="false">D2-G2</f>
        <v>0</v>
      </c>
      <c r="I2" s="333"/>
    </row>
    <row r="3" customFormat="false" ht="18.6" hidden="false" customHeight="true" outlineLevel="0" collapsed="false">
      <c r="A3" s="261"/>
      <c r="B3" s="11" t="s">
        <v>147</v>
      </c>
      <c r="C3" s="12" t="s">
        <v>613</v>
      </c>
      <c r="D3" s="264" t="n">
        <v>13075.05</v>
      </c>
      <c r="E3" s="329" t="s">
        <v>253</v>
      </c>
      <c r="F3" s="334" t="n">
        <v>44666</v>
      </c>
      <c r="G3" s="335" t="n">
        <v>13075.05</v>
      </c>
      <c r="H3" s="336" t="n">
        <f aca="false">D3-G3</f>
        <v>0</v>
      </c>
      <c r="I3" s="333"/>
    </row>
    <row r="4" customFormat="false" ht="18.6" hidden="false" customHeight="true" outlineLevel="0" collapsed="false">
      <c r="A4" s="261"/>
      <c r="B4" s="11" t="s">
        <v>394</v>
      </c>
      <c r="C4" s="12" t="s">
        <v>614</v>
      </c>
      <c r="D4" s="264" t="n">
        <v>90</v>
      </c>
      <c r="E4" s="329" t="s">
        <v>253</v>
      </c>
      <c r="F4" s="334" t="n">
        <v>44671</v>
      </c>
      <c r="G4" s="335" t="n">
        <v>90</v>
      </c>
      <c r="H4" s="336" t="n">
        <f aca="false">D4-G4</f>
        <v>0</v>
      </c>
      <c r="I4" s="333"/>
      <c r="K4" s="18"/>
    </row>
    <row r="5" customFormat="false" ht="18.6" hidden="false" customHeight="true" outlineLevel="0" collapsed="false">
      <c r="A5" s="261"/>
      <c r="B5" s="11" t="s">
        <v>394</v>
      </c>
      <c r="C5" s="12" t="s">
        <v>615</v>
      </c>
      <c r="D5" s="264" t="n">
        <v>418.21</v>
      </c>
      <c r="E5" s="329" t="s">
        <v>253</v>
      </c>
      <c r="F5" s="334" t="n">
        <v>44671</v>
      </c>
      <c r="G5" s="335" t="n">
        <v>418.21</v>
      </c>
      <c r="H5" s="336" t="n">
        <f aca="false">D5-G5</f>
        <v>0</v>
      </c>
      <c r="I5" s="333"/>
      <c r="K5" s="19"/>
    </row>
    <row r="6" customFormat="false" ht="18.6" hidden="false" customHeight="true" outlineLevel="0" collapsed="false">
      <c r="A6" s="261"/>
      <c r="B6" s="11" t="s">
        <v>394</v>
      </c>
      <c r="C6" s="12" t="s">
        <v>616</v>
      </c>
      <c r="D6" s="264" t="n">
        <v>90</v>
      </c>
      <c r="E6" s="329" t="s">
        <v>253</v>
      </c>
      <c r="F6" s="334" t="n">
        <v>44671</v>
      </c>
      <c r="G6" s="335" t="n">
        <v>90</v>
      </c>
      <c r="H6" s="336" t="n">
        <f aca="false">D6-G6</f>
        <v>0</v>
      </c>
      <c r="I6" s="333"/>
      <c r="K6" s="19" t="s">
        <v>506</v>
      </c>
    </row>
    <row r="7" customFormat="false" ht="18.6" hidden="false" customHeight="true" outlineLevel="0" collapsed="false">
      <c r="A7" s="261"/>
      <c r="B7" s="11" t="s">
        <v>394</v>
      </c>
      <c r="C7" s="12" t="s">
        <v>617</v>
      </c>
      <c r="D7" s="264" t="n">
        <v>90</v>
      </c>
      <c r="E7" s="329" t="s">
        <v>253</v>
      </c>
      <c r="F7" s="334" t="n">
        <v>44671</v>
      </c>
      <c r="G7" s="335" t="n">
        <v>90</v>
      </c>
      <c r="H7" s="336" t="n">
        <f aca="false">D7-G7</f>
        <v>0</v>
      </c>
      <c r="I7" s="333"/>
      <c r="K7" s="19"/>
    </row>
    <row r="8" customFormat="false" ht="18.6" hidden="false" customHeight="true" outlineLevel="0" collapsed="false">
      <c r="A8" s="261"/>
      <c r="B8" s="337" t="s">
        <v>394</v>
      </c>
      <c r="C8" s="12" t="s">
        <v>618</v>
      </c>
      <c r="D8" s="264" t="n">
        <v>2556.37</v>
      </c>
      <c r="E8" s="329" t="s">
        <v>253</v>
      </c>
      <c r="F8" s="334" t="n">
        <v>44671</v>
      </c>
      <c r="G8" s="335" t="n">
        <v>2556.37</v>
      </c>
      <c r="H8" s="336" t="n">
        <f aca="false">D8-G8</f>
        <v>0</v>
      </c>
      <c r="I8" s="333"/>
      <c r="K8" s="20" t="n">
        <f aca="false">D109</f>
        <v>135314.28</v>
      </c>
      <c r="L8" s="20"/>
    </row>
    <row r="9" customFormat="false" ht="18.6" hidden="false" customHeight="true" outlineLevel="0" collapsed="false">
      <c r="A9" s="261"/>
      <c r="B9" s="11" t="s">
        <v>394</v>
      </c>
      <c r="C9" s="12" t="s">
        <v>619</v>
      </c>
      <c r="D9" s="264" t="n">
        <v>300</v>
      </c>
      <c r="E9" s="329" t="s">
        <v>253</v>
      </c>
      <c r="F9" s="334" t="n">
        <v>44671</v>
      </c>
      <c r="G9" s="335" t="n">
        <v>300</v>
      </c>
      <c r="H9" s="336" t="n">
        <f aca="false">D9-G9</f>
        <v>0</v>
      </c>
      <c r="I9" s="333"/>
      <c r="K9" s="19"/>
    </row>
    <row r="10" customFormat="false" ht="18.6" hidden="false" customHeight="true" outlineLevel="0" collapsed="false">
      <c r="A10" s="261"/>
      <c r="B10" s="11" t="s">
        <v>620</v>
      </c>
      <c r="C10" s="12" t="s">
        <v>621</v>
      </c>
      <c r="D10" s="264" t="n">
        <v>1273.96</v>
      </c>
      <c r="E10" s="329" t="s">
        <v>253</v>
      </c>
      <c r="F10" s="334" t="n">
        <v>44671</v>
      </c>
      <c r="G10" s="335" t="n">
        <v>1273.96</v>
      </c>
      <c r="H10" s="336" t="n">
        <f aca="false">D10-G10</f>
        <v>0</v>
      </c>
      <c r="I10" s="338"/>
      <c r="K10" s="20" t="n">
        <f aca="false">D37</f>
        <v>99554.35</v>
      </c>
      <c r="L10" s="20"/>
    </row>
    <row r="11" customFormat="false" ht="18.6" hidden="false" customHeight="true" outlineLevel="0" collapsed="false">
      <c r="A11" s="261"/>
      <c r="B11" s="11" t="s">
        <v>620</v>
      </c>
      <c r="C11" s="12" t="s">
        <v>622</v>
      </c>
      <c r="D11" s="264" t="n">
        <v>2034.65</v>
      </c>
      <c r="E11" s="329" t="s">
        <v>253</v>
      </c>
      <c r="F11" s="334" t="n">
        <v>44671</v>
      </c>
      <c r="G11" s="335" t="n">
        <v>2034.65</v>
      </c>
      <c r="H11" s="336" t="n">
        <f aca="false">D11-G11</f>
        <v>0</v>
      </c>
      <c r="I11" s="338"/>
    </row>
    <row r="12" customFormat="false" ht="18.6" hidden="false" customHeight="true" outlineLevel="0" collapsed="false">
      <c r="A12" s="261"/>
      <c r="B12" s="11" t="s">
        <v>273</v>
      </c>
      <c r="C12" s="12" t="s">
        <v>623</v>
      </c>
      <c r="D12" s="264" t="n">
        <v>515.29</v>
      </c>
      <c r="E12" s="329"/>
      <c r="F12" s="334" t="n">
        <v>44681</v>
      </c>
      <c r="G12" s="335" t="n">
        <v>515.29</v>
      </c>
      <c r="H12" s="336" t="n">
        <f aca="false">D12-G12</f>
        <v>0</v>
      </c>
      <c r="I12" s="338"/>
      <c r="K12" s="20" t="n">
        <f aca="false">+D109</f>
        <v>135314.28</v>
      </c>
      <c r="L12" s="20"/>
    </row>
    <row r="13" customFormat="false" ht="18.6" hidden="false" customHeight="true" outlineLevel="0" collapsed="false">
      <c r="A13" s="261"/>
      <c r="B13" s="11" t="s">
        <v>284</v>
      </c>
      <c r="C13" s="12" t="s">
        <v>624</v>
      </c>
      <c r="D13" s="264" t="n">
        <v>4340.2</v>
      </c>
      <c r="E13" s="329" t="s">
        <v>625</v>
      </c>
      <c r="F13" s="334" t="n">
        <v>44681</v>
      </c>
      <c r="G13" s="339" t="n">
        <v>4340.2</v>
      </c>
      <c r="H13" s="336" t="n">
        <f aca="false">D13-G13</f>
        <v>0</v>
      </c>
      <c r="I13" s="338"/>
    </row>
    <row r="14" customFormat="false" ht="18.6" hidden="false" customHeight="true" outlineLevel="0" collapsed="false">
      <c r="A14" s="261"/>
      <c r="B14" s="11" t="s">
        <v>284</v>
      </c>
      <c r="C14" s="12" t="s">
        <v>626</v>
      </c>
      <c r="D14" s="264" t="n">
        <v>5299.24</v>
      </c>
      <c r="E14" s="329" t="s">
        <v>286</v>
      </c>
      <c r="F14" s="334" t="n">
        <v>44681</v>
      </c>
      <c r="G14" s="339" t="n">
        <v>5299.24</v>
      </c>
      <c r="H14" s="336" t="n">
        <f aca="false">D14-G14</f>
        <v>0</v>
      </c>
      <c r="I14" s="338"/>
      <c r="K14" s="19" t="s">
        <v>521</v>
      </c>
    </row>
    <row r="15" customFormat="false" ht="18.6" hidden="false" customHeight="true" outlineLevel="0" collapsed="false">
      <c r="A15" s="261"/>
      <c r="B15" s="11" t="s">
        <v>422</v>
      </c>
      <c r="C15" s="12" t="s">
        <v>627</v>
      </c>
      <c r="D15" s="264" t="n">
        <v>339.45</v>
      </c>
      <c r="E15" s="329" t="s">
        <v>253</v>
      </c>
      <c r="F15" s="340" t="n">
        <v>44681</v>
      </c>
      <c r="G15" s="339" t="n">
        <v>339.45</v>
      </c>
      <c r="H15" s="336" t="n">
        <f aca="false">D15-G15</f>
        <v>0</v>
      </c>
      <c r="I15" s="338"/>
      <c r="K15" s="21" t="n">
        <f aca="false">K10+K8</f>
        <v>234868.63</v>
      </c>
      <c r="L15" s="21"/>
      <c r="M15" s="21"/>
    </row>
    <row r="16" customFormat="false" ht="18.6" hidden="false" customHeight="true" outlineLevel="0" collapsed="false">
      <c r="A16" s="261"/>
      <c r="B16" s="11" t="s">
        <v>422</v>
      </c>
      <c r="C16" s="12" t="s">
        <v>628</v>
      </c>
      <c r="D16" s="264" t="n">
        <v>563.88</v>
      </c>
      <c r="E16" s="329" t="s">
        <v>515</v>
      </c>
      <c r="F16" s="340" t="n">
        <v>44681</v>
      </c>
      <c r="G16" s="339" t="n">
        <v>563.88</v>
      </c>
      <c r="H16" s="336" t="n">
        <f aca="false">D16-G16</f>
        <v>0</v>
      </c>
      <c r="I16" s="338"/>
    </row>
    <row r="17" customFormat="false" ht="18.6" hidden="false" customHeight="true" outlineLevel="0" collapsed="false">
      <c r="A17" s="261"/>
      <c r="B17" s="11" t="s">
        <v>422</v>
      </c>
      <c r="C17" s="12" t="s">
        <v>629</v>
      </c>
      <c r="D17" s="264" t="n">
        <v>201.19</v>
      </c>
      <c r="E17" s="329" t="s">
        <v>630</v>
      </c>
      <c r="F17" s="334" t="n">
        <v>44681</v>
      </c>
      <c r="G17" s="339" t="n">
        <v>201.19</v>
      </c>
      <c r="H17" s="336" t="n">
        <f aca="false">D17-G17</f>
        <v>0</v>
      </c>
      <c r="I17" s="338"/>
    </row>
    <row r="18" customFormat="false" ht="18.6" hidden="false" customHeight="true" outlineLevel="0" collapsed="false">
      <c r="A18" s="261"/>
      <c r="B18" s="11" t="s">
        <v>422</v>
      </c>
      <c r="C18" s="12" t="s">
        <v>631</v>
      </c>
      <c r="D18" s="264" t="n">
        <v>1462.29</v>
      </c>
      <c r="E18" s="329" t="s">
        <v>280</v>
      </c>
      <c r="F18" s="340" t="n">
        <v>44681</v>
      </c>
      <c r="G18" s="339" t="n">
        <v>1462.29</v>
      </c>
      <c r="H18" s="336" t="n">
        <f aca="false">D18-G18</f>
        <v>0</v>
      </c>
      <c r="I18" s="338"/>
    </row>
    <row r="19" customFormat="false" ht="18.6" hidden="false" customHeight="true" outlineLevel="0" collapsed="false">
      <c r="A19" s="261"/>
      <c r="B19" s="11" t="s">
        <v>422</v>
      </c>
      <c r="C19" s="12" t="s">
        <v>632</v>
      </c>
      <c r="D19" s="264" t="n">
        <v>27.02</v>
      </c>
      <c r="E19" s="329" t="s">
        <v>633</v>
      </c>
      <c r="F19" s="340" t="n">
        <v>44681</v>
      </c>
      <c r="G19" s="339" t="n">
        <v>27.02</v>
      </c>
      <c r="H19" s="336" t="n">
        <f aca="false">D19-G19</f>
        <v>0</v>
      </c>
      <c r="I19" s="338"/>
    </row>
    <row r="20" customFormat="false" ht="18.6" hidden="false" customHeight="true" outlineLevel="0" collapsed="false">
      <c r="A20" s="261"/>
      <c r="B20" s="11" t="s">
        <v>166</v>
      </c>
      <c r="C20" s="12" t="s">
        <v>634</v>
      </c>
      <c r="D20" s="264" t="n">
        <v>1008.54</v>
      </c>
      <c r="E20" s="329"/>
      <c r="F20" s="340" t="n">
        <v>44681</v>
      </c>
      <c r="G20" s="339" t="n">
        <v>1008.54</v>
      </c>
      <c r="H20" s="336" t="n">
        <f aca="false">D20-G20</f>
        <v>0</v>
      </c>
      <c r="I20" s="338"/>
    </row>
    <row r="21" customFormat="false" ht="18.6" hidden="false" customHeight="true" outlineLevel="0" collapsed="false">
      <c r="A21" s="261"/>
      <c r="B21" s="11" t="s">
        <v>166</v>
      </c>
      <c r="C21" s="12" t="s">
        <v>635</v>
      </c>
      <c r="D21" s="13" t="n">
        <v>-69</v>
      </c>
      <c r="E21" s="341"/>
      <c r="F21" s="340" t="n">
        <v>44681</v>
      </c>
      <c r="G21" s="339" t="n">
        <v>-69</v>
      </c>
      <c r="H21" s="336" t="n">
        <f aca="false">D21-G21</f>
        <v>0</v>
      </c>
      <c r="I21" s="338"/>
    </row>
    <row r="22" customFormat="false" ht="18.6" hidden="false" customHeight="true" outlineLevel="0" collapsed="false">
      <c r="A22" s="261"/>
      <c r="B22" s="11" t="s">
        <v>291</v>
      </c>
      <c r="C22" s="12" t="s">
        <v>636</v>
      </c>
      <c r="D22" s="264" t="n">
        <v>688.54</v>
      </c>
      <c r="E22" s="329" t="s">
        <v>625</v>
      </c>
      <c r="F22" s="340" t="n">
        <v>44681</v>
      </c>
      <c r="G22" s="339" t="n">
        <v>688.54</v>
      </c>
      <c r="H22" s="336" t="n">
        <f aca="false">D22-G22</f>
        <v>0</v>
      </c>
      <c r="I22" s="338"/>
    </row>
    <row r="23" customFormat="false" ht="18.6" hidden="false" customHeight="true" outlineLevel="0" collapsed="false">
      <c r="A23" s="261"/>
      <c r="B23" s="11" t="s">
        <v>291</v>
      </c>
      <c r="C23" s="12" t="s">
        <v>637</v>
      </c>
      <c r="D23" s="264" t="n">
        <v>2613.22</v>
      </c>
      <c r="E23" s="329" t="s">
        <v>280</v>
      </c>
      <c r="F23" s="340" t="n">
        <v>44681</v>
      </c>
      <c r="G23" s="342" t="n">
        <v>2613.22</v>
      </c>
      <c r="H23" s="336" t="n">
        <f aca="false">D23-G23</f>
        <v>0</v>
      </c>
      <c r="I23" s="338"/>
    </row>
    <row r="24" customFormat="false" ht="18.6" hidden="false" customHeight="true" outlineLevel="0" collapsed="false">
      <c r="A24" s="261"/>
      <c r="B24" s="11" t="s">
        <v>291</v>
      </c>
      <c r="C24" s="12" t="s">
        <v>638</v>
      </c>
      <c r="D24" s="264" t="n">
        <v>155.94</v>
      </c>
      <c r="E24" s="329" t="s">
        <v>294</v>
      </c>
      <c r="F24" s="340" t="n">
        <v>44681</v>
      </c>
      <c r="G24" s="342" t="n">
        <v>155.94</v>
      </c>
      <c r="H24" s="336" t="n">
        <f aca="false">D24-G24</f>
        <v>0</v>
      </c>
      <c r="I24" s="338"/>
    </row>
    <row r="25" customFormat="false" ht="18.6" hidden="false" customHeight="true" outlineLevel="0" collapsed="false">
      <c r="A25" s="261"/>
      <c r="B25" s="11" t="s">
        <v>291</v>
      </c>
      <c r="C25" s="12" t="s">
        <v>639</v>
      </c>
      <c r="D25" s="264" t="n">
        <v>13821.95</v>
      </c>
      <c r="E25" s="329" t="s">
        <v>253</v>
      </c>
      <c r="F25" s="340" t="n">
        <v>44681</v>
      </c>
      <c r="G25" s="342" t="n">
        <v>13821.95</v>
      </c>
      <c r="H25" s="336" t="n">
        <f aca="false">D25-G25</f>
        <v>0</v>
      </c>
      <c r="I25" s="338"/>
    </row>
    <row r="26" customFormat="false" ht="18.6" hidden="false" customHeight="true" outlineLevel="0" collapsed="false">
      <c r="A26" s="261"/>
      <c r="B26" s="11" t="s">
        <v>291</v>
      </c>
      <c r="C26" s="12" t="s">
        <v>640</v>
      </c>
      <c r="D26" s="264" t="n">
        <v>159.95</v>
      </c>
      <c r="E26" s="329" t="s">
        <v>641</v>
      </c>
      <c r="F26" s="340" t="n">
        <v>44681</v>
      </c>
      <c r="G26" s="342" t="n">
        <v>159.95</v>
      </c>
      <c r="H26" s="336" t="n">
        <f aca="false">D26-G26</f>
        <v>0</v>
      </c>
      <c r="I26" s="338"/>
    </row>
    <row r="27" customFormat="false" ht="18.6" hidden="false" customHeight="true" outlineLevel="0" collapsed="false">
      <c r="A27" s="261"/>
      <c r="B27" s="11" t="s">
        <v>291</v>
      </c>
      <c r="C27" s="12" t="s">
        <v>642</v>
      </c>
      <c r="D27" s="264" t="n">
        <v>756.59</v>
      </c>
      <c r="E27" s="329" t="s">
        <v>643</v>
      </c>
      <c r="F27" s="340" t="n">
        <v>44681</v>
      </c>
      <c r="G27" s="342" t="n">
        <v>756.59</v>
      </c>
      <c r="H27" s="336" t="n">
        <f aca="false">D27-G27</f>
        <v>0</v>
      </c>
      <c r="I27" s="338"/>
    </row>
    <row r="28" customFormat="false" ht="18.6" hidden="false" customHeight="true" outlineLevel="0" collapsed="false">
      <c r="A28" s="261"/>
      <c r="B28" s="11" t="s">
        <v>644</v>
      </c>
      <c r="C28" s="12" t="s">
        <v>645</v>
      </c>
      <c r="D28" s="264" t="n">
        <v>1408.56</v>
      </c>
      <c r="E28" s="329" t="s">
        <v>646</v>
      </c>
      <c r="F28" s="340" t="n">
        <v>44681</v>
      </c>
      <c r="G28" s="342" t="n">
        <v>1408.56</v>
      </c>
      <c r="H28" s="336" t="n">
        <f aca="false">D28-G28</f>
        <v>0</v>
      </c>
      <c r="I28" s="338"/>
    </row>
    <row r="29" customFormat="false" ht="18.6" hidden="false" customHeight="true" outlineLevel="0" collapsed="false">
      <c r="A29" s="269"/>
      <c r="B29" s="11" t="s">
        <v>644</v>
      </c>
      <c r="C29" s="12" t="s">
        <v>647</v>
      </c>
      <c r="D29" s="270" t="n">
        <v>27751.68</v>
      </c>
      <c r="E29" s="343" t="s">
        <v>253</v>
      </c>
      <c r="F29" s="344" t="n">
        <v>44681</v>
      </c>
      <c r="G29" s="345" t="n">
        <v>27751.68</v>
      </c>
      <c r="H29" s="336" t="n">
        <f aca="false">D29-G29</f>
        <v>0</v>
      </c>
      <c r="I29" s="338"/>
    </row>
    <row r="30" customFormat="false" ht="18.6" hidden="false" customHeight="true" outlineLevel="0" collapsed="false">
      <c r="A30" s="269"/>
      <c r="B30" s="11" t="s">
        <v>644</v>
      </c>
      <c r="C30" s="12" t="s">
        <v>648</v>
      </c>
      <c r="D30" s="270" t="n">
        <v>7864.68</v>
      </c>
      <c r="E30" s="343" t="s">
        <v>280</v>
      </c>
      <c r="F30" s="344" t="n">
        <v>44681</v>
      </c>
      <c r="G30" s="345" t="n">
        <v>7864.68</v>
      </c>
      <c r="H30" s="336" t="n">
        <f aca="false">D30-G30</f>
        <v>0</v>
      </c>
      <c r="I30" s="338"/>
    </row>
    <row r="31" customFormat="false" ht="18.6" hidden="false" customHeight="true" outlineLevel="0" collapsed="false">
      <c r="A31" s="269"/>
      <c r="B31" s="11" t="s">
        <v>644</v>
      </c>
      <c r="C31" s="12" t="s">
        <v>649</v>
      </c>
      <c r="D31" s="270" t="n">
        <v>2734.8</v>
      </c>
      <c r="E31" s="343" t="s">
        <v>407</v>
      </c>
      <c r="F31" s="344" t="n">
        <v>44681</v>
      </c>
      <c r="G31" s="345" t="n">
        <v>2734.8</v>
      </c>
      <c r="H31" s="336" t="n">
        <f aca="false">D31-G31</f>
        <v>0</v>
      </c>
      <c r="I31" s="338"/>
    </row>
    <row r="32" customFormat="false" ht="18.6" hidden="false" customHeight="true" outlineLevel="0" collapsed="false">
      <c r="A32" s="269"/>
      <c r="B32" s="11" t="s">
        <v>644</v>
      </c>
      <c r="C32" s="12" t="s">
        <v>650</v>
      </c>
      <c r="D32" s="270" t="n">
        <v>4089.96</v>
      </c>
      <c r="E32" s="343" t="s">
        <v>625</v>
      </c>
      <c r="F32" s="344" t="n">
        <v>44681</v>
      </c>
      <c r="G32" s="345" t="n">
        <v>4089.96</v>
      </c>
      <c r="H32" s="336" t="n">
        <f aca="false">D32-G32</f>
        <v>0</v>
      </c>
      <c r="I32" s="338"/>
    </row>
    <row r="33" customFormat="false" ht="18.6" hidden="false" customHeight="true" outlineLevel="0" collapsed="false">
      <c r="A33" s="269"/>
      <c r="B33" s="11" t="s">
        <v>644</v>
      </c>
      <c r="C33" s="12" t="s">
        <v>651</v>
      </c>
      <c r="D33" s="270" t="n">
        <v>818.88</v>
      </c>
      <c r="E33" s="343" t="s">
        <v>407</v>
      </c>
      <c r="F33" s="344" t="n">
        <v>44681</v>
      </c>
      <c r="G33" s="345" t="n">
        <v>818.88</v>
      </c>
      <c r="H33" s="336" t="n">
        <f aca="false">D33-G33</f>
        <v>0</v>
      </c>
      <c r="I33" s="338"/>
    </row>
    <row r="34" customFormat="false" ht="18.6" hidden="false" customHeight="true" outlineLevel="0" collapsed="false">
      <c r="A34" s="269"/>
      <c r="B34" s="11" t="s">
        <v>644</v>
      </c>
      <c r="C34" s="12" t="s">
        <v>652</v>
      </c>
      <c r="D34" s="270" t="n">
        <v>1706.52</v>
      </c>
      <c r="E34" s="343" t="s">
        <v>653</v>
      </c>
      <c r="F34" s="344" t="n">
        <v>44681</v>
      </c>
      <c r="G34" s="345" t="n">
        <v>1706.52</v>
      </c>
      <c r="H34" s="336" t="n">
        <f aca="false">D34-G34</f>
        <v>0</v>
      </c>
      <c r="I34" s="338"/>
    </row>
    <row r="35" customFormat="false" ht="18.6" hidden="false" customHeight="true" outlineLevel="0" collapsed="false">
      <c r="A35" s="269"/>
      <c r="B35" s="11" t="s">
        <v>644</v>
      </c>
      <c r="C35" s="12" t="s">
        <v>654</v>
      </c>
      <c r="D35" s="264" t="n">
        <v>906.6</v>
      </c>
      <c r="E35" s="329" t="s">
        <v>655</v>
      </c>
      <c r="F35" s="340" t="n">
        <v>44681</v>
      </c>
      <c r="G35" s="342" t="n">
        <v>906.6</v>
      </c>
      <c r="H35" s="336" t="n">
        <f aca="false">D35-G35</f>
        <v>0</v>
      </c>
      <c r="I35" s="338"/>
    </row>
    <row r="36" customFormat="false" ht="18.6" hidden="false" customHeight="true" outlineLevel="0" collapsed="false">
      <c r="A36" s="269"/>
      <c r="B36" s="11" t="s">
        <v>644</v>
      </c>
      <c r="C36" s="12" t="s">
        <v>656</v>
      </c>
      <c r="D36" s="264" t="n">
        <v>806.64</v>
      </c>
      <c r="E36" s="329" t="s">
        <v>657</v>
      </c>
      <c r="F36" s="340" t="n">
        <v>44681</v>
      </c>
      <c r="G36" s="342" t="n">
        <v>806.64</v>
      </c>
      <c r="H36" s="336" t="n">
        <f aca="false">D36-G36</f>
        <v>0</v>
      </c>
      <c r="I36" s="338"/>
    </row>
    <row r="37" customFormat="false" ht="18.6" hidden="false" customHeight="true" outlineLevel="0" collapsed="false">
      <c r="A37" s="269"/>
      <c r="B37" s="28" t="s">
        <v>35</v>
      </c>
      <c r="C37" s="22"/>
      <c r="D37" s="29" t="n">
        <f aca="false">+SUM(D2:D36)</f>
        <v>99554.35</v>
      </c>
      <c r="E37" s="346"/>
      <c r="F37" s="347"/>
      <c r="G37" s="348"/>
      <c r="H37" s="349" t="n">
        <f aca="false">+SUM(H2:H36)</f>
        <v>0</v>
      </c>
      <c r="I37" s="350"/>
    </row>
    <row r="38" customFormat="false" ht="18.6" hidden="false" customHeight="true" outlineLevel="0" collapsed="false">
      <c r="A38" s="351" t="s">
        <v>299</v>
      </c>
      <c r="B38" s="11" t="s">
        <v>658</v>
      </c>
      <c r="C38" s="12" t="s">
        <v>659</v>
      </c>
      <c r="D38" s="270" t="n">
        <v>891.47</v>
      </c>
      <c r="E38" s="343"/>
      <c r="F38" s="344" t="n">
        <v>44652</v>
      </c>
      <c r="G38" s="345" t="n">
        <v>891.47</v>
      </c>
      <c r="H38" s="336" t="n">
        <f aca="false">D38-G38</f>
        <v>0</v>
      </c>
      <c r="I38" s="338"/>
    </row>
    <row r="39" customFormat="false" ht="18.6" hidden="false" customHeight="true" outlineLevel="0" collapsed="false">
      <c r="A39" s="351"/>
      <c r="B39" s="11" t="s">
        <v>311</v>
      </c>
      <c r="C39" s="12"/>
      <c r="D39" s="264" t="n">
        <v>19.38</v>
      </c>
      <c r="E39" s="329"/>
      <c r="F39" s="340" t="n">
        <v>44655</v>
      </c>
      <c r="G39" s="342" t="n">
        <v>19.38</v>
      </c>
      <c r="H39" s="336" t="n">
        <f aca="false">D39-G39</f>
        <v>0</v>
      </c>
      <c r="I39" s="338"/>
    </row>
    <row r="40" customFormat="false" ht="18.6" hidden="false" customHeight="true" outlineLevel="0" collapsed="false">
      <c r="A40" s="351"/>
      <c r="B40" s="11" t="s">
        <v>308</v>
      </c>
      <c r="C40" s="12"/>
      <c r="D40" s="264" t="n">
        <v>3203.09</v>
      </c>
      <c r="E40" s="329" t="s">
        <v>439</v>
      </c>
      <c r="F40" s="340" t="n">
        <v>44656</v>
      </c>
      <c r="G40" s="342" t="n">
        <v>3203.09</v>
      </c>
      <c r="H40" s="336" t="n">
        <f aca="false">D40-G40</f>
        <v>0</v>
      </c>
      <c r="I40" s="338"/>
    </row>
    <row r="41" customFormat="false" ht="18.6" hidden="false" customHeight="true" outlineLevel="0" collapsed="false">
      <c r="A41" s="351"/>
      <c r="B41" s="11" t="s">
        <v>300</v>
      </c>
      <c r="C41" s="12" t="s">
        <v>303</v>
      </c>
      <c r="D41" s="264" t="n">
        <v>127.11</v>
      </c>
      <c r="E41" s="329" t="s">
        <v>302</v>
      </c>
      <c r="F41" s="340" t="n">
        <v>44656</v>
      </c>
      <c r="G41" s="342" t="n">
        <v>127.11</v>
      </c>
      <c r="H41" s="336" t="n">
        <f aca="false">D41-G41</f>
        <v>0</v>
      </c>
      <c r="I41" s="338"/>
    </row>
    <row r="42" customFormat="false" ht="18.6" hidden="false" customHeight="true" outlineLevel="0" collapsed="false">
      <c r="A42" s="351"/>
      <c r="B42" s="11" t="s">
        <v>300</v>
      </c>
      <c r="C42" s="12" t="s">
        <v>304</v>
      </c>
      <c r="D42" s="270" t="n">
        <v>100.82</v>
      </c>
      <c r="E42" s="343"/>
      <c r="F42" s="344" t="n">
        <v>44656</v>
      </c>
      <c r="G42" s="345" t="n">
        <v>100.82</v>
      </c>
      <c r="H42" s="336" t="n">
        <f aca="false">D42-G42</f>
        <v>0</v>
      </c>
      <c r="I42" s="338"/>
    </row>
    <row r="43" customFormat="false" ht="18.6" hidden="false" customHeight="true" outlineLevel="0" collapsed="false">
      <c r="A43" s="351"/>
      <c r="B43" s="11" t="s">
        <v>300</v>
      </c>
      <c r="C43" s="12" t="s">
        <v>305</v>
      </c>
      <c r="D43" s="264" t="n">
        <v>104.12</v>
      </c>
      <c r="E43" s="329"/>
      <c r="F43" s="340" t="n">
        <v>44656</v>
      </c>
      <c r="G43" s="342" t="n">
        <v>104.12</v>
      </c>
      <c r="H43" s="336" t="n">
        <f aca="false">D43-G43</f>
        <v>0</v>
      </c>
      <c r="I43" s="338"/>
    </row>
    <row r="44" customFormat="false" ht="18.6" hidden="false" customHeight="true" outlineLevel="0" collapsed="false">
      <c r="A44" s="351"/>
      <c r="B44" s="11" t="s">
        <v>300</v>
      </c>
      <c r="C44" s="12" t="s">
        <v>306</v>
      </c>
      <c r="D44" s="264" t="n">
        <v>71.32</v>
      </c>
      <c r="E44" s="329"/>
      <c r="F44" s="340" t="n">
        <v>44656</v>
      </c>
      <c r="G44" s="342" t="n">
        <v>71.32</v>
      </c>
      <c r="H44" s="336" t="n">
        <f aca="false">D44-G44</f>
        <v>0</v>
      </c>
      <c r="I44" s="338"/>
    </row>
    <row r="45" customFormat="false" ht="18.6" hidden="false" customHeight="true" outlineLevel="0" collapsed="false">
      <c r="A45" s="351"/>
      <c r="B45" s="11" t="s">
        <v>300</v>
      </c>
      <c r="C45" s="12" t="s">
        <v>307</v>
      </c>
      <c r="D45" s="264" t="n">
        <v>89.4</v>
      </c>
      <c r="E45" s="329"/>
      <c r="F45" s="340" t="n">
        <v>44656</v>
      </c>
      <c r="G45" s="342" t="n">
        <v>89.4</v>
      </c>
      <c r="H45" s="336" t="n">
        <f aca="false">D45-G45</f>
        <v>0</v>
      </c>
      <c r="I45" s="338"/>
    </row>
    <row r="46" customFormat="false" ht="18.6" hidden="false" customHeight="true" outlineLevel="0" collapsed="false">
      <c r="A46" s="351"/>
      <c r="B46" s="11" t="s">
        <v>300</v>
      </c>
      <c r="C46" s="12" t="s">
        <v>301</v>
      </c>
      <c r="D46" s="270" t="n">
        <v>99.97</v>
      </c>
      <c r="E46" s="343" t="s">
        <v>302</v>
      </c>
      <c r="F46" s="344" t="n">
        <v>44656</v>
      </c>
      <c r="G46" s="345" t="n">
        <v>99.97</v>
      </c>
      <c r="H46" s="336" t="n">
        <f aca="false">D46-G46</f>
        <v>0</v>
      </c>
      <c r="I46" s="338"/>
    </row>
    <row r="47" customFormat="false" ht="18.6" hidden="false" customHeight="true" outlineLevel="0" collapsed="false">
      <c r="A47" s="351"/>
      <c r="B47" s="11" t="s">
        <v>551</v>
      </c>
      <c r="C47" s="12"/>
      <c r="D47" s="264" t="n">
        <v>53.88</v>
      </c>
      <c r="E47" s="329"/>
      <c r="F47" s="340" t="n">
        <v>44656</v>
      </c>
      <c r="G47" s="342" t="n">
        <v>53.88</v>
      </c>
      <c r="H47" s="336" t="n">
        <f aca="false">D47-G47</f>
        <v>0</v>
      </c>
      <c r="I47" s="338"/>
    </row>
    <row r="48" customFormat="false" ht="18.6" hidden="false" customHeight="true" outlineLevel="0" collapsed="false">
      <c r="A48" s="351"/>
      <c r="B48" s="11" t="s">
        <v>314</v>
      </c>
      <c r="C48" s="12"/>
      <c r="D48" s="264" t="n">
        <v>50</v>
      </c>
      <c r="E48" s="329" t="s">
        <v>315</v>
      </c>
      <c r="F48" s="340" t="n">
        <v>44657</v>
      </c>
      <c r="G48" s="342" t="n">
        <v>50</v>
      </c>
      <c r="H48" s="336" t="n">
        <f aca="false">D48-G48</f>
        <v>0</v>
      </c>
      <c r="I48" s="338"/>
    </row>
    <row r="49" customFormat="false" ht="18.6" hidden="false" customHeight="true" outlineLevel="0" collapsed="false">
      <c r="A49" s="351"/>
      <c r="B49" s="11" t="s">
        <v>314</v>
      </c>
      <c r="C49" s="12"/>
      <c r="D49" s="264" t="n">
        <v>38</v>
      </c>
      <c r="E49" s="329"/>
      <c r="F49" s="340" t="n">
        <v>44657</v>
      </c>
      <c r="G49" s="342" t="n">
        <v>38</v>
      </c>
      <c r="H49" s="336" t="n">
        <f aca="false">D49-G49</f>
        <v>0</v>
      </c>
      <c r="I49" s="338"/>
    </row>
    <row r="50" customFormat="false" ht="18.6" hidden="false" customHeight="true" outlineLevel="0" collapsed="false">
      <c r="A50" s="351"/>
      <c r="B50" s="11" t="s">
        <v>566</v>
      </c>
      <c r="C50" s="12" t="s">
        <v>567</v>
      </c>
      <c r="D50" s="270" t="n">
        <v>284.59</v>
      </c>
      <c r="E50" s="343" t="s">
        <v>280</v>
      </c>
      <c r="F50" s="344" t="n">
        <v>44661</v>
      </c>
      <c r="G50" s="345" t="n">
        <v>284.59</v>
      </c>
      <c r="H50" s="336" t="n">
        <f aca="false">D50-G50</f>
        <v>0</v>
      </c>
      <c r="I50" s="338"/>
    </row>
    <row r="51" customFormat="false" ht="18.6" hidden="false" customHeight="true" outlineLevel="0" collapsed="false">
      <c r="A51" s="351"/>
      <c r="B51" s="11" t="s">
        <v>35</v>
      </c>
      <c r="C51" s="12" t="s">
        <v>660</v>
      </c>
      <c r="D51" s="264" t="n">
        <v>3143.33</v>
      </c>
      <c r="E51" s="329"/>
      <c r="F51" s="340" t="n">
        <v>44661</v>
      </c>
      <c r="G51" s="342" t="n">
        <v>3143.33</v>
      </c>
      <c r="H51" s="336" t="n">
        <f aca="false">D51-G51</f>
        <v>0</v>
      </c>
      <c r="I51" s="338"/>
    </row>
    <row r="52" customFormat="false" ht="18.6" hidden="false" customHeight="true" outlineLevel="0" collapsed="false">
      <c r="A52" s="351"/>
      <c r="B52" s="11" t="s">
        <v>316</v>
      </c>
      <c r="C52" s="12" t="s">
        <v>550</v>
      </c>
      <c r="D52" s="264" t="n">
        <f aca="false">15.95*2</f>
        <v>31.9</v>
      </c>
      <c r="E52" s="329" t="s">
        <v>661</v>
      </c>
      <c r="F52" s="340" t="n">
        <v>44661</v>
      </c>
      <c r="G52" s="342" t="n">
        <v>31.9</v>
      </c>
      <c r="H52" s="336" t="n">
        <f aca="false">D52-G52</f>
        <v>0</v>
      </c>
      <c r="I52" s="338" t="n">
        <v>44671</v>
      </c>
    </row>
    <row r="53" customFormat="false" ht="18.6" hidden="false" customHeight="true" outlineLevel="0" collapsed="false">
      <c r="A53" s="351"/>
      <c r="B53" s="11" t="s">
        <v>100</v>
      </c>
      <c r="C53" s="12"/>
      <c r="D53" s="264" t="n">
        <v>14.14</v>
      </c>
      <c r="E53" s="329"/>
      <c r="F53" s="340" t="n">
        <v>44662</v>
      </c>
      <c r="G53" s="342" t="n">
        <v>14.14</v>
      </c>
      <c r="H53" s="336" t="n">
        <f aca="false">D53-G53</f>
        <v>0</v>
      </c>
      <c r="I53" s="338"/>
    </row>
    <row r="54" customFormat="false" ht="18.6" hidden="false" customHeight="true" outlineLevel="0" collapsed="false">
      <c r="A54" s="351"/>
      <c r="B54" s="11" t="s">
        <v>561</v>
      </c>
      <c r="C54" s="12"/>
      <c r="D54" s="270" t="n">
        <v>16.99</v>
      </c>
      <c r="E54" s="343" t="s">
        <v>562</v>
      </c>
      <c r="F54" s="344" t="n">
        <v>44662</v>
      </c>
      <c r="G54" s="345" t="n">
        <v>16.99</v>
      </c>
      <c r="H54" s="336" t="n">
        <f aca="false">D54-G54</f>
        <v>0</v>
      </c>
      <c r="I54" s="338"/>
    </row>
    <row r="55" customFormat="false" ht="18.6" hidden="false" customHeight="true" outlineLevel="0" collapsed="false">
      <c r="A55" s="351"/>
      <c r="B55" s="11" t="s">
        <v>437</v>
      </c>
      <c r="C55" s="12" t="s">
        <v>564</v>
      </c>
      <c r="D55" s="264" t="n">
        <v>277.96</v>
      </c>
      <c r="E55" s="329" t="s">
        <v>565</v>
      </c>
      <c r="F55" s="340" t="n">
        <v>44662</v>
      </c>
      <c r="G55" s="342" t="n">
        <v>277.96</v>
      </c>
      <c r="H55" s="336" t="n">
        <f aca="false">D55-G55</f>
        <v>0</v>
      </c>
      <c r="I55" s="338"/>
    </row>
    <row r="56" customFormat="false" ht="18.6" hidden="false" customHeight="true" outlineLevel="0" collapsed="false">
      <c r="A56" s="351"/>
      <c r="B56" s="337" t="s">
        <v>322</v>
      </c>
      <c r="C56" s="352"/>
      <c r="D56" s="353" t="n">
        <v>11213</v>
      </c>
      <c r="E56" s="354" t="s">
        <v>323</v>
      </c>
      <c r="F56" s="355" t="n">
        <v>44666</v>
      </c>
      <c r="G56" s="356" t="n">
        <v>11213</v>
      </c>
      <c r="H56" s="357" t="n">
        <f aca="false">D56-G56</f>
        <v>0</v>
      </c>
      <c r="I56" s="358"/>
    </row>
    <row r="57" customFormat="false" ht="18.6" hidden="false" customHeight="true" outlineLevel="0" collapsed="false">
      <c r="A57" s="351"/>
      <c r="B57" s="337" t="s">
        <v>92</v>
      </c>
      <c r="C57" s="352" t="s">
        <v>662</v>
      </c>
      <c r="D57" s="353" t="n">
        <v>2210.28</v>
      </c>
      <c r="E57" s="354" t="s">
        <v>662</v>
      </c>
      <c r="F57" s="355" t="n">
        <v>44666</v>
      </c>
      <c r="G57" s="356" t="n">
        <v>2210.28</v>
      </c>
      <c r="H57" s="357" t="n">
        <f aca="false">D57-G57</f>
        <v>0</v>
      </c>
      <c r="I57" s="338"/>
    </row>
    <row r="58" customFormat="false" ht="18.6" hidden="false" customHeight="true" outlineLevel="0" collapsed="false">
      <c r="A58" s="351"/>
      <c r="B58" s="11" t="s">
        <v>300</v>
      </c>
      <c r="C58" s="12" t="s">
        <v>320</v>
      </c>
      <c r="D58" s="270" t="n">
        <v>15.24</v>
      </c>
      <c r="E58" s="343" t="s">
        <v>321</v>
      </c>
      <c r="F58" s="344" t="n">
        <v>44670</v>
      </c>
      <c r="G58" s="345" t="n">
        <v>15.24</v>
      </c>
      <c r="H58" s="336" t="n">
        <f aca="false">D58-G58</f>
        <v>0</v>
      </c>
      <c r="I58" s="338"/>
    </row>
    <row r="59" customFormat="false" ht="18.6" hidden="false" customHeight="true" outlineLevel="0" collapsed="false">
      <c r="A59" s="351"/>
      <c r="B59" s="11" t="s">
        <v>300</v>
      </c>
      <c r="C59" s="12" t="s">
        <v>324</v>
      </c>
      <c r="D59" s="264" t="n">
        <v>93.87</v>
      </c>
      <c r="E59" s="329"/>
      <c r="F59" s="340" t="n">
        <v>44670</v>
      </c>
      <c r="G59" s="342" t="n">
        <v>93.87</v>
      </c>
      <c r="H59" s="336" t="n">
        <f aca="false">D59-G59</f>
        <v>0</v>
      </c>
      <c r="I59" s="338"/>
    </row>
    <row r="60" customFormat="false" ht="18.6" hidden="false" customHeight="true" outlineLevel="0" collapsed="false">
      <c r="A60" s="351"/>
      <c r="B60" s="11" t="s">
        <v>330</v>
      </c>
      <c r="C60" s="12" t="s">
        <v>663</v>
      </c>
      <c r="D60" s="264" t="n">
        <v>77.3</v>
      </c>
      <c r="E60" s="329" t="s">
        <v>664</v>
      </c>
      <c r="F60" s="340" t="n">
        <v>44671</v>
      </c>
      <c r="G60" s="342" t="n">
        <v>77.3</v>
      </c>
      <c r="H60" s="336" t="n">
        <f aca="false">D60-G60</f>
        <v>0</v>
      </c>
      <c r="I60" s="338"/>
    </row>
    <row r="61" customFormat="false" ht="18.6" hidden="false" customHeight="true" outlineLevel="0" collapsed="false">
      <c r="A61" s="351"/>
      <c r="B61" s="11" t="s">
        <v>573</v>
      </c>
      <c r="C61" s="12" t="s">
        <v>574</v>
      </c>
      <c r="D61" s="264" t="n">
        <v>498</v>
      </c>
      <c r="E61" s="329" t="s">
        <v>665</v>
      </c>
      <c r="F61" s="340" t="n">
        <v>44671</v>
      </c>
      <c r="G61" s="342" t="n">
        <v>498</v>
      </c>
      <c r="H61" s="336" t="n">
        <f aca="false">D61-G61</f>
        <v>0</v>
      </c>
      <c r="I61" s="338" t="n">
        <v>44671</v>
      </c>
    </row>
    <row r="62" customFormat="false" ht="18.6" hidden="false" customHeight="true" outlineLevel="0" collapsed="false">
      <c r="A62" s="351"/>
      <c r="B62" s="337" t="s">
        <v>327</v>
      </c>
      <c r="C62" s="12" t="s">
        <v>328</v>
      </c>
      <c r="D62" s="359" t="n">
        <v>6024</v>
      </c>
      <c r="E62" s="360" t="s">
        <v>666</v>
      </c>
      <c r="F62" s="361" t="n">
        <v>44672</v>
      </c>
      <c r="G62" s="362" t="n">
        <v>6024</v>
      </c>
      <c r="H62" s="357" t="n">
        <f aca="false">D62-G62</f>
        <v>0</v>
      </c>
      <c r="I62" s="358"/>
    </row>
    <row r="63" customFormat="false" ht="18.6" hidden="false" customHeight="true" outlineLevel="0" collapsed="false">
      <c r="A63" s="351"/>
      <c r="B63" s="337" t="s">
        <v>337</v>
      </c>
      <c r="C63" s="352"/>
      <c r="D63" s="353" t="n">
        <v>1799.9</v>
      </c>
      <c r="E63" s="354"/>
      <c r="F63" s="355" t="n">
        <v>44672</v>
      </c>
      <c r="G63" s="356" t="n">
        <v>1799.9</v>
      </c>
      <c r="H63" s="357" t="n">
        <f aca="false">D63-G63</f>
        <v>0</v>
      </c>
      <c r="I63" s="358" t="n">
        <v>44671</v>
      </c>
    </row>
    <row r="64" customFormat="false" ht="18.6" hidden="false" customHeight="true" outlineLevel="0" collapsed="false">
      <c r="A64" s="351"/>
      <c r="B64" s="11" t="s">
        <v>314</v>
      </c>
      <c r="C64" s="12"/>
      <c r="D64" s="264" t="n">
        <v>31</v>
      </c>
      <c r="E64" s="329"/>
      <c r="F64" s="340" t="n">
        <v>44672</v>
      </c>
      <c r="G64" s="342" t="n">
        <v>31</v>
      </c>
      <c r="H64" s="336" t="n">
        <f aca="false">D64-G64</f>
        <v>0</v>
      </c>
      <c r="I64" s="338"/>
    </row>
    <row r="65" customFormat="false" ht="18.6" hidden="false" customHeight="true" outlineLevel="0" collapsed="false">
      <c r="A65" s="351"/>
      <c r="B65" s="11" t="s">
        <v>314</v>
      </c>
      <c r="C65" s="12"/>
      <c r="D65" s="264" t="n">
        <v>31</v>
      </c>
      <c r="E65" s="329"/>
      <c r="F65" s="340" t="n">
        <v>44672</v>
      </c>
      <c r="G65" s="342" t="n">
        <v>31</v>
      </c>
      <c r="H65" s="336" t="n">
        <f aca="false">D65-G65</f>
        <v>0</v>
      </c>
      <c r="I65" s="338"/>
    </row>
    <row r="66" customFormat="false" ht="18.6" hidden="false" customHeight="true" outlineLevel="0" collapsed="false">
      <c r="A66" s="351"/>
      <c r="B66" s="11" t="s">
        <v>314</v>
      </c>
      <c r="C66" s="12" t="s">
        <v>325</v>
      </c>
      <c r="D66" s="270" t="n">
        <v>31</v>
      </c>
      <c r="E66" s="343" t="s">
        <v>326</v>
      </c>
      <c r="F66" s="344" t="n">
        <v>44672</v>
      </c>
      <c r="G66" s="345" t="n">
        <v>31</v>
      </c>
      <c r="H66" s="336" t="n">
        <f aca="false">D66-G66</f>
        <v>0</v>
      </c>
      <c r="I66" s="338"/>
    </row>
    <row r="67" customFormat="false" ht="18.6" hidden="false" customHeight="true" outlineLevel="0" collapsed="false">
      <c r="A67" s="351"/>
      <c r="B67" s="11" t="s">
        <v>35</v>
      </c>
      <c r="C67" s="12" t="s">
        <v>572</v>
      </c>
      <c r="D67" s="264" t="n">
        <v>2219.29</v>
      </c>
      <c r="E67" s="329"/>
      <c r="F67" s="340" t="n">
        <v>44676</v>
      </c>
      <c r="G67" s="342" t="n">
        <v>2219.29</v>
      </c>
      <c r="H67" s="336" t="n">
        <f aca="false">D67-G67</f>
        <v>0</v>
      </c>
      <c r="I67" s="338"/>
    </row>
    <row r="68" customFormat="false" ht="18.6" hidden="false" customHeight="true" outlineLevel="0" collapsed="false">
      <c r="A68" s="351"/>
      <c r="B68" s="337" t="s">
        <v>329</v>
      </c>
      <c r="C68" s="12"/>
      <c r="D68" s="353" t="n">
        <v>2159.14</v>
      </c>
      <c r="E68" s="354" t="s">
        <v>667</v>
      </c>
      <c r="F68" s="355" t="n">
        <v>44676</v>
      </c>
      <c r="G68" s="356" t="n">
        <v>2159.14</v>
      </c>
      <c r="H68" s="357" t="n">
        <f aca="false">D68-G68</f>
        <v>0</v>
      </c>
      <c r="I68" s="358"/>
    </row>
    <row r="69" customFormat="false" ht="18.6" hidden="false" customHeight="true" outlineLevel="0" collapsed="false">
      <c r="A69" s="351"/>
      <c r="B69" s="11" t="s">
        <v>448</v>
      </c>
      <c r="C69" s="12" t="s">
        <v>449</v>
      </c>
      <c r="D69" s="270" t="n">
        <v>1188</v>
      </c>
      <c r="E69" s="343" t="s">
        <v>450</v>
      </c>
      <c r="F69" s="344" t="n">
        <v>44676</v>
      </c>
      <c r="G69" s="345" t="n">
        <v>1188</v>
      </c>
      <c r="H69" s="336" t="n">
        <f aca="false">D69-G69</f>
        <v>0</v>
      </c>
      <c r="I69" s="338" t="n">
        <v>44677</v>
      </c>
    </row>
    <row r="70" customFormat="false" ht="18.6" hidden="false" customHeight="true" outlineLevel="0" collapsed="false">
      <c r="A70" s="351"/>
      <c r="B70" s="11" t="s">
        <v>668</v>
      </c>
      <c r="C70" s="12" t="s">
        <v>669</v>
      </c>
      <c r="D70" s="264" t="n">
        <v>34.43</v>
      </c>
      <c r="E70" s="329" t="s">
        <v>670</v>
      </c>
      <c r="F70" s="340" t="n">
        <v>44676</v>
      </c>
      <c r="G70" s="342" t="n">
        <v>34.43</v>
      </c>
      <c r="H70" s="336" t="n">
        <f aca="false">D70-G70</f>
        <v>0</v>
      </c>
      <c r="I70" s="358" t="n">
        <v>44676</v>
      </c>
    </row>
    <row r="71" customFormat="false" ht="18.6" hidden="false" customHeight="true" outlineLevel="0" collapsed="false">
      <c r="A71" s="351"/>
      <c r="B71" s="11" t="s">
        <v>338</v>
      </c>
      <c r="C71" s="12" t="s">
        <v>339</v>
      </c>
      <c r="D71" s="264" t="n">
        <v>5283.09</v>
      </c>
      <c r="E71" s="329"/>
      <c r="F71" s="340" t="n">
        <v>44677</v>
      </c>
      <c r="G71" s="342" t="n">
        <v>5283.09</v>
      </c>
      <c r="H71" s="336" t="n">
        <f aca="false">D71-G71</f>
        <v>0</v>
      </c>
      <c r="I71" s="338"/>
    </row>
    <row r="72" customFormat="false" ht="18.6" hidden="false" customHeight="true" outlineLevel="0" collapsed="false">
      <c r="A72" s="351"/>
      <c r="B72" s="11" t="s">
        <v>437</v>
      </c>
      <c r="C72" s="12" t="s">
        <v>671</v>
      </c>
      <c r="D72" s="270" t="n">
        <v>58.93</v>
      </c>
      <c r="E72" s="343" t="s">
        <v>672</v>
      </c>
      <c r="F72" s="340" t="n">
        <v>44677</v>
      </c>
      <c r="G72" s="345" t="n">
        <v>58.93</v>
      </c>
      <c r="H72" s="336" t="n">
        <f aca="false">D72-G72</f>
        <v>0</v>
      </c>
      <c r="I72" s="338"/>
    </row>
    <row r="73" customFormat="false" ht="18.6" hidden="false" customHeight="true" outlineLevel="0" collapsed="false">
      <c r="A73" s="351"/>
      <c r="B73" s="11" t="s">
        <v>297</v>
      </c>
      <c r="C73" s="12" t="s">
        <v>673</v>
      </c>
      <c r="D73" s="264" t="n">
        <v>186.777</v>
      </c>
      <c r="E73" s="329" t="s">
        <v>674</v>
      </c>
      <c r="F73" s="340" t="n">
        <v>44681</v>
      </c>
      <c r="G73" s="342" t="n">
        <v>186.78</v>
      </c>
      <c r="H73" s="336" t="n">
        <f aca="false">D73-G73</f>
        <v>-0.00300000000001432</v>
      </c>
      <c r="I73" s="338"/>
    </row>
    <row r="74" customFormat="false" ht="18.6" hidden="false" customHeight="true" outlineLevel="0" collapsed="false">
      <c r="A74" s="351"/>
      <c r="B74" s="11" t="s">
        <v>297</v>
      </c>
      <c r="C74" s="12" t="s">
        <v>675</v>
      </c>
      <c r="D74" s="270" t="n">
        <v>186.77</v>
      </c>
      <c r="E74" s="343" t="s">
        <v>674</v>
      </c>
      <c r="F74" s="344" t="n">
        <v>44681</v>
      </c>
      <c r="G74" s="345" t="n">
        <v>186.77</v>
      </c>
      <c r="H74" s="336" t="n">
        <f aca="false">D74-G74</f>
        <v>0</v>
      </c>
      <c r="I74" s="338"/>
    </row>
    <row r="75" customFormat="false" ht="18.6" hidden="false" customHeight="true" outlineLevel="0" collapsed="false">
      <c r="A75" s="351"/>
      <c r="B75" s="11" t="s">
        <v>297</v>
      </c>
      <c r="C75" s="12" t="s">
        <v>676</v>
      </c>
      <c r="D75" s="270" t="n">
        <v>1293.37</v>
      </c>
      <c r="E75" s="343" t="s">
        <v>677</v>
      </c>
      <c r="F75" s="344" t="n">
        <v>44681</v>
      </c>
      <c r="G75" s="345" t="n">
        <v>1293.37</v>
      </c>
      <c r="H75" s="336" t="n">
        <f aca="false">D75-G75</f>
        <v>0</v>
      </c>
      <c r="I75" s="338"/>
    </row>
    <row r="76" customFormat="false" ht="18.6" hidden="false" customHeight="true" outlineLevel="0" collapsed="false">
      <c r="A76" s="351"/>
      <c r="B76" s="276" t="s">
        <v>678</v>
      </c>
      <c r="C76" s="12" t="s">
        <v>679</v>
      </c>
      <c r="D76" s="363" t="n">
        <v>2363.02</v>
      </c>
      <c r="E76" s="343" t="s">
        <v>258</v>
      </c>
      <c r="F76" s="344" t="n">
        <v>44681</v>
      </c>
      <c r="G76" s="345" t="n">
        <v>2363.02</v>
      </c>
      <c r="H76" s="364" t="n">
        <f aca="false">D76-G76</f>
        <v>0</v>
      </c>
      <c r="I76" s="365"/>
    </row>
    <row r="77" customFormat="false" ht="18.6" hidden="false" customHeight="true" outlineLevel="0" collapsed="false">
      <c r="A77" s="351"/>
      <c r="B77" s="276" t="s">
        <v>678</v>
      </c>
      <c r="C77" s="12" t="s">
        <v>680</v>
      </c>
      <c r="D77" s="363" t="n">
        <v>366.58</v>
      </c>
      <c r="E77" s="343" t="s">
        <v>258</v>
      </c>
      <c r="F77" s="344" t="n">
        <v>44681</v>
      </c>
      <c r="G77" s="345" t="n">
        <v>366.58</v>
      </c>
      <c r="H77" s="364" t="n">
        <f aca="false">D77-G77</f>
        <v>0</v>
      </c>
      <c r="I77" s="366"/>
    </row>
    <row r="78" customFormat="false" ht="18.6" hidden="false" customHeight="true" outlineLevel="0" collapsed="false">
      <c r="A78" s="351"/>
      <c r="B78" s="367" t="s">
        <v>566</v>
      </c>
      <c r="C78" s="12" t="s">
        <v>681</v>
      </c>
      <c r="D78" s="363" t="n">
        <v>284.59</v>
      </c>
      <c r="E78" s="343" t="s">
        <v>352</v>
      </c>
      <c r="F78" s="344" t="n">
        <v>44681</v>
      </c>
      <c r="G78" s="345" t="n">
        <v>284.59</v>
      </c>
      <c r="H78" s="364" t="n">
        <f aca="false">D78-G78</f>
        <v>0</v>
      </c>
      <c r="I78" s="366"/>
    </row>
    <row r="79" customFormat="false" ht="18.6" hidden="false" customHeight="true" outlineLevel="0" collapsed="false">
      <c r="A79" s="351"/>
      <c r="B79" s="22" t="s">
        <v>445</v>
      </c>
      <c r="C79" s="23"/>
      <c r="D79" s="23" t="n">
        <v>1102.38</v>
      </c>
      <c r="E79" s="346" t="s">
        <v>682</v>
      </c>
      <c r="F79" s="347" t="n">
        <v>44680</v>
      </c>
      <c r="G79" s="348" t="n">
        <v>1102.38</v>
      </c>
      <c r="H79" s="368" t="n">
        <f aca="false">D79-G79</f>
        <v>0</v>
      </c>
      <c r="I79" s="369"/>
    </row>
    <row r="80" customFormat="false" ht="18.6" hidden="false" customHeight="true" outlineLevel="0" collapsed="false">
      <c r="A80" s="351"/>
      <c r="B80" s="28" t="s">
        <v>35</v>
      </c>
      <c r="C80" s="22"/>
      <c r="D80" s="29" t="n">
        <f aca="false">SUM(D38:D78)</f>
        <v>46266.047</v>
      </c>
      <c r="E80" s="346"/>
      <c r="F80" s="347"/>
      <c r="G80" s="348"/>
      <c r="H80" s="349" t="n">
        <f aca="false">+SUM(H38:H75)</f>
        <v>-0.00300000000001432</v>
      </c>
      <c r="I80" s="350"/>
    </row>
    <row r="81" customFormat="false" ht="18.6" hidden="false" customHeight="true" outlineLevel="0" collapsed="false">
      <c r="A81" s="370" t="s">
        <v>341</v>
      </c>
      <c r="B81" s="314" t="s">
        <v>683</v>
      </c>
      <c r="C81" s="275" t="s">
        <v>684</v>
      </c>
      <c r="D81" s="315" t="n">
        <v>1739.99</v>
      </c>
      <c r="E81" s="343" t="s">
        <v>685</v>
      </c>
      <c r="F81" s="371" t="n">
        <v>44653</v>
      </c>
      <c r="G81" s="345" t="n">
        <v>1739.99</v>
      </c>
      <c r="H81" s="372" t="n">
        <f aca="false">D81-G81</f>
        <v>0</v>
      </c>
      <c r="I81" s="373"/>
    </row>
    <row r="82" customFormat="false" ht="18.6" hidden="false" customHeight="true" outlineLevel="0" collapsed="false">
      <c r="A82" s="370"/>
      <c r="B82" s="318" t="s">
        <v>552</v>
      </c>
      <c r="C82" s="12"/>
      <c r="D82" s="264" t="n">
        <v>590</v>
      </c>
      <c r="E82" s="329" t="s">
        <v>553</v>
      </c>
      <c r="F82" s="340" t="n">
        <v>44657</v>
      </c>
      <c r="G82" s="339" t="n">
        <v>590</v>
      </c>
      <c r="H82" s="336" t="n">
        <f aca="false">D82-G82</f>
        <v>0</v>
      </c>
      <c r="I82" s="333"/>
    </row>
    <row r="83" customFormat="false" ht="18.6" hidden="false" customHeight="true" outlineLevel="0" collapsed="false">
      <c r="A83" s="370"/>
      <c r="B83" s="374" t="s">
        <v>554</v>
      </c>
      <c r="C83" s="375"/>
      <c r="D83" s="376" t="n">
        <v>1100</v>
      </c>
      <c r="E83" s="377" t="s">
        <v>555</v>
      </c>
      <c r="F83" s="340" t="n">
        <v>44657</v>
      </c>
      <c r="G83" s="378" t="n">
        <v>1100</v>
      </c>
      <c r="H83" s="379" t="n">
        <f aca="false">D83-G83</f>
        <v>0</v>
      </c>
      <c r="I83" s="380"/>
    </row>
    <row r="84" customFormat="false" ht="18.6" hidden="false" customHeight="true" outlineLevel="0" collapsed="false">
      <c r="A84" s="370"/>
      <c r="B84" s="381" t="s">
        <v>559</v>
      </c>
      <c r="C84" s="382"/>
      <c r="D84" s="376" t="n">
        <v>500</v>
      </c>
      <c r="E84" s="377" t="s">
        <v>462</v>
      </c>
      <c r="F84" s="340" t="n">
        <v>44657</v>
      </c>
      <c r="G84" s="383" t="n">
        <v>500</v>
      </c>
      <c r="H84" s="379" t="n">
        <f aca="false">D84-G84</f>
        <v>0</v>
      </c>
      <c r="I84" s="384"/>
    </row>
    <row r="85" customFormat="false" ht="18.6" hidden="false" customHeight="true" outlineLevel="0" collapsed="false">
      <c r="A85" s="370"/>
      <c r="B85" s="385" t="s">
        <v>686</v>
      </c>
      <c r="C85" s="386" t="s">
        <v>687</v>
      </c>
      <c r="D85" s="262" t="n">
        <v>2100</v>
      </c>
      <c r="E85" s="387" t="s">
        <v>688</v>
      </c>
      <c r="F85" s="388" t="n">
        <v>44657</v>
      </c>
      <c r="G85" s="389" t="n">
        <v>2100</v>
      </c>
      <c r="H85" s="390" t="n">
        <f aca="false">D85-G85</f>
        <v>0</v>
      </c>
      <c r="I85" s="391"/>
    </row>
    <row r="86" customFormat="false" ht="18.6" hidden="false" customHeight="true" outlineLevel="0" collapsed="false">
      <c r="A86" s="370"/>
      <c r="B86" s="385" t="s">
        <v>689</v>
      </c>
      <c r="C86" s="392" t="s">
        <v>690</v>
      </c>
      <c r="D86" s="262" t="n">
        <v>650</v>
      </c>
      <c r="E86" s="387" t="s">
        <v>258</v>
      </c>
      <c r="F86" s="388" t="n">
        <v>44661</v>
      </c>
      <c r="G86" s="389" t="n">
        <v>650</v>
      </c>
      <c r="H86" s="390" t="n">
        <f aca="false">D86-G86</f>
        <v>0</v>
      </c>
      <c r="I86" s="393"/>
    </row>
    <row r="87" customFormat="false" ht="18.6" hidden="false" customHeight="true" outlineLevel="0" collapsed="false">
      <c r="A87" s="370"/>
      <c r="B87" s="385" t="s">
        <v>691</v>
      </c>
      <c r="C87" s="394" t="s">
        <v>692</v>
      </c>
      <c r="D87" s="395" t="n">
        <v>360</v>
      </c>
      <c r="E87" s="387" t="s">
        <v>693</v>
      </c>
      <c r="F87" s="388" t="n">
        <v>44663</v>
      </c>
      <c r="G87" s="396" t="n">
        <v>360</v>
      </c>
      <c r="H87" s="390" t="n">
        <f aca="false">D87-G87</f>
        <v>0</v>
      </c>
      <c r="I87" s="391"/>
    </row>
    <row r="88" customFormat="false" ht="18.6" hidden="false" customHeight="true" outlineLevel="0" collapsed="false">
      <c r="A88" s="370"/>
      <c r="B88" s="397" t="s">
        <v>196</v>
      </c>
      <c r="C88" s="394" t="s">
        <v>694</v>
      </c>
      <c r="D88" s="262" t="n">
        <v>1393.52</v>
      </c>
      <c r="E88" s="387" t="s">
        <v>695</v>
      </c>
      <c r="F88" s="388" t="n">
        <v>44663</v>
      </c>
      <c r="G88" s="398" t="n">
        <v>1393.52</v>
      </c>
      <c r="H88" s="390" t="n">
        <f aca="false">D88-G88</f>
        <v>0</v>
      </c>
      <c r="I88" s="399" t="n">
        <v>44663</v>
      </c>
    </row>
    <row r="89" customFormat="false" ht="18.6" hidden="false" customHeight="true" outlineLevel="0" collapsed="false">
      <c r="A89" s="370"/>
      <c r="B89" s="293" t="s">
        <v>489</v>
      </c>
      <c r="C89" s="12" t="s">
        <v>696</v>
      </c>
      <c r="D89" s="264" t="n">
        <v>43155.07</v>
      </c>
      <c r="E89" s="329" t="s">
        <v>697</v>
      </c>
      <c r="F89" s="340" t="n">
        <v>44666</v>
      </c>
      <c r="G89" s="339" t="n">
        <v>43155.07</v>
      </c>
      <c r="H89" s="336" t="n">
        <f aca="false">D89-G89</f>
        <v>0</v>
      </c>
      <c r="I89" s="333"/>
    </row>
    <row r="90" customFormat="false" ht="18.6" hidden="false" customHeight="true" outlineLevel="0" collapsed="false">
      <c r="A90" s="370"/>
      <c r="B90" s="397" t="s">
        <v>698</v>
      </c>
      <c r="C90" s="394" t="s">
        <v>699</v>
      </c>
      <c r="D90" s="262" t="n">
        <v>25534.74</v>
      </c>
      <c r="E90" s="387" t="s">
        <v>258</v>
      </c>
      <c r="F90" s="388" t="n">
        <v>44681</v>
      </c>
      <c r="G90" s="398" t="n">
        <v>25534.74</v>
      </c>
      <c r="H90" s="390" t="n">
        <f aca="false">D90-G90</f>
        <v>0</v>
      </c>
      <c r="I90" s="400"/>
    </row>
    <row r="91" customFormat="false" ht="18.6" hidden="false" customHeight="true" outlineLevel="0" collapsed="false">
      <c r="A91" s="370"/>
      <c r="B91" s="397" t="s">
        <v>361</v>
      </c>
      <c r="C91" s="394" t="s">
        <v>700</v>
      </c>
      <c r="D91" s="262" t="n">
        <v>3513.12</v>
      </c>
      <c r="E91" s="387" t="s">
        <v>258</v>
      </c>
      <c r="F91" s="388" t="n">
        <v>44681</v>
      </c>
      <c r="G91" s="398" t="n">
        <v>3513.12</v>
      </c>
      <c r="H91" s="390" t="n">
        <f aca="false">D91-G91</f>
        <v>0</v>
      </c>
      <c r="I91" s="400"/>
    </row>
    <row r="92" customFormat="false" ht="18.6" hidden="false" customHeight="true" outlineLevel="0" collapsed="false">
      <c r="A92" s="370"/>
      <c r="B92" s="385" t="s">
        <v>361</v>
      </c>
      <c r="C92" s="386" t="s">
        <v>701</v>
      </c>
      <c r="D92" s="262" t="n">
        <v>4101.12</v>
      </c>
      <c r="E92" s="387" t="s">
        <v>702</v>
      </c>
      <c r="F92" s="401" t="n">
        <v>44681</v>
      </c>
      <c r="G92" s="402" t="n">
        <v>4101.12</v>
      </c>
      <c r="H92" s="390" t="n">
        <f aca="false">D92-G92</f>
        <v>0</v>
      </c>
      <c r="I92" s="391"/>
    </row>
    <row r="93" customFormat="false" ht="18.6" hidden="false" customHeight="true" outlineLevel="0" collapsed="false">
      <c r="A93" s="370"/>
      <c r="B93" s="385" t="s">
        <v>361</v>
      </c>
      <c r="C93" s="386" t="s">
        <v>703</v>
      </c>
      <c r="D93" s="262" t="n">
        <v>26635.04</v>
      </c>
      <c r="E93" s="387" t="s">
        <v>258</v>
      </c>
      <c r="F93" s="401" t="n">
        <v>44681</v>
      </c>
      <c r="G93" s="402"/>
      <c r="H93" s="390" t="n">
        <f aca="false">D93-G93</f>
        <v>26635.04</v>
      </c>
      <c r="I93" s="391"/>
    </row>
    <row r="94" customFormat="false" ht="18.6" hidden="false" customHeight="true" outlineLevel="0" collapsed="false">
      <c r="A94" s="370"/>
      <c r="B94" s="318" t="s">
        <v>179</v>
      </c>
      <c r="C94" s="319" t="s">
        <v>704</v>
      </c>
      <c r="D94" s="264" t="n">
        <v>2477.6</v>
      </c>
      <c r="E94" s="329" t="s">
        <v>258</v>
      </c>
      <c r="F94" s="403" t="n">
        <v>44681</v>
      </c>
      <c r="G94" s="339" t="n">
        <v>2477.6</v>
      </c>
      <c r="H94" s="336" t="n">
        <f aca="false">D94-G94</f>
        <v>0</v>
      </c>
      <c r="I94" s="404"/>
    </row>
    <row r="95" customFormat="false" ht="18.6" hidden="false" customHeight="true" outlineLevel="0" collapsed="false">
      <c r="A95" s="370"/>
      <c r="B95" s="318" t="s">
        <v>179</v>
      </c>
      <c r="C95" s="319"/>
      <c r="D95" s="264" t="n">
        <v>-1078.73</v>
      </c>
      <c r="E95" s="329" t="s">
        <v>258</v>
      </c>
      <c r="F95" s="403" t="n">
        <v>44681</v>
      </c>
      <c r="G95" s="339" t="n">
        <v>-1078.73</v>
      </c>
      <c r="H95" s="336" t="n">
        <f aca="false">D95-G95</f>
        <v>0</v>
      </c>
      <c r="I95" s="404"/>
    </row>
    <row r="96" customFormat="false" ht="20.25" hidden="false" customHeight="true" outlineLevel="0" collapsed="false">
      <c r="A96" s="370"/>
      <c r="B96" s="318" t="s">
        <v>179</v>
      </c>
      <c r="C96" s="319"/>
      <c r="D96" s="264" t="n">
        <v>-145.99</v>
      </c>
      <c r="E96" s="329" t="s">
        <v>258</v>
      </c>
      <c r="F96" s="403" t="n">
        <v>44681</v>
      </c>
      <c r="G96" s="339" t="n">
        <v>-145.99</v>
      </c>
      <c r="H96" s="336" t="n">
        <f aca="false">D96-G96</f>
        <v>0</v>
      </c>
      <c r="I96" s="404"/>
    </row>
    <row r="97" customFormat="false" ht="20.25" hidden="false" customHeight="true" outlineLevel="0" collapsed="false">
      <c r="A97" s="370"/>
      <c r="B97" s="318" t="s">
        <v>179</v>
      </c>
      <c r="C97" s="319" t="s">
        <v>705</v>
      </c>
      <c r="D97" s="264" t="n">
        <v>840</v>
      </c>
      <c r="E97" s="329" t="s">
        <v>258</v>
      </c>
      <c r="F97" s="403" t="n">
        <v>44681</v>
      </c>
      <c r="G97" s="339" t="n">
        <v>840</v>
      </c>
      <c r="H97" s="336" t="n">
        <f aca="false">D97-G97</f>
        <v>0</v>
      </c>
      <c r="I97" s="404"/>
    </row>
    <row r="98" customFormat="false" ht="20.25" hidden="false" customHeight="true" outlineLevel="0" collapsed="false">
      <c r="A98" s="370"/>
      <c r="B98" s="318" t="s">
        <v>179</v>
      </c>
      <c r="C98" s="319" t="s">
        <v>706</v>
      </c>
      <c r="D98" s="264" t="n">
        <v>420</v>
      </c>
      <c r="E98" s="329" t="s">
        <v>258</v>
      </c>
      <c r="F98" s="403" t="n">
        <v>44681</v>
      </c>
      <c r="G98" s="339" t="n">
        <v>420</v>
      </c>
      <c r="H98" s="336" t="n">
        <f aca="false">D98-G98</f>
        <v>0</v>
      </c>
      <c r="I98" s="404"/>
    </row>
    <row r="99" customFormat="false" ht="20.25" hidden="false" customHeight="true" outlineLevel="0" collapsed="false">
      <c r="A99" s="370"/>
      <c r="B99" s="293" t="s">
        <v>179</v>
      </c>
      <c r="C99" s="12" t="s">
        <v>707</v>
      </c>
      <c r="D99" s="264" t="n">
        <v>2937.12</v>
      </c>
      <c r="E99" s="329" t="s">
        <v>258</v>
      </c>
      <c r="F99" s="340" t="n">
        <v>44681</v>
      </c>
      <c r="G99" s="342" t="n">
        <v>2937.12</v>
      </c>
      <c r="H99" s="336" t="n">
        <f aca="false">D99-G99</f>
        <v>0</v>
      </c>
      <c r="I99" s="333"/>
    </row>
    <row r="100" customFormat="false" ht="20.25" hidden="false" customHeight="true" outlineLevel="0" collapsed="false">
      <c r="A100" s="370"/>
      <c r="B100" s="318" t="s">
        <v>708</v>
      </c>
      <c r="C100" s="319" t="s">
        <v>709</v>
      </c>
      <c r="D100" s="264" t="n">
        <v>1170</v>
      </c>
      <c r="E100" s="329" t="s">
        <v>396</v>
      </c>
      <c r="F100" s="403" t="n">
        <v>44681</v>
      </c>
      <c r="G100" s="339" t="n">
        <v>1170</v>
      </c>
      <c r="H100" s="336" t="n">
        <f aca="false">D100-G100</f>
        <v>0</v>
      </c>
      <c r="I100" s="404"/>
    </row>
    <row r="101" customFormat="false" ht="20.25" hidden="false" customHeight="true" outlineLevel="0" collapsed="false">
      <c r="A101" s="370"/>
      <c r="B101" s="318" t="s">
        <v>710</v>
      </c>
      <c r="C101" s="319" t="s">
        <v>711</v>
      </c>
      <c r="D101" s="264" t="n">
        <v>3000</v>
      </c>
      <c r="E101" s="329" t="s">
        <v>258</v>
      </c>
      <c r="F101" s="403" t="n">
        <v>44681</v>
      </c>
      <c r="G101" s="342" t="n">
        <v>3000</v>
      </c>
      <c r="H101" s="336" t="n">
        <f aca="false">D101-G101</f>
        <v>0</v>
      </c>
      <c r="I101" s="365" t="n">
        <v>44719</v>
      </c>
    </row>
    <row r="102" customFormat="false" ht="20.25" hidden="false" customHeight="true" outlineLevel="0" collapsed="false">
      <c r="A102" s="370"/>
      <c r="B102" s="318" t="s">
        <v>712</v>
      </c>
      <c r="C102" s="319" t="s">
        <v>713</v>
      </c>
      <c r="D102" s="264" t="n">
        <v>5060</v>
      </c>
      <c r="E102" s="329" t="s">
        <v>258</v>
      </c>
      <c r="F102" s="403" t="n">
        <v>44681</v>
      </c>
      <c r="G102" s="342" t="n">
        <v>5060</v>
      </c>
      <c r="H102" s="336" t="n">
        <f aca="false">D102-G102</f>
        <v>0</v>
      </c>
      <c r="I102" s="365" t="n">
        <v>44719</v>
      </c>
    </row>
    <row r="103" customFormat="false" ht="20.25" hidden="false" customHeight="true" outlineLevel="0" collapsed="false">
      <c r="A103" s="370"/>
      <c r="B103" s="318" t="s">
        <v>349</v>
      </c>
      <c r="C103" s="319" t="s">
        <v>714</v>
      </c>
      <c r="D103" s="264" t="n">
        <v>8638.36</v>
      </c>
      <c r="E103" s="329" t="s">
        <v>253</v>
      </c>
      <c r="F103" s="403" t="n">
        <v>44681</v>
      </c>
      <c r="G103" s="342" t="n">
        <v>8638.36</v>
      </c>
      <c r="H103" s="336" t="n">
        <f aca="false">D103-G103</f>
        <v>0</v>
      </c>
      <c r="I103" s="365"/>
    </row>
    <row r="104" customFormat="false" ht="20.25" hidden="false" customHeight="true" outlineLevel="0" collapsed="false">
      <c r="A104" s="370"/>
      <c r="B104" s="318" t="s">
        <v>349</v>
      </c>
      <c r="C104" s="319" t="s">
        <v>715</v>
      </c>
      <c r="D104" s="264" t="n">
        <v>163.72</v>
      </c>
      <c r="E104" s="405" t="s">
        <v>280</v>
      </c>
      <c r="F104" s="403" t="n">
        <v>45046</v>
      </c>
      <c r="G104" s="342" t="n">
        <v>163.72</v>
      </c>
      <c r="H104" s="336" t="n">
        <f aca="false">D104-G104</f>
        <v>0</v>
      </c>
      <c r="I104" s="365"/>
    </row>
    <row r="105" customFormat="false" ht="20.25" hidden="false" customHeight="true" outlineLevel="0" collapsed="false">
      <c r="A105" s="370"/>
      <c r="B105" s="318" t="s">
        <v>148</v>
      </c>
      <c r="C105" s="319" t="s">
        <v>716</v>
      </c>
      <c r="D105" s="264" t="n">
        <v>237.6</v>
      </c>
      <c r="E105" s="406"/>
      <c r="F105" s="403" t="n">
        <v>45046</v>
      </c>
      <c r="G105" s="342" t="n">
        <v>237.6</v>
      </c>
      <c r="H105" s="336" t="n">
        <f aca="false">D105-G105</f>
        <v>0</v>
      </c>
      <c r="I105" s="365"/>
    </row>
    <row r="106" customFormat="false" ht="20.25" hidden="false" customHeight="true" outlineLevel="0" collapsed="false">
      <c r="A106" s="370"/>
      <c r="B106" s="318" t="s">
        <v>717</v>
      </c>
      <c r="C106" s="319" t="s">
        <v>718</v>
      </c>
      <c r="D106" s="264" t="n">
        <v>222</v>
      </c>
      <c r="E106" s="405" t="s">
        <v>719</v>
      </c>
      <c r="F106" s="403" t="s">
        <v>720</v>
      </c>
      <c r="G106" s="342" t="n">
        <v>222</v>
      </c>
      <c r="H106" s="336" t="n">
        <f aca="false">D106-G106</f>
        <v>0</v>
      </c>
      <c r="I106" s="404"/>
    </row>
    <row r="107" customFormat="false" ht="18.6" hidden="false" customHeight="true" outlineLevel="0" collapsed="false">
      <c r="A107" s="370"/>
      <c r="B107" s="318"/>
      <c r="C107" s="319"/>
      <c r="D107" s="264"/>
      <c r="E107" s="405"/>
      <c r="F107" s="403"/>
      <c r="G107" s="342"/>
      <c r="H107" s="336" t="n">
        <f aca="false">D107-G107</f>
        <v>0</v>
      </c>
      <c r="I107" s="404"/>
    </row>
    <row r="108" customFormat="false" ht="21" hidden="false" customHeight="true" outlineLevel="0" collapsed="false">
      <c r="A108" s="327"/>
      <c r="B108" s="318"/>
      <c r="C108" s="319"/>
      <c r="D108" s="264"/>
      <c r="E108" s="405"/>
      <c r="F108" s="403"/>
      <c r="G108" s="342"/>
      <c r="H108" s="336" t="n">
        <f aca="false">D108-G108</f>
        <v>0</v>
      </c>
      <c r="I108" s="404"/>
    </row>
    <row r="109" customFormat="false" ht="21" hidden="false" customHeight="true" outlineLevel="0" collapsed="false">
      <c r="A109" s="327" t="s">
        <v>388</v>
      </c>
      <c r="B109" s="307" t="s">
        <v>35</v>
      </c>
      <c r="C109" s="308"/>
      <c r="D109" s="309" t="n">
        <f aca="false">SUM(D81:D108)</f>
        <v>135314.28</v>
      </c>
      <c r="E109" s="407"/>
      <c r="F109" s="408"/>
      <c r="G109" s="409"/>
      <c r="H109" s="410" t="n">
        <f aca="false">+SUM(H81:H108)</f>
        <v>26635.04</v>
      </c>
      <c r="I109" s="411"/>
    </row>
    <row r="110" customFormat="false" ht="21" hidden="false" customHeight="true" outlineLevel="0" collapsed="false">
      <c r="B110" s="31"/>
      <c r="C110" s="32"/>
      <c r="D110" s="33"/>
      <c r="E110" s="34"/>
    </row>
    <row r="111" customFormat="false" ht="21" hidden="false" customHeight="true" outlineLevel="0" collapsed="false">
      <c r="B111" s="31"/>
      <c r="C111" s="32"/>
      <c r="D111" s="328" t="n">
        <f aca="false">+SUM(D109+D80+D37)</f>
        <v>281134.677</v>
      </c>
    </row>
  </sheetData>
  <mergeCells count="7">
    <mergeCell ref="A2:A28"/>
    <mergeCell ref="K8:L8"/>
    <mergeCell ref="K10:L10"/>
    <mergeCell ref="K12:L12"/>
    <mergeCell ref="K15:M15"/>
    <mergeCell ref="A38:A80"/>
    <mergeCell ref="A81:A107"/>
  </mergeCells>
  <conditionalFormatting sqref="D81 C82:E82 C86:D87 C18:E18 D28:G34 B2:I2 B85:D85 B88:D88 B51:G52 B83:G84 H38:H55 B67:G67 B73:G76 B77:C77 B80:G80 D77:H78 I73:I78 C75:C78 B78 B79:I79 I3:I10 B3:H11 B19:G20 I12:I21 H12:H36 F12:F19 B12:E17 G12:G18 H57:H76 B70:G70 B94:I98 H100:H108 I100:I109 B100:G109 F84:F85 F85:G88 I82:I88 H81:H88 E85:E86 B89:I91">
    <cfRule type="expression" priority="2" aboveAverage="0" equalAverage="0" bottom="0" percent="0" rank="0" text="" dxfId="351">
      <formula>MOD(ROW(),2)=1</formula>
    </cfRule>
  </conditionalFormatting>
  <conditionalFormatting sqref="F2:G11">
    <cfRule type="timePeriod" priority="3" timePeriod="yesterday" dxfId="352"/>
    <cfRule type="timePeriod" priority="4" timePeriod="today" dxfId="353"/>
    <cfRule type="cellIs" priority="5" operator="lessThan" aboveAverage="0" equalAverage="0" bottom="0" percent="0" rank="0" text="" dxfId="354">
      <formula>_xludf.today()</formula>
    </cfRule>
  </conditionalFormatting>
  <conditionalFormatting sqref="F28:G34 F51:G52 F67:G67 F2:G21 F70:G70 F73:G80 F94:G98 F100:G109 F83:G91">
    <cfRule type="cellIs" priority="6" operator="lessThan" aboveAverage="0" equalAverage="0" bottom="0" percent="0" rank="0" text="" dxfId="355">
      <formula>TODAY()</formula>
    </cfRule>
    <cfRule type="timePeriod" priority="7" timePeriod="last7Days" dxfId="356"/>
    <cfRule type="timePeriod" priority="8" timePeriod="yesterday" dxfId="357"/>
    <cfRule type="timePeriod" priority="9" timePeriod="lastMonth" dxfId="358"/>
    <cfRule type="timePeriod" priority="10" timePeriod="yesterday" dxfId="359"/>
    <cfRule type="timePeriod" priority="11" timePeriod="today" dxfId="360"/>
  </conditionalFormatting>
  <conditionalFormatting sqref="B81:E81 B82 I81">
    <cfRule type="expression" priority="12" aboveAverage="0" equalAverage="0" bottom="0" percent="0" rank="0" text="" dxfId="361">
      <formula>MOD(ROW(),2)=1</formula>
    </cfRule>
  </conditionalFormatting>
  <conditionalFormatting sqref="F12:G12">
    <cfRule type="timePeriod" priority="13" timePeriod="yesterday" dxfId="362"/>
    <cfRule type="timePeriod" priority="14" timePeriod="today" dxfId="363"/>
    <cfRule type="cellIs" priority="15" operator="lessThan" aboveAverage="0" equalAverage="0" bottom="0" percent="0" rank="0" text="" dxfId="364">
      <formula>_xludf.today()</formula>
    </cfRule>
  </conditionalFormatting>
  <conditionalFormatting sqref="B21:C21 F21:G21">
    <cfRule type="expression" priority="16" aboveAverage="0" equalAverage="0" bottom="0" percent="0" rank="0" text="" dxfId="365">
      <formula>MOD(ROW(),2)=1</formula>
    </cfRule>
  </conditionalFormatting>
  <conditionalFormatting sqref="B22:G27 B28:C36">
    <cfRule type="expression" priority="17" aboveAverage="0" equalAverage="0" bottom="0" percent="0" rank="0" text="" dxfId="366">
      <formula>MOD(ROW(),2)=1</formula>
    </cfRule>
  </conditionalFormatting>
  <conditionalFormatting sqref="F22:G27">
    <cfRule type="cellIs" priority="18" operator="lessThan" aboveAverage="0" equalAverage="0" bottom="0" percent="0" rank="0" text="" dxfId="367">
      <formula>TODAY()</formula>
    </cfRule>
    <cfRule type="timePeriod" priority="19" timePeriod="last7Days" dxfId="368"/>
    <cfRule type="timePeriod" priority="20" timePeriod="yesterday" dxfId="369"/>
    <cfRule type="timePeriod" priority="21" timePeriod="lastMonth" dxfId="370"/>
    <cfRule type="timePeriod" priority="22" timePeriod="yesterday" dxfId="371"/>
    <cfRule type="timePeriod" priority="23" timePeriod="today" dxfId="372"/>
  </conditionalFormatting>
  <conditionalFormatting sqref="B86:B87">
    <cfRule type="expression" priority="24" aboveAverage="0" equalAverage="0" bottom="0" percent="0" rank="0" text="" dxfId="373">
      <formula>MOD(ROW(),2)=1</formula>
    </cfRule>
  </conditionalFormatting>
  <conditionalFormatting sqref="E87">
    <cfRule type="expression" priority="25" aboveAverage="0" equalAverage="0" bottom="0" percent="0" rank="0" text="" dxfId="374">
      <formula>MOD(ROW(),2)=1</formula>
    </cfRule>
  </conditionalFormatting>
  <conditionalFormatting sqref="F81:G82">
    <cfRule type="expression" priority="26" aboveAverage="0" equalAverage="0" bottom="0" percent="0" rank="0" text="" dxfId="375">
      <formula>MOD(ROW(),2)=1</formula>
    </cfRule>
  </conditionalFormatting>
  <conditionalFormatting sqref="F81:G82">
    <cfRule type="cellIs" priority="27" operator="lessThan" aboveAverage="0" equalAverage="0" bottom="0" percent="0" rank="0" text="" dxfId="376">
      <formula>TODAY()</formula>
    </cfRule>
    <cfRule type="timePeriod" priority="28" timePeriod="last7Days" dxfId="377"/>
    <cfRule type="timePeriod" priority="29" timePeriod="yesterday" dxfId="378"/>
    <cfRule type="timePeriod" priority="30" timePeriod="lastMonth" dxfId="379"/>
    <cfRule type="timePeriod" priority="31" timePeriod="yesterday" dxfId="380"/>
    <cfRule type="timePeriod" priority="32" timePeriod="today" dxfId="381"/>
  </conditionalFormatting>
  <conditionalFormatting sqref="F12:F13">
    <cfRule type="timePeriod" priority="33" timePeriod="yesterday" dxfId="382"/>
    <cfRule type="timePeriod" priority="34" timePeriod="today" dxfId="383"/>
    <cfRule type="cellIs" priority="35" operator="lessThan" aboveAverage="0" equalAverage="0" bottom="0" percent="0" rank="0" text="" dxfId="384">
      <formula>_xludf.today()</formula>
    </cfRule>
  </conditionalFormatting>
  <conditionalFormatting sqref="F14">
    <cfRule type="timePeriod" priority="36" timePeriod="yesterday" dxfId="385"/>
    <cfRule type="timePeriod" priority="37" timePeriod="today" dxfId="386"/>
    <cfRule type="cellIs" priority="38" operator="lessThan" aboveAverage="0" equalAverage="0" bottom="0" percent="0" rank="0" text="" dxfId="387">
      <formula>_xludf.today()</formula>
    </cfRule>
  </conditionalFormatting>
  <conditionalFormatting sqref="F17">
    <cfRule type="timePeriod" priority="39" timePeriod="yesterday" dxfId="388"/>
    <cfRule type="timePeriod" priority="40" timePeriod="today" dxfId="389"/>
    <cfRule type="cellIs" priority="41" operator="lessThan" aboveAverage="0" equalAverage="0" bottom="0" percent="0" rank="0" text="" dxfId="390">
      <formula>_xludf.today()</formula>
    </cfRule>
  </conditionalFormatting>
  <conditionalFormatting sqref="B18">
    <cfRule type="expression" priority="42" aboveAverage="0" equalAverage="0" bottom="0" percent="0" rank="0" text="" dxfId="391">
      <formula>MOD(ROW(),2)=1</formula>
    </cfRule>
  </conditionalFormatting>
  <conditionalFormatting sqref="B18">
    <cfRule type="expression" priority="43" aboveAverage="0" equalAverage="0" bottom="0" percent="0" rank="0" text="" dxfId="392">
      <formula>MOD(ROW(),2)=1</formula>
    </cfRule>
  </conditionalFormatting>
  <conditionalFormatting sqref="B19">
    <cfRule type="expression" priority="44" aboveAverage="0" equalAverage="0" bottom="0" percent="0" rank="0" text="" dxfId="393">
      <formula>MOD(ROW(),2)=1</formula>
    </cfRule>
  </conditionalFormatting>
  <conditionalFormatting sqref="I80">
    <cfRule type="expression" priority="45" aboveAverage="0" equalAverage="0" bottom="0" percent="0" rank="0" text="" dxfId="394">
      <formula>MOD(ROW(),2)=1</formula>
    </cfRule>
  </conditionalFormatting>
  <conditionalFormatting sqref="I80">
    <cfRule type="expression" priority="47" aboveAverage="0" equalAverage="0" bottom="0" percent="0" rank="0" text="" dxfId="395">
      <formula>MOD(ROW(),2)=1</formula>
    </cfRule>
  </conditionalFormatting>
  <conditionalFormatting sqref="H80">
    <cfRule type="expression" priority="48" aboveAverage="0" equalAverage="0" bottom="0" percent="0" rank="0" text="" dxfId="396">
      <formula>MOD(ROW(),2)=1</formula>
    </cfRule>
  </conditionalFormatting>
  <conditionalFormatting sqref="H109">
    <cfRule type="expression" priority="49" aboveAverage="0" equalAverage="0" bottom="0" percent="0" rank="0" text="" dxfId="397">
      <formula>MOD(ROW(),2)=1</formula>
    </cfRule>
  </conditionalFormatting>
  <conditionalFormatting sqref="I22:I26">
    <cfRule type="expression" priority="50" aboveAverage="0" equalAverage="0" bottom="0" percent="0" rank="0" text="" dxfId="398">
      <formula>MOD(ROW(),2)=1</formula>
    </cfRule>
  </conditionalFormatting>
  <conditionalFormatting sqref="I27">
    <cfRule type="expression" priority="52" aboveAverage="0" equalAverage="0" bottom="0" percent="0" rank="0" text="" dxfId="399">
      <formula>MOD(ROW(),2)=1</formula>
    </cfRule>
  </conditionalFormatting>
  <conditionalFormatting sqref="I11">
    <cfRule type="expression" priority="54" aboveAverage="0" equalAverage="0" bottom="0" percent="0" rank="0" text="" dxfId="400">
      <formula>MOD(ROW(),2)=1</formula>
    </cfRule>
  </conditionalFormatting>
  <conditionalFormatting sqref="I28:I34">
    <cfRule type="expression" priority="56" aboveAverage="0" equalAverage="0" bottom="0" percent="0" rank="0" text="" dxfId="401">
      <formula>MOD(ROW(),2)=1</formula>
    </cfRule>
  </conditionalFormatting>
  <conditionalFormatting sqref="D35:G36">
    <cfRule type="expression" priority="58" aboveAverage="0" equalAverage="0" bottom="0" percent="0" rank="0" text="" dxfId="402">
      <formula>MOD(ROW(),2)=1</formula>
    </cfRule>
  </conditionalFormatting>
  <conditionalFormatting sqref="F35:G36">
    <cfRule type="cellIs" priority="59" operator="lessThan" aboveAverage="0" equalAverage="0" bottom="0" percent="0" rank="0" text="" dxfId="403">
      <formula>TODAY()</formula>
    </cfRule>
    <cfRule type="timePeriod" priority="60" timePeriod="last7Days" dxfId="404"/>
    <cfRule type="timePeriod" priority="61" timePeriod="yesterday" dxfId="405"/>
    <cfRule type="timePeriod" priority="62" timePeriod="lastMonth" dxfId="406"/>
    <cfRule type="timePeriod" priority="63" timePeriod="yesterday" dxfId="407"/>
    <cfRule type="timePeriod" priority="64" timePeriod="today" dxfId="408"/>
  </conditionalFormatting>
  <conditionalFormatting sqref="I35">
    <cfRule type="expression" priority="65" aboveAverage="0" equalAverage="0" bottom="0" percent="0" rank="0" text="" dxfId="409">
      <formula>MOD(ROW(),2)=1</formula>
    </cfRule>
  </conditionalFormatting>
  <conditionalFormatting sqref="I36">
    <cfRule type="expression" priority="67" aboveAverage="0" equalAverage="0" bottom="0" percent="0" rank="0" text="" dxfId="410">
      <formula>MOD(ROW(),2)=1</formula>
    </cfRule>
  </conditionalFormatting>
  <conditionalFormatting sqref="D38:G38 D41:G42 D45:G46 D49:G50 D53:G54 D57:G58 D61:G62 D65:G66 D68:G69 D71:G71 D72:E72 G72">
    <cfRule type="expression" priority="69" aboveAverage="0" equalAverage="0" bottom="0" percent="0" rank="0" text="" dxfId="411">
      <formula>MOD(ROW(),2)=1</formula>
    </cfRule>
  </conditionalFormatting>
  <conditionalFormatting sqref="F38:G38 F41:G42 F45:G46 F49:G50 F53:G54 F57:G58 F61:G62 F65:G66 F68:G69 F71:G71 G72">
    <cfRule type="cellIs" priority="70" operator="lessThan" aboveAverage="0" equalAverage="0" bottom="0" percent="0" rank="0" text="" dxfId="412">
      <formula>TODAY()</formula>
    </cfRule>
    <cfRule type="timePeriod" priority="71" timePeriod="last7Days" dxfId="413"/>
    <cfRule type="timePeriod" priority="72" timePeriod="yesterday" dxfId="414"/>
    <cfRule type="timePeriod" priority="73" timePeriod="lastMonth" dxfId="415"/>
    <cfRule type="timePeriod" priority="74" timePeriod="yesterday" dxfId="416"/>
    <cfRule type="timePeriod" priority="75" timePeriod="today" dxfId="417"/>
  </conditionalFormatting>
  <conditionalFormatting sqref="B39:G40 B43:G44 B47:G48 B55:G55 B59:G60 B63:G64 B38:C38 B41:C42 B45:C46 B49:C50 B53:C54 B57:C58 B65:C66 B68:C69 B71:C72 B61:C62">
    <cfRule type="expression" priority="76" aboveAverage="0" equalAverage="0" bottom="0" percent="0" rank="0" text="" dxfId="418">
      <formula>MOD(ROW(),2)=1</formula>
    </cfRule>
  </conditionalFormatting>
  <conditionalFormatting sqref="F39:G40 F43:G44 F47:G48 F55:G55 F59:G60 F63:G64">
    <cfRule type="cellIs" priority="77" operator="lessThan" aboveAverage="0" equalAverage="0" bottom="0" percent="0" rank="0" text="" dxfId="419">
      <formula>TODAY()</formula>
    </cfRule>
    <cfRule type="timePeriod" priority="78" timePeriod="last7Days" dxfId="420"/>
    <cfRule type="timePeriod" priority="79" timePeriod="yesterday" dxfId="421"/>
    <cfRule type="timePeriod" priority="80" timePeriod="lastMonth" dxfId="422"/>
    <cfRule type="timePeriod" priority="81" timePeriod="yesterday" dxfId="423"/>
    <cfRule type="timePeriod" priority="82" timePeriod="today" dxfId="424"/>
  </conditionalFormatting>
  <conditionalFormatting sqref="I39 I43 I47 I51 I55 I59 I63">
    <cfRule type="expression" priority="83" aboveAverage="0" equalAverage="0" bottom="0" percent="0" rank="0" text="" dxfId="425">
      <formula>MOD(ROW(),2)=1</formula>
    </cfRule>
  </conditionalFormatting>
  <conditionalFormatting sqref="I40 I44 I48 I52 I56 I60 I64 I67 I70">
    <cfRule type="expression" priority="85" aboveAverage="0" equalAverage="0" bottom="0" percent="0" rank="0" text="" dxfId="426">
      <formula>MOD(ROW(),2)=1</formula>
    </cfRule>
  </conditionalFormatting>
  <conditionalFormatting sqref="I38 I41:I42 I45:I46 I49:I50 I53:I54 I57:I58 I61:I62 I65:I66 I68:I69 I71:I72">
    <cfRule type="expression" priority="86" aboveAverage="0" equalAverage="0" bottom="0" percent="0" rank="0" text="" dxfId="427">
      <formula>MOD(ROW(),2)=1</formula>
    </cfRule>
  </conditionalFormatting>
  <conditionalFormatting sqref="E88">
    <cfRule type="expression" priority="87" aboveAverage="0" equalAverage="0" bottom="0" percent="0" rank="0" text="" dxfId="428">
      <formula>MOD(ROW(),2)=1</formula>
    </cfRule>
  </conditionalFormatting>
  <conditionalFormatting sqref="D21">
    <cfRule type="expression" priority="88" aboveAverage="0" equalAverage="0" bottom="0" percent="0" rank="0" text="" dxfId="429">
      <formula>MOD(ROW(),2)=1</formula>
    </cfRule>
  </conditionalFormatting>
  <conditionalFormatting sqref="E21">
    <cfRule type="expression" priority="89" aboveAverage="0" equalAverage="0" bottom="0" percent="0" rank="0" text="" dxfId="430">
      <formula>MOD(ROW(),2)=1</formula>
    </cfRule>
  </conditionalFormatting>
  <conditionalFormatting sqref="H56">
    <cfRule type="expression" priority="90" aboveAverage="0" equalAverage="0" bottom="0" percent="0" rank="0" text="" dxfId="431">
      <formula>MOD(ROW(),2)=1</formula>
    </cfRule>
  </conditionalFormatting>
  <conditionalFormatting sqref="B56:G56">
    <cfRule type="expression" priority="91" aboveAverage="0" equalAverage="0" bottom="0" percent="0" rank="0" text="" dxfId="432">
      <formula>MOD(ROW(),2)=1</formula>
    </cfRule>
  </conditionalFormatting>
  <conditionalFormatting sqref="F56:G56">
    <cfRule type="cellIs" priority="92" operator="lessThan" aboveAverage="0" equalAverage="0" bottom="0" percent="0" rank="0" text="" dxfId="433">
      <formula>TODAY()</formula>
    </cfRule>
    <cfRule type="timePeriod" priority="93" timePeriod="last7Days" dxfId="434"/>
    <cfRule type="timePeriod" priority="94" timePeriod="yesterday" dxfId="435"/>
    <cfRule type="timePeriod" priority="95" timePeriod="lastMonth" dxfId="436"/>
    <cfRule type="timePeriod" priority="96" timePeriod="yesterday" dxfId="437"/>
    <cfRule type="timePeriod" priority="97" timePeriod="today" dxfId="438"/>
  </conditionalFormatting>
  <conditionalFormatting sqref="F72">
    <cfRule type="expression" priority="98" aboveAverage="0" equalAverage="0" bottom="0" percent="0" rank="0" text="" dxfId="439">
      <formula>MOD(ROW(),2)=1</formula>
    </cfRule>
  </conditionalFormatting>
  <conditionalFormatting sqref="F72">
    <cfRule type="cellIs" priority="99" operator="lessThan" aboveAverage="0" equalAverage="0" bottom="0" percent="0" rank="0" text="" dxfId="440">
      <formula>TODAY()</formula>
    </cfRule>
    <cfRule type="timePeriod" priority="100" timePeriod="last7Days" dxfId="441"/>
    <cfRule type="timePeriod" priority="101" timePeriod="yesterday" dxfId="442"/>
    <cfRule type="timePeriod" priority="102" timePeriod="lastMonth" dxfId="443"/>
    <cfRule type="timePeriod" priority="103" timePeriod="yesterday" dxfId="444"/>
    <cfRule type="timePeriod" priority="104" timePeriod="today" dxfId="445"/>
  </conditionalFormatting>
  <conditionalFormatting sqref="B37:G37">
    <cfRule type="expression" priority="105" aboveAverage="0" equalAverage="0" bottom="0" percent="0" rank="0" text="" dxfId="446">
      <formula>MOD(ROW(),2)=1</formula>
    </cfRule>
  </conditionalFormatting>
  <conditionalFormatting sqref="F37:G37">
    <cfRule type="cellIs" priority="106" operator="lessThan" aboveAverage="0" equalAverage="0" bottom="0" percent="0" rank="0" text="" dxfId="447">
      <formula>TODAY()</formula>
    </cfRule>
    <cfRule type="timePeriod" priority="107" timePeriod="last7Days" dxfId="448"/>
    <cfRule type="timePeriod" priority="108" timePeriod="yesterday" dxfId="449"/>
    <cfRule type="timePeriod" priority="109" timePeriod="lastMonth" dxfId="450"/>
    <cfRule type="timePeriod" priority="110" timePeriod="yesterday" dxfId="451"/>
    <cfRule type="timePeriod" priority="111" timePeriod="today" dxfId="452"/>
  </conditionalFormatting>
  <conditionalFormatting sqref="I37">
    <cfRule type="expression" priority="112" aboveAverage="0" equalAverage="0" bottom="0" percent="0" rank="0" text="" dxfId="453">
      <formula>MOD(ROW(),2)=1</formula>
    </cfRule>
  </conditionalFormatting>
  <conditionalFormatting sqref="I37">
    <cfRule type="expression" priority="114" aboveAverage="0" equalAverage="0" bottom="0" percent="0" rank="0" text="" dxfId="454">
      <formula>MOD(ROW(),2)=1</formula>
    </cfRule>
  </conditionalFormatting>
  <conditionalFormatting sqref="H37">
    <cfRule type="expression" priority="115" aboveAverage="0" equalAverage="0" bottom="0" percent="0" rank="0" text="" dxfId="455">
      <formula>MOD(ROW(),2)=1</formula>
    </cfRule>
  </conditionalFormatting>
  <conditionalFormatting sqref="B92:D93 F92:I93">
    <cfRule type="expression" priority="116" aboveAverage="0" equalAverage="0" bottom="0" percent="0" rank="0" text="" dxfId="456">
      <formula>MOD(ROW(),2)=1</formula>
    </cfRule>
  </conditionalFormatting>
  <conditionalFormatting sqref="F92:G93">
    <cfRule type="cellIs" priority="117" operator="lessThan" aboveAverage="0" equalAverage="0" bottom="0" percent="0" rank="0" text="" dxfId="457">
      <formula>TODAY()</formula>
    </cfRule>
    <cfRule type="timePeriod" priority="118" timePeriod="last7Days" dxfId="458"/>
    <cfRule type="timePeriod" priority="119" timePeriod="yesterday" dxfId="459"/>
    <cfRule type="timePeriod" priority="120" timePeriod="lastMonth" dxfId="460"/>
    <cfRule type="timePeriod" priority="121" timePeriod="yesterday" dxfId="461"/>
    <cfRule type="timePeriod" priority="122" timePeriod="today" dxfId="462"/>
  </conditionalFormatting>
  <conditionalFormatting sqref="E92:E93">
    <cfRule type="expression" priority="123" aboveAverage="0" equalAverage="0" bottom="0" percent="0" rank="0" text="" dxfId="463">
      <formula>MOD(ROW(),2)=1</formula>
    </cfRule>
  </conditionalFormatting>
  <conditionalFormatting sqref="B99:I99">
    <cfRule type="expression" priority="124" aboveAverage="0" equalAverage="0" bottom="0" percent="0" rank="0" text="" dxfId="464">
      <formula>MOD(ROW(),2)=1</formula>
    </cfRule>
  </conditionalFormatting>
  <conditionalFormatting sqref="F99:G99">
    <cfRule type="cellIs" priority="125" operator="lessThan" aboveAverage="0" equalAverage="0" bottom="0" percent="0" rank="0" text="" dxfId="465">
      <formula>TODAY()</formula>
    </cfRule>
    <cfRule type="timePeriod" priority="126" timePeriod="last7Days" dxfId="466"/>
    <cfRule type="timePeriod" priority="127" timePeriod="yesterday" dxfId="467"/>
    <cfRule type="timePeriod" priority="128" timePeriod="lastMonth" dxfId="468"/>
    <cfRule type="timePeriod" priority="129" timePeriod="yesterday" dxfId="469"/>
    <cfRule type="timePeriod" priority="130" timePeriod="today" dxfId="470"/>
  </conditionalFormatting>
  <conditionalFormatting sqref="I99">
    <cfRule type="expression" priority="131" aboveAverage="0" equalAverage="0" bottom="0" percent="0" rank="0" text="" dxfId="471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30409012-F282-45EF-88CE-C790AF6B2AB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</xm:sqref>
        </x14:conditionalFormatting>
        <x14:conditionalFormatting xmlns:xm="http://schemas.microsoft.com/office/excel/2006/main">
          <x14:cfRule type="iconSet" priority="51" id="{FDF2761F-F5FB-4938-A471-944CF333CD9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I22:I26</xm:sqref>
        </x14:conditionalFormatting>
        <x14:conditionalFormatting xmlns:xm="http://schemas.microsoft.com/office/excel/2006/main">
          <x14:cfRule type="iconSet" priority="53" id="{8EBFC670-5979-482B-BACA-481834B85C4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I27</xm:sqref>
        </x14:conditionalFormatting>
        <x14:conditionalFormatting xmlns:xm="http://schemas.microsoft.com/office/excel/2006/main">
          <x14:cfRule type="iconSet" priority="55" id="{FEDEE8CA-3E1B-4D36-BA4C-7630E0121D9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57" id="{8023276F-3581-4823-9822-43C5F5888D8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I28:I34</xm:sqref>
        </x14:conditionalFormatting>
        <x14:conditionalFormatting xmlns:xm="http://schemas.microsoft.com/office/excel/2006/main">
          <x14:cfRule type="iconSet" priority="66" id="{42196C38-C09D-4F21-B191-6186FE8879C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68" id="{78C0A5E1-F02A-442E-B4C0-A36A848C105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84" id="{56C4BF50-3AD5-4747-B2E3-13F0EBD9B44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I39 I43 I47 I51 I55 I59 I63</xm:sqref>
        </x14:conditionalFormatting>
        <x14:conditionalFormatting xmlns:xm="http://schemas.microsoft.com/office/excel/2006/main">
          <x14:cfRule type="iconSet" priority="113" id="{23E0DBDE-4F68-4C6D-A2E1-3C1A3FDF302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I37</xm:sqref>
        </x14:conditionalFormatting>
        <x14:conditionalFormatting xmlns:xm="http://schemas.microsoft.com/office/excel/2006/main">
          <x14:cfRule type="iconSet" priority="132" id="{9BBB5F72-B274-4036-87E9-EEFDEB1B24E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I99</xm:sqref>
        </x14:conditionalFormatting>
        <x14:conditionalFormatting xmlns:xm="http://schemas.microsoft.com/office/excel/2006/main">
          <x14:cfRule type="iconSet" priority="133" id="{335FA7A6-E58F-4B8C-B356-252E8ABFD55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34" id="{E9A3CEE2-5486-49D7-B280-40B4F725DC2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I87</xm:sqref>
        </x14:conditionalFormatting>
        <x14:conditionalFormatting xmlns:xm="http://schemas.microsoft.com/office/excel/2006/main">
          <x14:cfRule type="iconSet" priority="135" id="{548715AB-B983-4B1F-8981-3596F5EDA6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A81 A38 A2</xm:sqref>
        </x14:conditionalFormatting>
        <x14:conditionalFormatting xmlns:xm="http://schemas.microsoft.com/office/excel/2006/main">
          <x14:cfRule type="iconSet" priority="136" id="{8D002040-7884-4439-B176-C2B1ECA0CE2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I81</xm:sqref>
        </x14:conditionalFormatting>
        <x14:conditionalFormatting xmlns:xm="http://schemas.microsoft.com/office/excel/2006/main">
          <x14:cfRule type="iconSet" priority="137" id="{40E0CF30-636B-4C97-9931-E0C550CA2FA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38" id="{AF897C9B-E8F0-4053-A488-451D61C0747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39" id="{D52EBD80-D156-49E7-AFC2-AB83DE50505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40" id="{E71BDDF6-8EE7-4E94-A9DD-846320472FE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141" id="{E8103415-BCCE-4416-9D5F-C52059DFC45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42" id="{22588629-153F-442F-A582-5438C04F6BD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143" id="{DF86EEDD-84F5-4EA0-95ED-B456C627778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 I3:I10</xm:sqref>
        </x14:conditionalFormatting>
        <x14:conditionalFormatting xmlns:xm="http://schemas.microsoft.com/office/excel/2006/main">
          <x14:cfRule type="iconSet" priority="144" id="{E0D09020-3F11-4DAD-B4A2-A1CEF128FBE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45" id="{A0752EE0-6088-4144-BFED-A68DCED7A5C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I94:I98 I88 I100:I109</xm:sqref>
        </x14:conditionalFormatting>
        <x14:conditionalFormatting xmlns:xm="http://schemas.microsoft.com/office/excel/2006/main">
          <x14:cfRule type="iconSet" priority="146" id="{A746E28C-F28F-4B7E-94FA-603F848B431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I71:I76 I38 I41:I42 I45:I46 I49:I50 I53:I54 I57:I58 I61:I62 I65:I66 I68:I69</xm:sqref>
        </x14:conditionalFormatting>
        <x14:conditionalFormatting xmlns:xm="http://schemas.microsoft.com/office/excel/2006/main">
          <x14:cfRule type="iconSet" priority="147" id="{663F75CF-C0CF-4298-A8ED-663DB829F05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 I40 I44 I48 I52 I56 I60 I64 I67</xm:sqref>
        </x14:conditionalFormatting>
        <x14:conditionalFormatting xmlns:xm="http://schemas.microsoft.com/office/excel/2006/main">
          <x14:cfRule type="iconSet" priority="148" id="{5D999EAB-5B31-47B4-82A2-C0D9E05B98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I13:I21</xm:sqref>
        </x14:conditionalFormatting>
        <x14:conditionalFormatting xmlns:xm="http://schemas.microsoft.com/office/excel/2006/main">
          <x14:cfRule type="iconSet" priority="149" id="{2BFB1B57-212B-4A21-ADF0-C179C27EF68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I92:I93</xm:sqref>
        </x14:conditionalFormatting>
        <x14:conditionalFormatting xmlns:xm="http://schemas.microsoft.com/office/excel/2006/main">
          <x14:cfRule type="iconSet" priority="150" id="{D85643FF-FF5E-4526-8F53-44CA70118A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I82:I87</xm:sqref>
        </x14:conditionalFormatting>
        <x14:conditionalFormatting xmlns:xm="http://schemas.microsoft.com/office/excel/2006/main">
          <x14:cfRule type="iconSet" priority="151" id="{6E5F42B4-1E46-4B50-AAD2-30D5BF32305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I89:I91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74" activePane="bottomLeft" state="frozen"/>
      <selection pane="topLeft" activeCell="A1" activeCellId="0" sqref="A1"/>
      <selection pane="bottomLeft" activeCell="B77" activeCellId="0" sqref="B77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9.99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412" t="s">
        <v>721</v>
      </c>
      <c r="B2" s="227" t="s">
        <v>147</v>
      </c>
      <c r="C2" s="194" t="s">
        <v>722</v>
      </c>
      <c r="D2" s="413" t="n">
        <v>7951.31</v>
      </c>
      <c r="E2" s="197" t="s">
        <v>253</v>
      </c>
      <c r="F2" s="198" t="n">
        <v>44696</v>
      </c>
      <c r="G2" s="16" t="n">
        <v>7951.31</v>
      </c>
      <c r="H2" s="17" t="n">
        <f aca="false">D2-G2</f>
        <v>0</v>
      </c>
      <c r="I2" s="263"/>
      <c r="K2" s="19"/>
    </row>
    <row r="3" customFormat="false" ht="18.6" hidden="false" customHeight="true" outlineLevel="0" collapsed="false">
      <c r="A3" s="412"/>
      <c r="B3" s="227" t="s">
        <v>147</v>
      </c>
      <c r="C3" s="206" t="s">
        <v>723</v>
      </c>
      <c r="D3" s="414" t="n">
        <v>-735.71</v>
      </c>
      <c r="E3" s="14" t="s">
        <v>253</v>
      </c>
      <c r="F3" s="198" t="n">
        <v>44696</v>
      </c>
      <c r="G3" s="16" t="n">
        <v>-735.71</v>
      </c>
      <c r="H3" s="17" t="n">
        <f aca="false">D3-G3</f>
        <v>0</v>
      </c>
      <c r="I3" s="263"/>
      <c r="K3" s="20" t="n">
        <f aca="false">D100</f>
        <v>120037.74</v>
      </c>
      <c r="L3" s="20"/>
    </row>
    <row r="4" customFormat="false" ht="18.6" hidden="false" customHeight="true" outlineLevel="0" collapsed="false">
      <c r="A4" s="412"/>
      <c r="B4" s="227" t="s">
        <v>181</v>
      </c>
      <c r="C4" s="206" t="s">
        <v>724</v>
      </c>
      <c r="D4" s="415" t="n">
        <v>729.6</v>
      </c>
      <c r="E4" s="416" t="s">
        <v>253</v>
      </c>
      <c r="F4" s="207" t="n">
        <v>44712</v>
      </c>
      <c r="G4" s="16" t="n">
        <v>729.6</v>
      </c>
      <c r="H4" s="17" t="n">
        <f aca="false">D4-G4</f>
        <v>0</v>
      </c>
      <c r="I4" s="265"/>
      <c r="K4" s="20" t="n">
        <f aca="false">D36</f>
        <v>67503.27</v>
      </c>
      <c r="L4" s="20"/>
    </row>
    <row r="5" customFormat="false" ht="18.6" hidden="false" customHeight="true" outlineLevel="0" collapsed="false">
      <c r="A5" s="412"/>
      <c r="B5" s="227" t="s">
        <v>397</v>
      </c>
      <c r="C5" s="206" t="s">
        <v>725</v>
      </c>
      <c r="D5" s="415" t="n">
        <v>5869.68</v>
      </c>
      <c r="E5" s="416" t="s">
        <v>430</v>
      </c>
      <c r="F5" s="207" t="n">
        <v>44712</v>
      </c>
      <c r="G5" s="16" t="n">
        <v>5869.68</v>
      </c>
      <c r="H5" s="17" t="n">
        <f aca="false">D5-G5</f>
        <v>0</v>
      </c>
      <c r="I5" s="265"/>
    </row>
    <row r="6" customFormat="false" ht="18.6" hidden="false" customHeight="true" outlineLevel="0" collapsed="false">
      <c r="A6" s="412"/>
      <c r="B6" s="235" t="s">
        <v>397</v>
      </c>
      <c r="C6" s="206" t="s">
        <v>726</v>
      </c>
      <c r="D6" s="415" t="n">
        <v>32.99</v>
      </c>
      <c r="E6" s="14" t="s">
        <v>268</v>
      </c>
      <c r="F6" s="207" t="n">
        <v>44712</v>
      </c>
      <c r="G6" s="16" t="n">
        <v>32.99</v>
      </c>
      <c r="H6" s="17" t="n">
        <f aca="false">D6-G6</f>
        <v>0</v>
      </c>
      <c r="I6" s="265"/>
      <c r="K6" s="19" t="s">
        <v>517</v>
      </c>
    </row>
    <row r="7" customFormat="false" ht="18.6" hidden="false" customHeight="true" outlineLevel="0" collapsed="false">
      <c r="A7" s="412"/>
      <c r="B7" s="235" t="s">
        <v>397</v>
      </c>
      <c r="C7" s="206" t="s">
        <v>726</v>
      </c>
      <c r="D7" s="415" t="n">
        <v>375.55</v>
      </c>
      <c r="E7" s="14"/>
      <c r="F7" s="207" t="n">
        <v>44712</v>
      </c>
      <c r="G7" s="16" t="n">
        <v>375.55</v>
      </c>
      <c r="H7" s="17" t="n">
        <f aca="false">D7-G7</f>
        <v>0</v>
      </c>
      <c r="I7" s="265"/>
      <c r="K7" s="20" t="n">
        <f aca="false">+D100</f>
        <v>120037.74</v>
      </c>
      <c r="L7" s="20"/>
    </row>
    <row r="8" customFormat="false" ht="18.6" hidden="false" customHeight="true" outlineLevel="0" collapsed="false">
      <c r="A8" s="412"/>
      <c r="B8" s="294" t="s">
        <v>264</v>
      </c>
      <c r="C8" s="417" t="s">
        <v>727</v>
      </c>
      <c r="D8" s="418" t="n">
        <v>-673.2</v>
      </c>
      <c r="E8" s="419"/>
      <c r="F8" s="298" t="n">
        <v>44712</v>
      </c>
      <c r="G8" s="266"/>
      <c r="H8" s="17" t="n">
        <f aca="false">D8-G8</f>
        <v>-673.2</v>
      </c>
      <c r="I8" s="265"/>
    </row>
    <row r="9" customFormat="false" ht="18.6" hidden="false" customHeight="true" outlineLevel="0" collapsed="false">
      <c r="A9" s="412"/>
      <c r="B9" s="235" t="s">
        <v>164</v>
      </c>
      <c r="C9" s="206" t="s">
        <v>728</v>
      </c>
      <c r="D9" s="415" t="n">
        <v>451.3</v>
      </c>
      <c r="E9" s="14"/>
      <c r="F9" s="207" t="n">
        <v>44712</v>
      </c>
      <c r="G9" s="266" t="n">
        <v>451.3</v>
      </c>
      <c r="H9" s="17" t="n">
        <f aca="false">D9-G9</f>
        <v>0</v>
      </c>
      <c r="I9" s="265"/>
      <c r="K9" s="19" t="s">
        <v>521</v>
      </c>
    </row>
    <row r="10" customFormat="false" ht="18.6" hidden="false" customHeight="true" outlineLevel="0" collapsed="false">
      <c r="A10" s="412"/>
      <c r="B10" s="235" t="s">
        <v>273</v>
      </c>
      <c r="C10" s="206" t="s">
        <v>729</v>
      </c>
      <c r="D10" s="415" t="n">
        <v>822.05</v>
      </c>
      <c r="E10" s="14"/>
      <c r="F10" s="207" t="n">
        <v>44712</v>
      </c>
      <c r="G10" s="266" t="n">
        <v>822.05</v>
      </c>
      <c r="H10" s="17" t="n">
        <f aca="false">D10-G10</f>
        <v>0</v>
      </c>
      <c r="I10" s="265"/>
      <c r="K10" s="21" t="n">
        <f aca="false">K4+K3</f>
        <v>187541.01</v>
      </c>
      <c r="L10" s="21"/>
      <c r="M10" s="21"/>
    </row>
    <row r="11" customFormat="false" ht="18.6" hidden="false" customHeight="true" outlineLevel="0" collapsed="false">
      <c r="A11" s="412"/>
      <c r="B11" s="235" t="s">
        <v>284</v>
      </c>
      <c r="C11" s="206" t="s">
        <v>730</v>
      </c>
      <c r="D11" s="420" t="n">
        <v>2911.96</v>
      </c>
      <c r="E11" s="421" t="s">
        <v>280</v>
      </c>
      <c r="F11" s="207" t="n">
        <v>44712</v>
      </c>
      <c r="G11" s="266" t="n">
        <v>2911.96</v>
      </c>
      <c r="H11" s="17" t="n">
        <f aca="false">D11-G11</f>
        <v>0</v>
      </c>
      <c r="I11" s="265"/>
    </row>
    <row r="12" customFormat="false" ht="18.6" hidden="false" customHeight="true" outlineLevel="0" collapsed="false">
      <c r="A12" s="412"/>
      <c r="B12" s="235" t="s">
        <v>284</v>
      </c>
      <c r="C12" s="206" t="s">
        <v>731</v>
      </c>
      <c r="D12" s="415" t="n">
        <v>5699.74</v>
      </c>
      <c r="E12" s="14" t="s">
        <v>625</v>
      </c>
      <c r="F12" s="207" t="n">
        <v>44712</v>
      </c>
      <c r="G12" s="266" t="n">
        <v>5699.74</v>
      </c>
      <c r="H12" s="17" t="n">
        <f aca="false">D12-G12</f>
        <v>0</v>
      </c>
      <c r="I12" s="265"/>
    </row>
    <row r="13" customFormat="false" ht="18.6" hidden="false" customHeight="true" outlineLevel="0" collapsed="false">
      <c r="A13" s="412"/>
      <c r="B13" s="235" t="s">
        <v>291</v>
      </c>
      <c r="C13" s="206" t="s">
        <v>732</v>
      </c>
      <c r="D13" s="415" t="n">
        <v>6695.69</v>
      </c>
      <c r="E13" s="14" t="s">
        <v>280</v>
      </c>
      <c r="F13" s="207" t="n">
        <v>44712</v>
      </c>
      <c r="G13" s="266" t="n">
        <v>6695.69</v>
      </c>
      <c r="H13" s="17" t="n">
        <f aca="false">D13-G13</f>
        <v>0</v>
      </c>
      <c r="I13" s="265"/>
    </row>
    <row r="14" customFormat="false" ht="18.6" hidden="false" customHeight="true" outlineLevel="0" collapsed="false">
      <c r="A14" s="412"/>
      <c r="B14" s="235" t="s">
        <v>291</v>
      </c>
      <c r="C14" s="206" t="s">
        <v>733</v>
      </c>
      <c r="D14" s="415" t="n">
        <v>629.7</v>
      </c>
      <c r="E14" s="218"/>
      <c r="F14" s="207" t="n">
        <v>44712</v>
      </c>
      <c r="G14" s="266" t="n">
        <v>629.7</v>
      </c>
      <c r="H14" s="17" t="n">
        <f aca="false">D14-G14</f>
        <v>0</v>
      </c>
      <c r="I14" s="265"/>
    </row>
    <row r="15" customFormat="false" ht="18.6" hidden="false" customHeight="true" outlineLevel="0" collapsed="false">
      <c r="A15" s="412"/>
      <c r="B15" s="235" t="s">
        <v>291</v>
      </c>
      <c r="C15" s="206" t="s">
        <v>734</v>
      </c>
      <c r="D15" s="415" t="n">
        <v>5610.32</v>
      </c>
      <c r="E15" s="14" t="s">
        <v>253</v>
      </c>
      <c r="F15" s="207" t="n">
        <v>44712</v>
      </c>
      <c r="G15" s="266" t="n">
        <v>5610.32</v>
      </c>
      <c r="H15" s="17" t="n">
        <f aca="false">D15-G15</f>
        <v>0</v>
      </c>
      <c r="I15" s="265"/>
    </row>
    <row r="16" customFormat="false" ht="18.6" hidden="false" customHeight="true" outlineLevel="0" collapsed="false">
      <c r="A16" s="412"/>
      <c r="B16" s="235" t="s">
        <v>291</v>
      </c>
      <c r="C16" s="206" t="s">
        <v>735</v>
      </c>
      <c r="D16" s="415" t="n">
        <v>1430.53</v>
      </c>
      <c r="E16" s="218" t="s">
        <v>283</v>
      </c>
      <c r="F16" s="207" t="n">
        <v>44712</v>
      </c>
      <c r="G16" s="266" t="n">
        <v>1430.53</v>
      </c>
      <c r="H16" s="17" t="n">
        <f aca="false">D16-G16</f>
        <v>0</v>
      </c>
      <c r="I16" s="265"/>
    </row>
    <row r="17" customFormat="false" ht="18.6" hidden="false" customHeight="true" outlineLevel="0" collapsed="false">
      <c r="A17" s="412"/>
      <c r="B17" s="235" t="s">
        <v>291</v>
      </c>
      <c r="C17" s="206"/>
      <c r="D17" s="415" t="n">
        <v>-646.8</v>
      </c>
      <c r="E17" s="218" t="s">
        <v>498</v>
      </c>
      <c r="F17" s="207" t="n">
        <v>44712</v>
      </c>
      <c r="G17" s="266" t="n">
        <v>-646.8</v>
      </c>
      <c r="H17" s="17" t="n">
        <f aca="false">D17-G17</f>
        <v>0</v>
      </c>
      <c r="I17" s="265"/>
    </row>
    <row r="18" customFormat="false" ht="18.6" hidden="false" customHeight="true" outlineLevel="0" collapsed="false">
      <c r="A18" s="412"/>
      <c r="B18" s="11" t="s">
        <v>620</v>
      </c>
      <c r="C18" s="12" t="s">
        <v>736</v>
      </c>
      <c r="D18" s="264" t="n">
        <v>2034.65</v>
      </c>
      <c r="E18" s="14" t="s">
        <v>253</v>
      </c>
      <c r="F18" s="267" t="n">
        <v>44711</v>
      </c>
      <c r="G18" s="268" t="n">
        <v>2034.65</v>
      </c>
      <c r="H18" s="17" t="n">
        <f aca="false">D18-G18</f>
        <v>0</v>
      </c>
      <c r="I18" s="265"/>
    </row>
    <row r="19" customFormat="false" ht="18.6" hidden="false" customHeight="true" outlineLevel="0" collapsed="false">
      <c r="A19" s="412"/>
      <c r="B19" s="11" t="s">
        <v>620</v>
      </c>
      <c r="C19" s="12" t="s">
        <v>737</v>
      </c>
      <c r="D19" s="264" t="n">
        <v>466.25</v>
      </c>
      <c r="E19" s="14" t="s">
        <v>253</v>
      </c>
      <c r="F19" s="267" t="n">
        <v>44711</v>
      </c>
      <c r="G19" s="268" t="n">
        <v>466.25</v>
      </c>
      <c r="H19" s="17" t="n">
        <f aca="false">D19-G19</f>
        <v>0</v>
      </c>
      <c r="I19" s="265"/>
    </row>
    <row r="20" customFormat="false" ht="18.6" hidden="false" customHeight="true" outlineLevel="0" collapsed="false">
      <c r="A20" s="412"/>
      <c r="B20" s="11" t="s">
        <v>644</v>
      </c>
      <c r="C20" s="12" t="s">
        <v>738</v>
      </c>
      <c r="D20" s="264" t="n">
        <v>906.6</v>
      </c>
      <c r="E20" s="14"/>
      <c r="F20" s="267" t="n">
        <v>44712</v>
      </c>
      <c r="G20" s="268" t="n">
        <v>906.6</v>
      </c>
      <c r="H20" s="17" t="n">
        <f aca="false">D20-G20</f>
        <v>0</v>
      </c>
      <c r="I20" s="265"/>
    </row>
    <row r="21" customFormat="false" ht="18.6" hidden="false" customHeight="true" outlineLevel="0" collapsed="false">
      <c r="A21" s="412"/>
      <c r="B21" s="11" t="s">
        <v>644</v>
      </c>
      <c r="C21" s="12" t="s">
        <v>739</v>
      </c>
      <c r="D21" s="264" t="n">
        <v>14185.92</v>
      </c>
      <c r="E21" s="14" t="s">
        <v>253</v>
      </c>
      <c r="F21" s="267" t="n">
        <v>44712</v>
      </c>
      <c r="G21" s="268" t="n">
        <v>14185.92</v>
      </c>
      <c r="H21" s="17" t="n">
        <f aca="false">D21-G21</f>
        <v>0</v>
      </c>
      <c r="I21" s="265"/>
    </row>
    <row r="22" customFormat="false" ht="18.6" hidden="false" customHeight="true" outlineLevel="0" collapsed="false">
      <c r="A22" s="412"/>
      <c r="B22" s="11" t="s">
        <v>644</v>
      </c>
      <c r="C22" s="12" t="s">
        <v>740</v>
      </c>
      <c r="D22" s="264" t="n">
        <v>2524.92</v>
      </c>
      <c r="E22" s="14" t="s">
        <v>280</v>
      </c>
      <c r="F22" s="267" t="n">
        <v>44712</v>
      </c>
      <c r="G22" s="268" t="n">
        <v>2524.92</v>
      </c>
      <c r="H22" s="17" t="n">
        <f aca="false">D22-G22</f>
        <v>0</v>
      </c>
      <c r="I22" s="265"/>
    </row>
    <row r="23" customFormat="false" ht="18.6" hidden="false" customHeight="true" outlineLevel="0" collapsed="false">
      <c r="A23" s="412"/>
      <c r="B23" s="11" t="s">
        <v>644</v>
      </c>
      <c r="C23" s="12" t="s">
        <v>741</v>
      </c>
      <c r="D23" s="270" t="n">
        <v>768.36</v>
      </c>
      <c r="E23" s="271"/>
      <c r="F23" s="272" t="n">
        <v>44712</v>
      </c>
      <c r="G23" s="273" t="n">
        <v>768.36</v>
      </c>
      <c r="H23" s="17" t="n">
        <f aca="false">D23-G23</f>
        <v>0</v>
      </c>
      <c r="I23" s="265"/>
    </row>
    <row r="24" customFormat="false" ht="18.6" hidden="false" customHeight="true" outlineLevel="0" collapsed="false">
      <c r="A24" s="412"/>
      <c r="B24" s="11" t="s">
        <v>166</v>
      </c>
      <c r="C24" s="12" t="s">
        <v>742</v>
      </c>
      <c r="D24" s="270" t="n">
        <v>1286</v>
      </c>
      <c r="E24" s="271"/>
      <c r="F24" s="272" t="n">
        <v>44712</v>
      </c>
      <c r="G24" s="273" t="n">
        <v>1286</v>
      </c>
      <c r="H24" s="17" t="n">
        <f aca="false">D24-G24</f>
        <v>0</v>
      </c>
      <c r="I24" s="265"/>
    </row>
    <row r="25" customFormat="false" ht="18.6" hidden="false" customHeight="true" outlineLevel="0" collapsed="false">
      <c r="A25" s="412"/>
      <c r="B25" s="11" t="s">
        <v>422</v>
      </c>
      <c r="C25" s="12" t="s">
        <v>743</v>
      </c>
      <c r="D25" s="270" t="n">
        <v>3128.16</v>
      </c>
      <c r="E25" s="271"/>
      <c r="F25" s="272" t="n">
        <v>44712</v>
      </c>
      <c r="G25" s="273" t="n">
        <v>3128.16</v>
      </c>
      <c r="H25" s="17" t="n">
        <f aca="false">D25-G25</f>
        <v>0</v>
      </c>
      <c r="I25" s="265"/>
    </row>
    <row r="26" customFormat="false" ht="18.6" hidden="false" customHeight="true" outlineLevel="0" collapsed="false">
      <c r="A26" s="412"/>
      <c r="B26" s="11" t="s">
        <v>422</v>
      </c>
      <c r="C26" s="12" t="s">
        <v>744</v>
      </c>
      <c r="D26" s="270" t="n">
        <v>520.38</v>
      </c>
      <c r="E26" s="271" t="s">
        <v>430</v>
      </c>
      <c r="F26" s="272" t="n">
        <v>44712</v>
      </c>
      <c r="G26" s="273" t="n">
        <v>520.38</v>
      </c>
      <c r="H26" s="17" t="n">
        <f aca="false">D26-G26</f>
        <v>0</v>
      </c>
      <c r="I26" s="265"/>
    </row>
    <row r="27" customFormat="false" ht="18.6" hidden="false" customHeight="true" outlineLevel="0" collapsed="false">
      <c r="A27" s="412"/>
      <c r="B27" s="11" t="s">
        <v>422</v>
      </c>
      <c r="C27" s="12" t="s">
        <v>745</v>
      </c>
      <c r="D27" s="270" t="n">
        <v>1532.78</v>
      </c>
      <c r="E27" s="271"/>
      <c r="F27" s="272" t="n">
        <v>44712</v>
      </c>
      <c r="G27" s="273" t="n">
        <v>1532.78</v>
      </c>
      <c r="H27" s="17" t="n">
        <f aca="false">D27-G27</f>
        <v>0</v>
      </c>
      <c r="I27" s="265"/>
    </row>
    <row r="28" customFormat="false" ht="18.6" hidden="false" customHeight="true" outlineLevel="0" collapsed="false">
      <c r="A28" s="412"/>
      <c r="B28" s="11" t="s">
        <v>422</v>
      </c>
      <c r="C28" s="12" t="s">
        <v>746</v>
      </c>
      <c r="D28" s="270" t="n">
        <v>86</v>
      </c>
      <c r="E28" s="271"/>
      <c r="F28" s="272" t="n">
        <v>44712</v>
      </c>
      <c r="G28" s="273" t="n">
        <v>86</v>
      </c>
      <c r="H28" s="17" t="n">
        <f aca="false">D28-G28</f>
        <v>0</v>
      </c>
      <c r="I28" s="265"/>
    </row>
    <row r="29" customFormat="false" ht="18.6" hidden="false" customHeight="true" outlineLevel="0" collapsed="false">
      <c r="A29" s="412"/>
      <c r="B29" s="11" t="s">
        <v>422</v>
      </c>
      <c r="C29" s="12" t="s">
        <v>747</v>
      </c>
      <c r="D29" s="270" t="n">
        <v>2359.56</v>
      </c>
      <c r="E29" s="271" t="s">
        <v>748</v>
      </c>
      <c r="F29" s="272" t="n">
        <v>44712</v>
      </c>
      <c r="G29" s="273" t="n">
        <v>2359.56</v>
      </c>
      <c r="H29" s="17" t="n">
        <f aca="false">D29-G29</f>
        <v>0</v>
      </c>
      <c r="I29" s="265"/>
    </row>
    <row r="30" customFormat="false" ht="18.6" hidden="false" customHeight="true" outlineLevel="0" collapsed="false">
      <c r="A30" s="412"/>
      <c r="B30" s="11" t="s">
        <v>422</v>
      </c>
      <c r="C30" s="12" t="s">
        <v>498</v>
      </c>
      <c r="D30" s="270" t="n">
        <v>2385.73</v>
      </c>
      <c r="E30" s="271"/>
      <c r="F30" s="272" t="n">
        <v>44712</v>
      </c>
      <c r="G30" s="273" t="n">
        <v>2385.73</v>
      </c>
      <c r="H30" s="17" t="n">
        <f aca="false">D30-G30</f>
        <v>0</v>
      </c>
      <c r="I30" s="265"/>
    </row>
    <row r="31" customFormat="false" ht="18.6" hidden="false" customHeight="true" outlineLevel="0" collapsed="false">
      <c r="A31" s="412"/>
      <c r="B31" s="11" t="s">
        <v>422</v>
      </c>
      <c r="C31" s="12" t="s">
        <v>749</v>
      </c>
      <c r="D31" s="13" t="n">
        <v>-1080.42</v>
      </c>
      <c r="E31" s="14"/>
      <c r="F31" s="267" t="n">
        <v>44681</v>
      </c>
      <c r="G31" s="273" t="n">
        <v>-1080.42</v>
      </c>
      <c r="H31" s="17" t="n">
        <f aca="false">D31-G31</f>
        <v>0</v>
      </c>
      <c r="I31" s="265"/>
    </row>
    <row r="32" customFormat="false" ht="18.6" hidden="false" customHeight="true" outlineLevel="0" collapsed="false">
      <c r="A32" s="412"/>
      <c r="B32" s="11" t="s">
        <v>422</v>
      </c>
      <c r="C32" s="12" t="s">
        <v>750</v>
      </c>
      <c r="D32" s="13" t="n">
        <v>-1305.31</v>
      </c>
      <c r="E32" s="14" t="s">
        <v>751</v>
      </c>
      <c r="F32" s="267" t="n">
        <v>44681</v>
      </c>
      <c r="G32" s="273" t="n">
        <v>-1305.31</v>
      </c>
      <c r="H32" s="17" t="n">
        <f aca="false">D32-G32</f>
        <v>0</v>
      </c>
      <c r="I32" s="265"/>
    </row>
    <row r="33" customFormat="false" ht="18.6" hidden="false" customHeight="true" outlineLevel="0" collapsed="false">
      <c r="A33" s="412"/>
      <c r="B33" s="11" t="s">
        <v>454</v>
      </c>
      <c r="C33" s="12" t="s">
        <v>752</v>
      </c>
      <c r="D33" s="270" t="n">
        <v>122.5</v>
      </c>
      <c r="E33" s="271" t="s">
        <v>258</v>
      </c>
      <c r="F33" s="272" t="n">
        <v>44711</v>
      </c>
      <c r="G33" s="273" t="n">
        <v>122.5</v>
      </c>
      <c r="H33" s="17" t="n">
        <f aca="false">D33-G33</f>
        <v>0</v>
      </c>
      <c r="I33" s="265"/>
    </row>
    <row r="34" customFormat="false" ht="18.6" hidden="false" customHeight="true" outlineLevel="0" collapsed="false">
      <c r="A34" s="412"/>
      <c r="B34" s="11" t="s">
        <v>271</v>
      </c>
      <c r="C34" s="12" t="s">
        <v>753</v>
      </c>
      <c r="D34" s="270" t="n">
        <v>426.48</v>
      </c>
      <c r="E34" s="271" t="s">
        <v>630</v>
      </c>
      <c r="F34" s="272"/>
      <c r="G34" s="273" t="n">
        <v>426.48</v>
      </c>
      <c r="H34" s="17" t="n">
        <f aca="false">D34-G34</f>
        <v>0</v>
      </c>
      <c r="I34" s="265"/>
    </row>
    <row r="35" customFormat="false" ht="18.6" hidden="false" customHeight="true" outlineLevel="0" collapsed="false">
      <c r="A35" s="412"/>
      <c r="B35" s="11"/>
      <c r="C35" s="12"/>
      <c r="D35" s="264"/>
      <c r="E35" s="14"/>
      <c r="F35" s="267"/>
      <c r="G35" s="268"/>
      <c r="H35" s="17"/>
      <c r="I35" s="265"/>
    </row>
    <row r="36" customFormat="false" ht="18.6" hidden="false" customHeight="true" outlineLevel="0" collapsed="false">
      <c r="A36" s="412"/>
      <c r="B36" s="28" t="s">
        <v>35</v>
      </c>
      <c r="C36" s="22"/>
      <c r="D36" s="29" t="n">
        <f aca="false">+SUM(D2:D35)</f>
        <v>67503.27</v>
      </c>
      <c r="E36" s="24"/>
      <c r="F36" s="25"/>
      <c r="G36" s="26"/>
      <c r="H36" s="30" t="n">
        <f aca="false">+SUM(H2:H35)</f>
        <v>-673.2</v>
      </c>
      <c r="I36" s="422"/>
    </row>
    <row r="37" customFormat="false" ht="18.6" hidden="false" customHeight="true" outlineLevel="0" collapsed="false">
      <c r="A37" s="423" t="s">
        <v>299</v>
      </c>
      <c r="B37" s="11" t="s">
        <v>754</v>
      </c>
      <c r="C37" s="12"/>
      <c r="D37" s="270" t="n">
        <v>17.99</v>
      </c>
      <c r="E37" s="271" t="s">
        <v>755</v>
      </c>
      <c r="F37" s="272" t="n">
        <v>44683</v>
      </c>
      <c r="G37" s="273" t="n">
        <v>17.99</v>
      </c>
      <c r="H37" s="17" t="n">
        <f aca="false">D37-G37</f>
        <v>0</v>
      </c>
      <c r="I37" s="265"/>
    </row>
    <row r="38" customFormat="false" ht="18.6" hidden="false" customHeight="true" outlineLevel="0" collapsed="false">
      <c r="A38" s="423"/>
      <c r="B38" s="11" t="s">
        <v>658</v>
      </c>
      <c r="C38" s="12" t="s">
        <v>659</v>
      </c>
      <c r="D38" s="270" t="n">
        <v>891.47</v>
      </c>
      <c r="E38" s="271"/>
      <c r="F38" s="272" t="n">
        <v>44684</v>
      </c>
      <c r="G38" s="273" t="n">
        <v>891.47</v>
      </c>
      <c r="H38" s="17" t="n">
        <f aca="false">D38-G38</f>
        <v>0</v>
      </c>
      <c r="I38" s="265"/>
    </row>
    <row r="39" customFormat="false" ht="18.6" hidden="false" customHeight="true" outlineLevel="0" collapsed="false">
      <c r="A39" s="423"/>
      <c r="B39" s="11" t="s">
        <v>311</v>
      </c>
      <c r="C39" s="12"/>
      <c r="D39" s="264" t="n">
        <v>5.31</v>
      </c>
      <c r="E39" s="14"/>
      <c r="F39" s="267" t="n">
        <v>44686</v>
      </c>
      <c r="G39" s="268" t="n">
        <v>5.31</v>
      </c>
      <c r="H39" s="17" t="n">
        <f aca="false">D39-G39</f>
        <v>0</v>
      </c>
      <c r="I39" s="265"/>
    </row>
    <row r="40" customFormat="false" ht="18.6" hidden="false" customHeight="true" outlineLevel="0" collapsed="false">
      <c r="A40" s="423"/>
      <c r="B40" s="11" t="s">
        <v>308</v>
      </c>
      <c r="C40" s="12"/>
      <c r="D40" s="264" t="n">
        <v>3203.09</v>
      </c>
      <c r="E40" s="14" t="s">
        <v>439</v>
      </c>
      <c r="F40" s="267" t="n">
        <v>44686</v>
      </c>
      <c r="G40" s="268" t="n">
        <v>3203.09</v>
      </c>
      <c r="H40" s="17" t="n">
        <f aca="false">D40-G40</f>
        <v>0</v>
      </c>
      <c r="I40" s="265"/>
    </row>
    <row r="41" customFormat="false" ht="18.6" hidden="false" customHeight="true" outlineLevel="0" collapsed="false">
      <c r="A41" s="423"/>
      <c r="B41" s="11" t="s">
        <v>300</v>
      </c>
      <c r="C41" s="12" t="s">
        <v>303</v>
      </c>
      <c r="D41" s="270" t="n">
        <v>127.11</v>
      </c>
      <c r="E41" s="271" t="s">
        <v>302</v>
      </c>
      <c r="F41" s="267" t="n">
        <v>44686</v>
      </c>
      <c r="G41" s="273" t="n">
        <v>127.11</v>
      </c>
      <c r="H41" s="17" t="n">
        <f aca="false">D41-G41</f>
        <v>0</v>
      </c>
      <c r="I41" s="265"/>
    </row>
    <row r="42" customFormat="false" ht="18.6" hidden="false" customHeight="true" outlineLevel="0" collapsed="false">
      <c r="A42" s="423"/>
      <c r="B42" s="11" t="s">
        <v>300</v>
      </c>
      <c r="C42" s="12" t="s">
        <v>304</v>
      </c>
      <c r="D42" s="264" t="n">
        <v>100.82</v>
      </c>
      <c r="E42" s="14"/>
      <c r="F42" s="267" t="n">
        <v>44686</v>
      </c>
      <c r="G42" s="268" t="n">
        <v>100.82</v>
      </c>
      <c r="H42" s="17" t="n">
        <f aca="false">D42-G42</f>
        <v>0</v>
      </c>
      <c r="I42" s="265"/>
    </row>
    <row r="43" customFormat="false" ht="18.6" hidden="false" customHeight="true" outlineLevel="0" collapsed="false">
      <c r="A43" s="423"/>
      <c r="B43" s="11" t="s">
        <v>300</v>
      </c>
      <c r="C43" s="12" t="s">
        <v>305</v>
      </c>
      <c r="D43" s="264" t="n">
        <v>104.12</v>
      </c>
      <c r="E43" s="14"/>
      <c r="F43" s="267" t="n">
        <v>44686</v>
      </c>
      <c r="G43" s="268" t="n">
        <v>104.12</v>
      </c>
      <c r="H43" s="17" t="n">
        <f aca="false">D43-G43</f>
        <v>0</v>
      </c>
      <c r="I43" s="265"/>
    </row>
    <row r="44" customFormat="false" ht="18.6" hidden="false" customHeight="true" outlineLevel="0" collapsed="false">
      <c r="A44" s="423"/>
      <c r="B44" s="11" t="s">
        <v>300</v>
      </c>
      <c r="C44" s="12" t="s">
        <v>306</v>
      </c>
      <c r="D44" s="264" t="n">
        <v>71.32</v>
      </c>
      <c r="E44" s="14"/>
      <c r="F44" s="267" t="n">
        <v>44686</v>
      </c>
      <c r="G44" s="268" t="n">
        <v>71.32</v>
      </c>
      <c r="H44" s="17" t="n">
        <f aca="false">D44-G44</f>
        <v>0</v>
      </c>
      <c r="I44" s="265"/>
    </row>
    <row r="45" customFormat="false" ht="18.6" hidden="false" customHeight="true" outlineLevel="0" collapsed="false">
      <c r="A45" s="423"/>
      <c r="B45" s="11" t="s">
        <v>300</v>
      </c>
      <c r="C45" s="12" t="s">
        <v>307</v>
      </c>
      <c r="D45" s="270" t="n">
        <v>89.4</v>
      </c>
      <c r="E45" s="271"/>
      <c r="F45" s="267" t="n">
        <v>44686</v>
      </c>
      <c r="G45" s="273" t="n">
        <v>89.4</v>
      </c>
      <c r="H45" s="17" t="n">
        <f aca="false">D45-G45</f>
        <v>0</v>
      </c>
      <c r="I45" s="265"/>
    </row>
    <row r="46" customFormat="false" ht="18.6" hidden="false" customHeight="true" outlineLevel="0" collapsed="false">
      <c r="A46" s="423"/>
      <c r="B46" s="11" t="s">
        <v>300</v>
      </c>
      <c r="C46" s="12" t="s">
        <v>301</v>
      </c>
      <c r="D46" s="264" t="n">
        <v>99.97</v>
      </c>
      <c r="E46" s="14" t="s">
        <v>302</v>
      </c>
      <c r="F46" s="267" t="n">
        <v>44686</v>
      </c>
      <c r="G46" s="268" t="n">
        <v>99.97</v>
      </c>
      <c r="H46" s="17" t="n">
        <f aca="false">D46-G46</f>
        <v>0</v>
      </c>
      <c r="I46" s="265"/>
    </row>
    <row r="47" customFormat="false" ht="18.6" hidden="false" customHeight="true" outlineLevel="0" collapsed="false">
      <c r="A47" s="423"/>
      <c r="B47" s="11" t="s">
        <v>551</v>
      </c>
      <c r="C47" s="12"/>
      <c r="D47" s="264" t="n">
        <v>53.88</v>
      </c>
      <c r="E47" s="14"/>
      <c r="F47" s="267" t="n">
        <v>44686</v>
      </c>
      <c r="G47" s="268" t="n">
        <v>53.88</v>
      </c>
      <c r="H47" s="17" t="n">
        <f aca="false">D47-G47</f>
        <v>0</v>
      </c>
      <c r="I47" s="265"/>
    </row>
    <row r="48" customFormat="false" ht="18.6" hidden="false" customHeight="true" outlineLevel="0" collapsed="false">
      <c r="A48" s="423"/>
      <c r="B48" s="11" t="s">
        <v>314</v>
      </c>
      <c r="C48" s="12"/>
      <c r="D48" s="264" t="n">
        <v>50</v>
      </c>
      <c r="E48" s="14" t="s">
        <v>315</v>
      </c>
      <c r="F48" s="267" t="n">
        <v>44687</v>
      </c>
      <c r="G48" s="268" t="n">
        <v>50</v>
      </c>
      <c r="H48" s="17" t="n">
        <f aca="false">D48-G48</f>
        <v>0</v>
      </c>
      <c r="I48" s="265"/>
    </row>
    <row r="49" customFormat="false" ht="18.6" hidden="false" customHeight="true" outlineLevel="0" collapsed="false">
      <c r="A49" s="423"/>
      <c r="B49" s="11" t="s">
        <v>316</v>
      </c>
      <c r="C49" s="12" t="s">
        <v>550</v>
      </c>
      <c r="D49" s="270" t="n">
        <f aca="false">15.95*2</f>
        <v>31.9</v>
      </c>
      <c r="E49" s="271" t="s">
        <v>661</v>
      </c>
      <c r="F49" s="272" t="n">
        <v>44691</v>
      </c>
      <c r="G49" s="273" t="n">
        <v>31.9</v>
      </c>
      <c r="H49" s="17" t="n">
        <f aca="false">D49-G49</f>
        <v>0</v>
      </c>
      <c r="I49" s="265"/>
    </row>
    <row r="50" customFormat="false" ht="18.6" hidden="false" customHeight="true" outlineLevel="0" collapsed="false">
      <c r="A50" s="423"/>
      <c r="B50" s="11" t="s">
        <v>566</v>
      </c>
      <c r="C50" s="12" t="s">
        <v>567</v>
      </c>
      <c r="D50" s="264" t="n">
        <v>315.08</v>
      </c>
      <c r="E50" s="14" t="s">
        <v>280</v>
      </c>
      <c r="F50" s="267" t="n">
        <v>44691</v>
      </c>
      <c r="G50" s="268" t="n">
        <v>315.08</v>
      </c>
      <c r="H50" s="17" t="n">
        <f aca="false">D50-G50</f>
        <v>0</v>
      </c>
      <c r="I50" s="265"/>
    </row>
    <row r="51" customFormat="false" ht="18.6" hidden="false" customHeight="true" outlineLevel="0" collapsed="false">
      <c r="A51" s="423"/>
      <c r="B51" s="11" t="s">
        <v>35</v>
      </c>
      <c r="C51" s="12" t="s">
        <v>660</v>
      </c>
      <c r="D51" s="264" t="n">
        <v>2377.72</v>
      </c>
      <c r="E51" s="14"/>
      <c r="F51" s="267" t="n">
        <v>44691</v>
      </c>
      <c r="G51" s="268" t="n">
        <v>2377.72</v>
      </c>
      <c r="H51" s="17" t="n">
        <f aca="false">D51-G51</f>
        <v>0</v>
      </c>
      <c r="I51" s="265"/>
    </row>
    <row r="52" customFormat="false" ht="18.6" hidden="false" customHeight="true" outlineLevel="0" collapsed="false">
      <c r="A52" s="423"/>
      <c r="B52" s="11" t="s">
        <v>437</v>
      </c>
      <c r="C52" s="12" t="s">
        <v>671</v>
      </c>
      <c r="D52" s="264" t="n">
        <v>224.93</v>
      </c>
      <c r="E52" s="14" t="s">
        <v>756</v>
      </c>
      <c r="F52" s="267" t="n">
        <v>44691</v>
      </c>
      <c r="G52" s="268" t="n">
        <v>224.93</v>
      </c>
      <c r="H52" s="17" t="n">
        <f aca="false">D52-G52</f>
        <v>0</v>
      </c>
      <c r="I52" s="265"/>
    </row>
    <row r="53" customFormat="false" ht="18.6" hidden="false" customHeight="true" outlineLevel="0" collapsed="false">
      <c r="A53" s="423"/>
      <c r="B53" s="11" t="s">
        <v>196</v>
      </c>
      <c r="C53" s="12" t="s">
        <v>757</v>
      </c>
      <c r="D53" s="270" t="n">
        <v>1393.52</v>
      </c>
      <c r="E53" s="271" t="s">
        <v>758</v>
      </c>
      <c r="F53" s="272" t="n">
        <v>44693</v>
      </c>
      <c r="G53" s="273" t="n">
        <v>1393.52</v>
      </c>
      <c r="H53" s="17" t="n">
        <f aca="false">D53-G53</f>
        <v>0</v>
      </c>
      <c r="I53" s="265"/>
    </row>
    <row r="54" customFormat="false" ht="18.6" hidden="false" customHeight="true" outlineLevel="0" collapsed="false">
      <c r="A54" s="423"/>
      <c r="B54" s="11" t="s">
        <v>561</v>
      </c>
      <c r="C54" s="12"/>
      <c r="D54" s="264" t="n">
        <v>16.99</v>
      </c>
      <c r="E54" s="14" t="s">
        <v>562</v>
      </c>
      <c r="F54" s="267" t="n">
        <v>44692</v>
      </c>
      <c r="G54" s="268" t="n">
        <v>16.99</v>
      </c>
      <c r="H54" s="17" t="n">
        <f aca="false">D54-G54</f>
        <v>0</v>
      </c>
      <c r="I54" s="265"/>
    </row>
    <row r="55" customFormat="false" ht="18.6" hidden="false" customHeight="true" outlineLevel="0" collapsed="false">
      <c r="A55" s="423"/>
      <c r="B55" s="424" t="s">
        <v>322</v>
      </c>
      <c r="C55" s="425"/>
      <c r="D55" s="426" t="n">
        <v>10494</v>
      </c>
      <c r="E55" s="427" t="s">
        <v>323</v>
      </c>
      <c r="F55" s="428" t="n">
        <v>44696</v>
      </c>
      <c r="G55" s="429" t="n">
        <v>10494</v>
      </c>
      <c r="H55" s="430" t="n">
        <f aca="false">D55-G55</f>
        <v>0</v>
      </c>
      <c r="I55" s="431"/>
    </row>
    <row r="56" customFormat="false" ht="18.6" hidden="false" customHeight="true" outlineLevel="0" collapsed="false">
      <c r="A56" s="423"/>
      <c r="B56" s="11" t="s">
        <v>437</v>
      </c>
      <c r="C56" s="12" t="s">
        <v>759</v>
      </c>
      <c r="D56" s="264" t="n">
        <v>25.28</v>
      </c>
      <c r="E56" s="14" t="s">
        <v>760</v>
      </c>
      <c r="F56" s="267" t="n">
        <v>44697</v>
      </c>
      <c r="G56" s="268" t="n">
        <v>25.28</v>
      </c>
      <c r="H56" s="17" t="n">
        <f aca="false">D56-G56</f>
        <v>0</v>
      </c>
      <c r="I56" s="265"/>
    </row>
    <row r="57" customFormat="false" ht="18.6" hidden="false" customHeight="true" outlineLevel="0" collapsed="false">
      <c r="A57" s="423"/>
      <c r="B57" s="11" t="s">
        <v>300</v>
      </c>
      <c r="C57" s="12" t="s">
        <v>320</v>
      </c>
      <c r="D57" s="264" t="n">
        <v>15.24</v>
      </c>
      <c r="E57" s="14" t="s">
        <v>321</v>
      </c>
      <c r="F57" s="15" t="n">
        <v>44700</v>
      </c>
      <c r="G57" s="16" t="n">
        <v>15.24</v>
      </c>
      <c r="H57" s="17" t="n">
        <f aca="false">D57-G57</f>
        <v>0</v>
      </c>
      <c r="I57" s="265"/>
    </row>
    <row r="58" customFormat="false" ht="18.6" hidden="false" customHeight="true" outlineLevel="0" collapsed="false">
      <c r="A58" s="423"/>
      <c r="B58" s="11" t="s">
        <v>300</v>
      </c>
      <c r="C58" s="12" t="s">
        <v>324</v>
      </c>
      <c r="D58" s="264" t="n">
        <v>93.87</v>
      </c>
      <c r="E58" s="14"/>
      <c r="F58" s="267" t="n">
        <v>44700</v>
      </c>
      <c r="G58" s="268" t="n">
        <v>93.87</v>
      </c>
      <c r="H58" s="17" t="n">
        <f aca="false">D58-G58</f>
        <v>0</v>
      </c>
      <c r="I58" s="265"/>
    </row>
    <row r="59" customFormat="false" ht="18.6" hidden="false" customHeight="true" outlineLevel="0" collapsed="false">
      <c r="A59" s="423"/>
      <c r="B59" s="11" t="s">
        <v>573</v>
      </c>
      <c r="C59" s="12" t="s">
        <v>574</v>
      </c>
      <c r="D59" s="270" t="n">
        <v>588</v>
      </c>
      <c r="E59" s="271" t="s">
        <v>665</v>
      </c>
      <c r="F59" s="272" t="n">
        <v>44701</v>
      </c>
      <c r="G59" s="273" t="n">
        <v>588</v>
      </c>
      <c r="H59" s="17" t="n">
        <f aca="false">D59-G59</f>
        <v>0</v>
      </c>
      <c r="I59" s="265"/>
    </row>
    <row r="60" customFormat="false" ht="18.6" hidden="false" customHeight="true" outlineLevel="0" collapsed="false">
      <c r="A60" s="423"/>
      <c r="B60" s="11" t="s">
        <v>119</v>
      </c>
      <c r="C60" s="12" t="s">
        <v>761</v>
      </c>
      <c r="D60" s="13" t="n">
        <v>-117.6</v>
      </c>
      <c r="E60" s="432" t="s">
        <v>762</v>
      </c>
      <c r="F60" s="267" t="n">
        <v>44701</v>
      </c>
      <c r="G60" s="268" t="n">
        <v>-117.6</v>
      </c>
      <c r="H60" s="17" t="n">
        <f aca="false">D60-G60</f>
        <v>0</v>
      </c>
      <c r="I60" s="265"/>
    </row>
    <row r="61" customFormat="false" ht="18.6" hidden="false" customHeight="true" outlineLevel="0" collapsed="false">
      <c r="A61" s="423"/>
      <c r="B61" s="11" t="s">
        <v>119</v>
      </c>
      <c r="C61" s="12" t="s">
        <v>763</v>
      </c>
      <c r="D61" s="264" t="n">
        <v>83</v>
      </c>
      <c r="E61" s="14" t="s">
        <v>764</v>
      </c>
      <c r="F61" s="267" t="n">
        <v>44701</v>
      </c>
      <c r="G61" s="268" t="n">
        <v>83</v>
      </c>
      <c r="H61" s="17" t="n">
        <f aca="false">D61-G61</f>
        <v>0</v>
      </c>
      <c r="I61" s="265"/>
    </row>
    <row r="62" customFormat="false" ht="18.6" hidden="false" customHeight="true" outlineLevel="0" collapsed="false">
      <c r="A62" s="423"/>
      <c r="B62" s="424" t="s">
        <v>327</v>
      </c>
      <c r="C62" s="433" t="s">
        <v>328</v>
      </c>
      <c r="D62" s="426" t="n">
        <v>6112</v>
      </c>
      <c r="E62" s="427" t="s">
        <v>666</v>
      </c>
      <c r="F62" s="428" t="n">
        <v>44702</v>
      </c>
      <c r="G62" s="429" t="n">
        <v>6112</v>
      </c>
      <c r="H62" s="430" t="n">
        <f aca="false">D62-G62</f>
        <v>0</v>
      </c>
      <c r="I62" s="431"/>
    </row>
    <row r="63" customFormat="false" ht="18.6" hidden="false" customHeight="true" outlineLevel="0" collapsed="false">
      <c r="A63" s="423"/>
      <c r="B63" s="337" t="s">
        <v>765</v>
      </c>
      <c r="C63" s="425"/>
      <c r="D63" s="434" t="n">
        <v>1659.59</v>
      </c>
      <c r="E63" s="435"/>
      <c r="F63" s="436" t="n">
        <v>44702</v>
      </c>
      <c r="G63" s="437" t="n">
        <v>1659.59</v>
      </c>
      <c r="H63" s="430" t="n">
        <f aca="false">D63-G63</f>
        <v>0</v>
      </c>
      <c r="I63" s="431"/>
    </row>
    <row r="64" customFormat="false" ht="18.6" hidden="false" customHeight="true" outlineLevel="0" collapsed="false">
      <c r="A64" s="423"/>
      <c r="B64" s="11" t="s">
        <v>314</v>
      </c>
      <c r="C64" s="12"/>
      <c r="D64" s="264" t="n">
        <v>38</v>
      </c>
      <c r="E64" s="14"/>
      <c r="F64" s="267" t="n">
        <v>44702</v>
      </c>
      <c r="G64" s="268" t="n">
        <v>38</v>
      </c>
      <c r="H64" s="17" t="n">
        <f aca="false">D64-G64</f>
        <v>0</v>
      </c>
      <c r="I64" s="265"/>
    </row>
    <row r="65" customFormat="false" ht="18.6" hidden="false" customHeight="true" outlineLevel="0" collapsed="false">
      <c r="A65" s="423"/>
      <c r="B65" s="11" t="s">
        <v>314</v>
      </c>
      <c r="C65" s="12"/>
      <c r="D65" s="264" t="n">
        <v>31</v>
      </c>
      <c r="E65" s="14"/>
      <c r="F65" s="267" t="n">
        <v>44702</v>
      </c>
      <c r="G65" s="268" t="n">
        <v>31</v>
      </c>
      <c r="H65" s="17" t="n">
        <f aca="false">D65-G65</f>
        <v>0</v>
      </c>
      <c r="I65" s="265"/>
    </row>
    <row r="66" customFormat="false" ht="18.6" hidden="false" customHeight="true" outlineLevel="0" collapsed="false">
      <c r="A66" s="423"/>
      <c r="B66" s="11" t="s">
        <v>314</v>
      </c>
      <c r="C66" s="12"/>
      <c r="D66" s="270" t="n">
        <v>31</v>
      </c>
      <c r="E66" s="271"/>
      <c r="F66" s="272" t="n">
        <v>44702</v>
      </c>
      <c r="G66" s="273" t="n">
        <v>31</v>
      </c>
      <c r="H66" s="17" t="n">
        <f aca="false">D66-G66</f>
        <v>0</v>
      </c>
      <c r="I66" s="265"/>
    </row>
    <row r="67" customFormat="false" ht="18.6" hidden="false" customHeight="true" outlineLevel="0" collapsed="false">
      <c r="A67" s="423"/>
      <c r="B67" s="11" t="s">
        <v>314</v>
      </c>
      <c r="C67" s="12" t="s">
        <v>325</v>
      </c>
      <c r="D67" s="264" t="n">
        <v>35.19</v>
      </c>
      <c r="E67" s="14" t="s">
        <v>326</v>
      </c>
      <c r="F67" s="267" t="n">
        <v>44702</v>
      </c>
      <c r="G67" s="268" t="n">
        <v>35.19</v>
      </c>
      <c r="H67" s="17" t="n">
        <f aca="false">D67-G67</f>
        <v>0</v>
      </c>
      <c r="I67" s="265"/>
    </row>
    <row r="68" customFormat="false" ht="18.6" hidden="false" customHeight="true" outlineLevel="0" collapsed="false">
      <c r="A68" s="423"/>
      <c r="B68" s="337" t="s">
        <v>766</v>
      </c>
      <c r="C68" s="433"/>
      <c r="D68" s="426" t="n">
        <v>2054.49</v>
      </c>
      <c r="E68" s="427" t="s">
        <v>667</v>
      </c>
      <c r="F68" s="428" t="n">
        <v>44706</v>
      </c>
      <c r="G68" s="429" t="n">
        <v>2054.49</v>
      </c>
      <c r="H68" s="430" t="n">
        <f aca="false">D68-G68</f>
        <v>0</v>
      </c>
      <c r="I68" s="431"/>
    </row>
    <row r="69" customFormat="false" ht="18.6" hidden="false" customHeight="true" outlineLevel="0" collapsed="false">
      <c r="A69" s="423"/>
      <c r="B69" s="11" t="s">
        <v>448</v>
      </c>
      <c r="C69" s="12" t="s">
        <v>449</v>
      </c>
      <c r="D69" s="270" t="n">
        <v>1260</v>
      </c>
      <c r="E69" s="271" t="s">
        <v>450</v>
      </c>
      <c r="F69" s="267" t="n">
        <v>44706</v>
      </c>
      <c r="G69" s="273" t="n">
        <v>1260</v>
      </c>
      <c r="H69" s="17" t="n">
        <f aca="false">D69-G69</f>
        <v>0</v>
      </c>
      <c r="I69" s="265"/>
    </row>
    <row r="70" customFormat="false" ht="18.6" hidden="false" customHeight="true" outlineLevel="0" collapsed="false">
      <c r="A70" s="423"/>
      <c r="B70" s="276" t="s">
        <v>35</v>
      </c>
      <c r="C70" s="12" t="s">
        <v>572</v>
      </c>
      <c r="D70" s="363" t="n">
        <v>2029.45</v>
      </c>
      <c r="E70" s="271"/>
      <c r="F70" s="272" t="n">
        <v>44706</v>
      </c>
      <c r="G70" s="273" t="n">
        <v>2029.45</v>
      </c>
      <c r="H70" s="438" t="n">
        <f aca="false">D70-G70</f>
        <v>0</v>
      </c>
      <c r="I70" s="366"/>
    </row>
    <row r="71" customFormat="false" ht="18.6" hidden="false" customHeight="true" outlineLevel="0" collapsed="false">
      <c r="A71" s="423"/>
      <c r="B71" s="276" t="s">
        <v>668</v>
      </c>
      <c r="C71" s="12" t="s">
        <v>669</v>
      </c>
      <c r="D71" s="363" t="n">
        <v>34.62</v>
      </c>
      <c r="E71" s="271" t="s">
        <v>670</v>
      </c>
      <c r="F71" s="272" t="n">
        <v>44706</v>
      </c>
      <c r="G71" s="273" t="n">
        <v>34.62</v>
      </c>
      <c r="H71" s="438" t="n">
        <f aca="false">D71-G71</f>
        <v>0</v>
      </c>
      <c r="I71" s="439"/>
    </row>
    <row r="72" customFormat="false" ht="18.6" hidden="false" customHeight="true" outlineLevel="0" collapsed="false">
      <c r="A72" s="423"/>
      <c r="B72" s="11" t="s">
        <v>338</v>
      </c>
      <c r="C72" s="12" t="s">
        <v>339</v>
      </c>
      <c r="D72" s="264" t="n">
        <v>5283.09</v>
      </c>
      <c r="E72" s="14"/>
      <c r="F72" s="267" t="n">
        <v>44707</v>
      </c>
      <c r="G72" s="268" t="n">
        <v>5283.09</v>
      </c>
      <c r="H72" s="17" t="n">
        <f aca="false">D72-G72</f>
        <v>0</v>
      </c>
      <c r="I72" s="265"/>
    </row>
    <row r="73" customFormat="false" ht="18.6" hidden="false" customHeight="true" outlineLevel="0" collapsed="false">
      <c r="A73" s="423"/>
      <c r="B73" s="276" t="s">
        <v>445</v>
      </c>
      <c r="C73" s="12"/>
      <c r="D73" s="363" t="n">
        <v>919.8</v>
      </c>
      <c r="E73" s="271" t="s">
        <v>682</v>
      </c>
      <c r="F73" s="272" t="n">
        <v>44712</v>
      </c>
      <c r="G73" s="273" t="n">
        <v>919.8</v>
      </c>
      <c r="H73" s="17" t="n">
        <f aca="false">D73-G73</f>
        <v>0</v>
      </c>
      <c r="I73" s="366"/>
    </row>
    <row r="74" customFormat="false" ht="18.6" hidden="false" customHeight="true" outlineLevel="0" collapsed="false">
      <c r="A74" s="423"/>
      <c r="B74" s="276" t="s">
        <v>767</v>
      </c>
      <c r="C74" s="12" t="s">
        <v>768</v>
      </c>
      <c r="D74" s="440" t="n">
        <v>-186.77</v>
      </c>
      <c r="E74" s="271" t="s">
        <v>253</v>
      </c>
      <c r="F74" s="272" t="n">
        <v>44712</v>
      </c>
      <c r="G74" s="273" t="n">
        <v>-186.77</v>
      </c>
      <c r="H74" s="17" t="n">
        <f aca="false">D74-G74</f>
        <v>0</v>
      </c>
      <c r="I74" s="366"/>
    </row>
    <row r="75" customFormat="false" ht="18.6" hidden="false" customHeight="true" outlineLevel="0" collapsed="false">
      <c r="A75" s="423"/>
      <c r="B75" s="276" t="s">
        <v>767</v>
      </c>
      <c r="C75" s="12" t="s">
        <v>769</v>
      </c>
      <c r="D75" s="363" t="n">
        <v>255.53</v>
      </c>
      <c r="E75" s="271" t="s">
        <v>253</v>
      </c>
      <c r="F75" s="272" t="n">
        <v>44712</v>
      </c>
      <c r="G75" s="273" t="n">
        <v>255.53</v>
      </c>
      <c r="H75" s="17" t="n">
        <f aca="false">D75-G75</f>
        <v>0</v>
      </c>
      <c r="I75" s="366"/>
    </row>
    <row r="76" customFormat="false" ht="18.6" hidden="false" customHeight="true" outlineLevel="0" collapsed="false">
      <c r="A76" s="423"/>
      <c r="B76" s="276" t="s">
        <v>379</v>
      </c>
      <c r="C76" s="12" t="s">
        <v>770</v>
      </c>
      <c r="D76" s="363" t="n">
        <v>307.8</v>
      </c>
      <c r="E76" s="271" t="s">
        <v>771</v>
      </c>
      <c r="F76" s="272" t="n">
        <v>44706</v>
      </c>
      <c r="G76" s="273" t="n">
        <v>307.8</v>
      </c>
      <c r="H76" s="17" t="n">
        <f aca="false">D76-G76</f>
        <v>0</v>
      </c>
      <c r="I76" s="366"/>
    </row>
    <row r="77" customFormat="false" ht="18.6" hidden="false" customHeight="true" outlineLevel="0" collapsed="false">
      <c r="A77" s="423"/>
      <c r="B77" s="276"/>
      <c r="C77" s="12"/>
      <c r="D77" s="363"/>
      <c r="E77" s="271"/>
      <c r="F77" s="272"/>
      <c r="G77" s="273"/>
      <c r="H77" s="438"/>
      <c r="I77" s="366"/>
    </row>
    <row r="78" customFormat="false" ht="18.6" hidden="false" customHeight="true" outlineLevel="0" collapsed="false">
      <c r="A78" s="423"/>
      <c r="B78" s="276"/>
      <c r="C78" s="12"/>
      <c r="D78" s="363"/>
      <c r="E78" s="271"/>
      <c r="F78" s="272"/>
      <c r="G78" s="273"/>
      <c r="H78" s="438"/>
      <c r="I78" s="366"/>
    </row>
    <row r="79" customFormat="false" ht="18.6" hidden="false" customHeight="true" outlineLevel="0" collapsed="false">
      <c r="A79" s="423"/>
      <c r="B79" s="276"/>
      <c r="C79" s="12"/>
      <c r="D79" s="363"/>
      <c r="E79" s="271"/>
      <c r="F79" s="272"/>
      <c r="G79" s="273"/>
      <c r="H79" s="438"/>
      <c r="I79" s="265"/>
    </row>
    <row r="80" customFormat="false" ht="18.6" hidden="false" customHeight="true" outlineLevel="0" collapsed="false">
      <c r="A80" s="423"/>
      <c r="B80" s="28" t="s">
        <v>35</v>
      </c>
      <c r="C80" s="22"/>
      <c r="D80" s="29" t="n">
        <f aca="false">SUM(D37:D70)</f>
        <v>33607.13</v>
      </c>
      <c r="E80" s="24"/>
      <c r="F80" s="25"/>
      <c r="G80" s="26"/>
      <c r="H80" s="30" t="n">
        <f aca="false">+SUM(H37:H79)</f>
        <v>0</v>
      </c>
      <c r="I80" s="422"/>
    </row>
    <row r="81" customFormat="false" ht="18.6" hidden="false" customHeight="true" outlineLevel="0" collapsed="false">
      <c r="A81" s="370" t="s">
        <v>341</v>
      </c>
      <c r="B81" s="11" t="s">
        <v>554</v>
      </c>
      <c r="C81" s="12"/>
      <c r="D81" s="264" t="n">
        <v>1100</v>
      </c>
      <c r="E81" s="14" t="s">
        <v>555</v>
      </c>
      <c r="F81" s="267" t="n">
        <v>44657</v>
      </c>
      <c r="G81" s="268" t="n">
        <v>1100</v>
      </c>
      <c r="H81" s="17" t="n">
        <f aca="false">D81-G81</f>
        <v>0</v>
      </c>
      <c r="I81" s="265"/>
    </row>
    <row r="82" customFormat="false" ht="18.6" hidden="false" customHeight="true" outlineLevel="0" collapsed="false">
      <c r="A82" s="370"/>
      <c r="B82" s="11" t="s">
        <v>559</v>
      </c>
      <c r="C82" s="12"/>
      <c r="D82" s="264" t="n">
        <v>500</v>
      </c>
      <c r="E82" s="14" t="s">
        <v>462</v>
      </c>
      <c r="F82" s="267" t="n">
        <v>44657</v>
      </c>
      <c r="G82" s="268" t="n">
        <v>500</v>
      </c>
      <c r="H82" s="17" t="n">
        <f aca="false">D82-G82</f>
        <v>0</v>
      </c>
      <c r="I82" s="265"/>
    </row>
    <row r="83" customFormat="false" ht="18.6" hidden="false" customHeight="true" outlineLevel="0" collapsed="false">
      <c r="A83" s="370"/>
      <c r="B83" s="11" t="s">
        <v>686</v>
      </c>
      <c r="C83" s="12" t="s">
        <v>687</v>
      </c>
      <c r="D83" s="264" t="n">
        <v>2100</v>
      </c>
      <c r="E83" s="14" t="s">
        <v>688</v>
      </c>
      <c r="F83" s="267" t="n">
        <v>44657</v>
      </c>
      <c r="G83" s="268" t="n">
        <v>2100</v>
      </c>
      <c r="H83" s="17" t="n">
        <f aca="false">D83-G83</f>
        <v>0</v>
      </c>
      <c r="I83" s="265"/>
    </row>
    <row r="84" customFormat="false" ht="18.6" hidden="false" customHeight="true" outlineLevel="0" collapsed="false">
      <c r="A84" s="370"/>
      <c r="B84" s="11" t="s">
        <v>772</v>
      </c>
      <c r="C84" s="12"/>
      <c r="D84" s="264" t="n">
        <v>600</v>
      </c>
      <c r="E84" s="14" t="s">
        <v>773</v>
      </c>
      <c r="F84" s="267"/>
      <c r="G84" s="268" t="n">
        <v>600</v>
      </c>
      <c r="H84" s="17" t="n">
        <f aca="false">D84-G84</f>
        <v>0</v>
      </c>
      <c r="I84" s="265"/>
    </row>
    <row r="85" customFormat="false" ht="19.5" hidden="false" customHeight="true" outlineLevel="0" collapsed="false">
      <c r="A85" s="370"/>
      <c r="B85" s="397" t="s">
        <v>361</v>
      </c>
      <c r="C85" s="394" t="s">
        <v>774</v>
      </c>
      <c r="D85" s="262" t="n">
        <v>5641.44</v>
      </c>
      <c r="E85" s="218" t="s">
        <v>775</v>
      </c>
      <c r="F85" s="441" t="n">
        <v>44712</v>
      </c>
      <c r="G85" s="442"/>
      <c r="H85" s="443" t="n">
        <f aca="false">D85-G85</f>
        <v>5641.44</v>
      </c>
      <c r="I85" s="444"/>
    </row>
    <row r="86" customFormat="false" ht="19.5" hidden="false" customHeight="true" outlineLevel="0" collapsed="false">
      <c r="A86" s="370"/>
      <c r="B86" s="397" t="s">
        <v>361</v>
      </c>
      <c r="C86" s="394" t="s">
        <v>776</v>
      </c>
      <c r="D86" s="262" t="n">
        <v>44111</v>
      </c>
      <c r="E86" s="218" t="s">
        <v>777</v>
      </c>
      <c r="F86" s="441" t="n">
        <v>44712</v>
      </c>
      <c r="G86" s="442"/>
      <c r="H86" s="443" t="n">
        <f aca="false">D86-G86</f>
        <v>44111</v>
      </c>
      <c r="I86" s="444"/>
    </row>
    <row r="87" customFormat="false" ht="19.5" hidden="false" customHeight="true" outlineLevel="0" collapsed="false">
      <c r="A87" s="370"/>
      <c r="B87" s="397" t="s">
        <v>361</v>
      </c>
      <c r="C87" s="394" t="s">
        <v>778</v>
      </c>
      <c r="D87" s="262" t="n">
        <v>3348.48</v>
      </c>
      <c r="E87" s="218" t="s">
        <v>775</v>
      </c>
      <c r="F87" s="441" t="n">
        <v>44712</v>
      </c>
      <c r="G87" s="442"/>
      <c r="H87" s="443" t="n">
        <f aca="false">D87-G87</f>
        <v>3348.48</v>
      </c>
      <c r="I87" s="444"/>
    </row>
    <row r="88" customFormat="false" ht="19.5" hidden="false" customHeight="true" outlineLevel="0" collapsed="false">
      <c r="A88" s="370"/>
      <c r="B88" s="397" t="s">
        <v>361</v>
      </c>
      <c r="C88" s="394" t="s">
        <v>779</v>
      </c>
      <c r="D88" s="262" t="n">
        <v>25117.02</v>
      </c>
      <c r="E88" s="218" t="s">
        <v>780</v>
      </c>
      <c r="F88" s="441" t="n">
        <v>44712</v>
      </c>
      <c r="G88" s="442"/>
      <c r="H88" s="443" t="n">
        <f aca="false">D88-G88</f>
        <v>25117.02</v>
      </c>
      <c r="I88" s="444"/>
    </row>
    <row r="89" customFormat="false" ht="18.6" hidden="false" customHeight="true" outlineLevel="0" collapsed="false">
      <c r="A89" s="370"/>
      <c r="B89" s="11" t="s">
        <v>187</v>
      </c>
      <c r="C89" s="12" t="s">
        <v>781</v>
      </c>
      <c r="D89" s="264" t="n">
        <v>3000</v>
      </c>
      <c r="E89" s="14" t="s">
        <v>775</v>
      </c>
      <c r="F89" s="267" t="n">
        <v>44712</v>
      </c>
      <c r="G89" s="268" t="n">
        <v>3000</v>
      </c>
      <c r="H89" s="17" t="n">
        <f aca="false">D89-G89</f>
        <v>0</v>
      </c>
      <c r="I89" s="265"/>
    </row>
    <row r="90" customFormat="false" ht="18.6" hidden="false" customHeight="true" outlineLevel="0" collapsed="false">
      <c r="A90" s="370"/>
      <c r="B90" s="11" t="s">
        <v>782</v>
      </c>
      <c r="C90" s="12" t="s">
        <v>783</v>
      </c>
      <c r="D90" s="264" t="n">
        <v>675</v>
      </c>
      <c r="E90" s="14" t="s">
        <v>775</v>
      </c>
      <c r="F90" s="267" t="n">
        <v>44691</v>
      </c>
      <c r="G90" s="268" t="n">
        <v>675</v>
      </c>
      <c r="H90" s="17" t="n">
        <f aca="false">D90-G90</f>
        <v>0</v>
      </c>
      <c r="I90" s="265"/>
    </row>
    <row r="91" customFormat="false" ht="18.6" hidden="false" customHeight="true" outlineLevel="0" collapsed="false">
      <c r="A91" s="370"/>
      <c r="B91" s="11" t="s">
        <v>148</v>
      </c>
      <c r="C91" s="12" t="s">
        <v>784</v>
      </c>
      <c r="D91" s="264" t="n">
        <v>808.2</v>
      </c>
      <c r="E91" s="14"/>
      <c r="F91" s="267" t="n">
        <v>44696</v>
      </c>
      <c r="G91" s="268"/>
      <c r="H91" s="17" t="n">
        <f aca="false">D91-G91</f>
        <v>808.2</v>
      </c>
      <c r="I91" s="265"/>
    </row>
    <row r="92" customFormat="false" ht="20.25" hidden="false" customHeight="true" outlineLevel="0" collapsed="false">
      <c r="A92" s="370"/>
      <c r="B92" s="11" t="s">
        <v>349</v>
      </c>
      <c r="C92" s="12" t="s">
        <v>785</v>
      </c>
      <c r="D92" s="264" t="n">
        <v>1371.92</v>
      </c>
      <c r="E92" s="14" t="s">
        <v>786</v>
      </c>
      <c r="F92" s="267" t="n">
        <v>44711</v>
      </c>
      <c r="G92" s="445" t="n">
        <v>1371.92</v>
      </c>
      <c r="H92" s="17" t="n">
        <f aca="false">D92-G92</f>
        <v>0</v>
      </c>
      <c r="I92" s="265"/>
    </row>
    <row r="93" customFormat="false" ht="20.25" hidden="false" customHeight="true" outlineLevel="0" collapsed="false">
      <c r="A93" s="370"/>
      <c r="B93" s="11" t="s">
        <v>606</v>
      </c>
      <c r="C93" s="12" t="s">
        <v>787</v>
      </c>
      <c r="D93" s="264" t="n">
        <v>2400</v>
      </c>
      <c r="E93" s="14" t="s">
        <v>352</v>
      </c>
      <c r="F93" s="267" t="n">
        <v>44711</v>
      </c>
      <c r="G93" s="268" t="n">
        <v>2400</v>
      </c>
      <c r="H93" s="17" t="n">
        <f aca="false">D93-G93</f>
        <v>0</v>
      </c>
      <c r="I93" s="265"/>
    </row>
    <row r="94" customFormat="false" ht="20.25" hidden="false" customHeight="true" outlineLevel="0" collapsed="false">
      <c r="A94" s="370"/>
      <c r="B94" s="11" t="s">
        <v>788</v>
      </c>
      <c r="C94" s="319" t="s">
        <v>789</v>
      </c>
      <c r="D94" s="264" t="n">
        <v>577.8</v>
      </c>
      <c r="E94" s="14" t="s">
        <v>790</v>
      </c>
      <c r="F94" s="320" t="n">
        <v>44670</v>
      </c>
      <c r="G94" s="268" t="n">
        <v>577.8</v>
      </c>
      <c r="H94" s="17" t="n">
        <f aca="false">D94-G94</f>
        <v>0</v>
      </c>
      <c r="I94" s="321"/>
    </row>
    <row r="95" customFormat="false" ht="20.25" hidden="false" customHeight="true" outlineLevel="0" collapsed="false">
      <c r="A95" s="370"/>
      <c r="B95" s="11" t="s">
        <v>489</v>
      </c>
      <c r="C95" s="319" t="s">
        <v>791</v>
      </c>
      <c r="D95" s="264" t="n">
        <v>28686.88</v>
      </c>
      <c r="E95" s="14" t="s">
        <v>697</v>
      </c>
      <c r="F95" s="320" t="n">
        <v>44696</v>
      </c>
      <c r="G95" s="268" t="n">
        <v>28686.88</v>
      </c>
      <c r="H95" s="17" t="n">
        <f aca="false">D95-G95</f>
        <v>0</v>
      </c>
      <c r="I95" s="321"/>
    </row>
    <row r="96" customFormat="false" ht="20.25" hidden="false" customHeight="true" outlineLevel="0" collapsed="false">
      <c r="A96" s="370"/>
      <c r="B96" s="11"/>
      <c r="C96" s="12"/>
      <c r="D96" s="264"/>
      <c r="E96" s="14"/>
      <c r="F96" s="267"/>
      <c r="G96" s="268"/>
      <c r="H96" s="17" t="n">
        <f aca="false">D96-G96</f>
        <v>0</v>
      </c>
      <c r="I96" s="324"/>
    </row>
    <row r="97" customFormat="false" ht="20.25" hidden="false" customHeight="true" outlineLevel="0" collapsed="false">
      <c r="A97" s="370"/>
      <c r="B97" s="318"/>
      <c r="C97" s="319"/>
      <c r="D97" s="264"/>
      <c r="E97" s="14"/>
      <c r="F97" s="320"/>
      <c r="G97" s="268"/>
      <c r="H97" s="17" t="n">
        <f aca="false">D97-G97</f>
        <v>0</v>
      </c>
      <c r="I97" s="321"/>
    </row>
    <row r="98" customFormat="false" ht="20.25" hidden="false" customHeight="true" outlineLevel="0" collapsed="false">
      <c r="A98" s="370"/>
      <c r="B98" s="318"/>
      <c r="C98" s="319"/>
      <c r="D98" s="264"/>
      <c r="E98" s="326"/>
      <c r="F98" s="320"/>
      <c r="G98" s="268"/>
      <c r="H98" s="17" t="n">
        <f aca="false">D98-G98</f>
        <v>0</v>
      </c>
      <c r="I98" s="321"/>
    </row>
    <row r="99" customFormat="false" ht="20.25" hidden="false" customHeight="true" outlineLevel="0" collapsed="false">
      <c r="A99" s="370"/>
      <c r="B99" s="318"/>
      <c r="C99" s="319"/>
      <c r="D99" s="264"/>
      <c r="E99" s="326"/>
      <c r="F99" s="320"/>
      <c r="G99" s="268"/>
      <c r="H99" s="17" t="n">
        <f aca="false">D99-G99</f>
        <v>0</v>
      </c>
      <c r="I99" s="321"/>
    </row>
    <row r="100" customFormat="false" ht="18.6" hidden="false" customHeight="true" outlineLevel="0" collapsed="false">
      <c r="A100" s="370"/>
      <c r="B100" s="307" t="s">
        <v>35</v>
      </c>
      <c r="C100" s="308"/>
      <c r="D100" s="309" t="n">
        <f aca="false">SUM(D81:D99)</f>
        <v>120037.74</v>
      </c>
      <c r="E100" s="310"/>
      <c r="F100" s="311"/>
      <c r="G100" s="312"/>
      <c r="H100" s="291" t="n">
        <f aca="false">+SUM(H81:H96)</f>
        <v>79026.14</v>
      </c>
      <c r="I100" s="292"/>
    </row>
    <row r="101" customFormat="false" ht="21" hidden="false" customHeight="true" outlineLevel="0" collapsed="false">
      <c r="A101" s="327"/>
      <c r="B101" s="31"/>
      <c r="C101" s="32"/>
      <c r="D101" s="33"/>
      <c r="E101" s="34"/>
    </row>
    <row r="102" customFormat="false" ht="21" hidden="false" customHeight="true" outlineLevel="0" collapsed="false">
      <c r="A102" s="327" t="s">
        <v>388</v>
      </c>
      <c r="B102" s="31"/>
      <c r="C102" s="32"/>
      <c r="D102" s="328" t="n">
        <f aca="false">+SUM(D100+D80+D36)</f>
        <v>221148.14</v>
      </c>
    </row>
  </sheetData>
  <mergeCells count="7">
    <mergeCell ref="A2:A36"/>
    <mergeCell ref="K3:L3"/>
    <mergeCell ref="K4:L4"/>
    <mergeCell ref="K7:L7"/>
    <mergeCell ref="K10:M10"/>
    <mergeCell ref="A37:A80"/>
    <mergeCell ref="A81:A100"/>
  </mergeCells>
  <conditionalFormatting sqref="B50:G51 F94:G95 B64:G64 I56:I57 B70:I70 B67:G67 B80:G93 B56:G57 B59:G59 I59 G41 B41:E41 I41 F41:F46 B94:D95 I2:I4 G2:G12 B2:F17 B98:G100 I81:I100 H81:H99 H37:H69 B97:D97 F97:G97 G96 I6:I20 D22:G34 H2:H35 B21:C35 I22:I34">
    <cfRule type="expression" priority="2" aboveAverage="0" equalAverage="0" bottom="0" percent="0" rank="0" text="" dxfId="472">
      <formula>MOD(ROW(),2)=1</formula>
    </cfRule>
  </conditionalFormatting>
  <conditionalFormatting sqref="G2:G5">
    <cfRule type="timePeriod" priority="3" timePeriod="yesterday" dxfId="473"/>
    <cfRule type="timePeriod" priority="4" timePeriod="today" dxfId="474"/>
    <cfRule type="cellIs" priority="5" operator="lessThan" aboveAverage="0" equalAverage="0" bottom="0" percent="0" rank="0" text="" dxfId="475">
      <formula>_xludf.today()</formula>
    </cfRule>
  </conditionalFormatting>
  <conditionalFormatting sqref="F50:G51 F64:G64 F56:G57 F70:G70 F67:G67 F59:G59 G41 F41:F46 F2:F10 G2:G12 F80:G95 F97:G100 G96 F22:G34">
    <cfRule type="cellIs" priority="6" operator="lessThan" aboveAverage="0" equalAverage="0" bottom="0" percent="0" rank="0" text="" dxfId="476">
      <formula>TODAY()</formula>
    </cfRule>
    <cfRule type="timePeriod" priority="7" timePeriod="last7Days" dxfId="477"/>
    <cfRule type="timePeriod" priority="8" timePeriod="yesterday" dxfId="478"/>
    <cfRule type="timePeriod" priority="9" timePeriod="lastMonth" dxfId="479"/>
    <cfRule type="timePeriod" priority="10" timePeriod="yesterday" dxfId="480"/>
    <cfRule type="timePeriod" priority="11" timePeriod="today" dxfId="481"/>
  </conditionalFormatting>
  <conditionalFormatting sqref="G6">
    <cfRule type="timePeriod" priority="12" timePeriod="yesterday" dxfId="482"/>
    <cfRule type="timePeriod" priority="13" timePeriod="today" dxfId="483"/>
    <cfRule type="cellIs" priority="14" operator="lessThan" aboveAverage="0" equalAverage="0" bottom="0" percent="0" rank="0" text="" dxfId="484">
      <formula>_xludf.today()</formula>
    </cfRule>
  </conditionalFormatting>
  <conditionalFormatting sqref="G7">
    <cfRule type="timePeriod" priority="15" timePeriod="yesterday" dxfId="485"/>
    <cfRule type="timePeriod" priority="16" timePeriod="today" dxfId="486"/>
    <cfRule type="cellIs" priority="17" operator="lessThan" aboveAverage="0" equalAverage="0" bottom="0" percent="0" rank="0" text="" dxfId="487">
      <formula>_xludf.today()</formula>
    </cfRule>
  </conditionalFormatting>
  <conditionalFormatting sqref="G13:G17">
    <cfRule type="expression" priority="18" aboveAverage="0" equalAverage="0" bottom="0" percent="0" rank="0" text="" dxfId="488">
      <formula>MOD(ROW(),2)=1</formula>
    </cfRule>
  </conditionalFormatting>
  <conditionalFormatting sqref="G13:G17">
    <cfRule type="cellIs" priority="19" operator="lessThan" aboveAverage="0" equalAverage="0" bottom="0" percent="0" rank="0" text="" dxfId="489">
      <formula>TODAY()</formula>
    </cfRule>
    <cfRule type="timePeriod" priority="20" timePeriod="last7Days" dxfId="490"/>
    <cfRule type="timePeriod" priority="21" timePeriod="yesterday" dxfId="491"/>
    <cfRule type="timePeriod" priority="22" timePeriod="lastMonth" dxfId="492"/>
    <cfRule type="timePeriod" priority="23" timePeriod="yesterday" dxfId="493"/>
    <cfRule type="timePeriod" priority="24" timePeriod="today" dxfId="494"/>
  </conditionalFormatting>
  <conditionalFormatting sqref="B18:G20 D21:G21">
    <cfRule type="expression" priority="25" aboveAverage="0" equalAverage="0" bottom="0" percent="0" rank="0" text="" dxfId="495">
      <formula>MOD(ROW(),2)=1</formula>
    </cfRule>
  </conditionalFormatting>
  <conditionalFormatting sqref="F18:G21">
    <cfRule type="cellIs" priority="26" operator="lessThan" aboveAverage="0" equalAverage="0" bottom="0" percent="0" rank="0" text="" dxfId="496">
      <formula>TODAY()</formula>
    </cfRule>
    <cfRule type="timePeriod" priority="27" timePeriod="last7Days" dxfId="497"/>
    <cfRule type="timePeriod" priority="28" timePeriod="yesterday" dxfId="498"/>
    <cfRule type="timePeriod" priority="29" timePeriod="lastMonth" dxfId="499"/>
    <cfRule type="timePeriod" priority="30" timePeriod="yesterday" dxfId="500"/>
    <cfRule type="timePeriod" priority="31" timePeriod="today" dxfId="501"/>
  </conditionalFormatting>
  <conditionalFormatting sqref="I80">
    <cfRule type="expression" priority="32" aboveAverage="0" equalAverage="0" bottom="0" percent="0" rank="0" text="" dxfId="502">
      <formula>MOD(ROW(),2)=1</formula>
    </cfRule>
  </conditionalFormatting>
  <conditionalFormatting sqref="I80">
    <cfRule type="expression" priority="34" aboveAverage="0" equalAverage="0" bottom="0" percent="0" rank="0" text="" dxfId="503">
      <formula>MOD(ROW(),2)=1</formula>
    </cfRule>
  </conditionalFormatting>
  <conditionalFormatting sqref="H80">
    <cfRule type="expression" priority="35" aboveAverage="0" equalAverage="0" bottom="0" percent="0" rank="0" text="" dxfId="504">
      <formula>MOD(ROW(),2)=1</formula>
    </cfRule>
  </conditionalFormatting>
  <conditionalFormatting sqref="H100">
    <cfRule type="expression" priority="36" aboveAverage="0" equalAverage="0" bottom="0" percent="0" rank="0" text="" dxfId="505">
      <formula>MOD(ROW(),2)=1</formula>
    </cfRule>
  </conditionalFormatting>
  <conditionalFormatting sqref="I21">
    <cfRule type="expression" priority="37" aboveAverage="0" equalAverage="0" bottom="0" percent="0" rank="0" text="" dxfId="506">
      <formula>MOD(ROW(),2)=1</formula>
    </cfRule>
  </conditionalFormatting>
  <conditionalFormatting sqref="I5">
    <cfRule type="expression" priority="39" aboveAverage="0" equalAverage="0" bottom="0" percent="0" rank="0" text="" dxfId="507">
      <formula>MOD(ROW(),2)=1</formula>
    </cfRule>
  </conditionalFormatting>
  <conditionalFormatting sqref="D35:G35">
    <cfRule type="expression" priority="41" aboveAverage="0" equalAverage="0" bottom="0" percent="0" rank="0" text="" dxfId="508">
      <formula>MOD(ROW(),2)=1</formula>
    </cfRule>
  </conditionalFormatting>
  <conditionalFormatting sqref="F35:G35">
    <cfRule type="cellIs" priority="42" operator="lessThan" aboveAverage="0" equalAverage="0" bottom="0" percent="0" rank="0" text="" dxfId="509">
      <formula>TODAY()</formula>
    </cfRule>
    <cfRule type="timePeriod" priority="43" timePeriod="last7Days" dxfId="510"/>
    <cfRule type="timePeriod" priority="44" timePeriod="yesterday" dxfId="511"/>
    <cfRule type="timePeriod" priority="45" timePeriod="lastMonth" dxfId="512"/>
    <cfRule type="timePeriod" priority="46" timePeriod="yesterday" dxfId="513"/>
    <cfRule type="timePeriod" priority="47" timePeriod="today" dxfId="514"/>
  </conditionalFormatting>
  <conditionalFormatting sqref="I35">
    <cfRule type="expression" priority="48" aboveAverage="0" equalAverage="0" bottom="0" percent="0" rank="0" text="" dxfId="515">
      <formula>MOD(ROW(),2)=1</formula>
    </cfRule>
  </conditionalFormatting>
  <conditionalFormatting sqref="D37:G38 D44:E45 D48:G49 D52:G54 D62:G63 D65:G66 D68:G68 D69:E69 G69 G44:G45">
    <cfRule type="expression" priority="50" aboveAverage="0" equalAverage="0" bottom="0" percent="0" rank="0" text="" dxfId="516">
      <formula>MOD(ROW(),2)=1</formula>
    </cfRule>
  </conditionalFormatting>
  <conditionalFormatting sqref="F37:G38 G44:G45 F48:G49 F52:G54 F62:G63 F65:G66 F68:G68 G69">
    <cfRule type="cellIs" priority="51" operator="lessThan" aboveAverage="0" equalAverage="0" bottom="0" percent="0" rank="0" text="" dxfId="517">
      <formula>TODAY()</formula>
    </cfRule>
    <cfRule type="timePeriod" priority="52" timePeriod="last7Days" dxfId="518"/>
    <cfRule type="timePeriod" priority="53" timePeriod="yesterday" dxfId="519"/>
    <cfRule type="timePeriod" priority="54" timePeriod="lastMonth" dxfId="520"/>
    <cfRule type="timePeriod" priority="55" timePeriod="yesterday" dxfId="521"/>
    <cfRule type="timePeriod" priority="56" timePeriod="today" dxfId="522"/>
  </conditionalFormatting>
  <conditionalFormatting sqref="B39:G40 B42:E43 B47:G47 B55:G55 B60:G61 B37:C38 B44:C45 B48:C49 B52:C54 B62:C63 B65:C66 B68:C69 B46:E46 G46 G42:G43">
    <cfRule type="expression" priority="57" aboveAverage="0" equalAverage="0" bottom="0" percent="0" rank="0" text="" dxfId="523">
      <formula>MOD(ROW(),2)=1</formula>
    </cfRule>
  </conditionalFormatting>
  <conditionalFormatting sqref="F39:G40 G42:G43 F47:G47 F55:G55 F60:G61 G46">
    <cfRule type="cellIs" priority="58" operator="lessThan" aboveAverage="0" equalAverage="0" bottom="0" percent="0" rank="0" text="" dxfId="524">
      <formula>TODAY()</formula>
    </cfRule>
    <cfRule type="timePeriod" priority="59" timePeriod="last7Days" dxfId="525"/>
    <cfRule type="timePeriod" priority="60" timePeriod="yesterday" dxfId="526"/>
    <cfRule type="timePeriod" priority="61" timePeriod="lastMonth" dxfId="527"/>
    <cfRule type="timePeriod" priority="62" timePeriod="yesterday" dxfId="528"/>
    <cfRule type="timePeriod" priority="63" timePeriod="today" dxfId="529"/>
  </conditionalFormatting>
  <conditionalFormatting sqref="I39 I42 I46 I50 I55 I60">
    <cfRule type="expression" priority="64" aboveAverage="0" equalAverage="0" bottom="0" percent="0" rank="0" text="" dxfId="530">
      <formula>MOD(ROW(),2)=1</formula>
    </cfRule>
  </conditionalFormatting>
  <conditionalFormatting sqref="I40 I43 I47 I51 I61 I64 I67">
    <cfRule type="expression" priority="65" aboveAverage="0" equalAverage="0" bottom="0" percent="0" rank="0" text="" dxfId="531">
      <formula>MOD(ROW(),2)=1</formula>
    </cfRule>
  </conditionalFormatting>
  <conditionalFormatting sqref="I37:I38 I44:I45 I48:I49 I52:I54 I62:I63 I65:I66 I68:I69">
    <cfRule type="expression" priority="66" aboveAverage="0" equalAverage="0" bottom="0" percent="0" rank="0" text="" dxfId="532">
      <formula>MOD(ROW(),2)=1</formula>
    </cfRule>
  </conditionalFormatting>
  <conditionalFormatting sqref="E94:E95 E97">
    <cfRule type="expression" priority="67" aboveAverage="0" equalAverage="0" bottom="0" percent="0" rank="0" text="" dxfId="533">
      <formula>MOD(ROW(),2)=1</formula>
    </cfRule>
  </conditionalFormatting>
  <conditionalFormatting sqref="F69">
    <cfRule type="expression" priority="68" aboveAverage="0" equalAverage="0" bottom="0" percent="0" rank="0" text="" dxfId="534">
      <formula>MOD(ROW(),2)=1</formula>
    </cfRule>
  </conditionalFormatting>
  <conditionalFormatting sqref="F69">
    <cfRule type="cellIs" priority="69" operator="lessThan" aboveAverage="0" equalAverage="0" bottom="0" percent="0" rank="0" text="" dxfId="535">
      <formula>TODAY()</formula>
    </cfRule>
    <cfRule type="timePeriod" priority="70" timePeriod="last7Days" dxfId="536"/>
    <cfRule type="timePeriod" priority="71" timePeriod="yesterday" dxfId="537"/>
    <cfRule type="timePeriod" priority="72" timePeriod="lastMonth" dxfId="538"/>
    <cfRule type="timePeriod" priority="73" timePeriod="yesterday" dxfId="539"/>
    <cfRule type="timePeriod" priority="74" timePeriod="today" dxfId="540"/>
  </conditionalFormatting>
  <conditionalFormatting sqref="B36:G36">
    <cfRule type="expression" priority="75" aboveAverage="0" equalAverage="0" bottom="0" percent="0" rank="0" text="" dxfId="541">
      <formula>MOD(ROW(),2)=1</formula>
    </cfRule>
  </conditionalFormatting>
  <conditionalFormatting sqref="F36:G36">
    <cfRule type="cellIs" priority="76" operator="lessThan" aboveAverage="0" equalAverage="0" bottom="0" percent="0" rank="0" text="" dxfId="542">
      <formula>TODAY()</formula>
    </cfRule>
    <cfRule type="timePeriod" priority="77" timePeriod="last7Days" dxfId="543"/>
    <cfRule type="timePeriod" priority="78" timePeriod="yesterday" dxfId="544"/>
    <cfRule type="timePeriod" priority="79" timePeriod="lastMonth" dxfId="545"/>
    <cfRule type="timePeriod" priority="80" timePeriod="yesterday" dxfId="546"/>
    <cfRule type="timePeriod" priority="81" timePeriod="today" dxfId="547"/>
  </conditionalFormatting>
  <conditionalFormatting sqref="I36">
    <cfRule type="expression" priority="82" aboveAverage="0" equalAverage="0" bottom="0" percent="0" rank="0" text="" dxfId="548">
      <formula>MOD(ROW(),2)=1</formula>
    </cfRule>
  </conditionalFormatting>
  <conditionalFormatting sqref="I36">
    <cfRule type="expression" priority="84" aboveAverage="0" equalAverage="0" bottom="0" percent="0" rank="0" text="" dxfId="549">
      <formula>MOD(ROW(),2)=1</formula>
    </cfRule>
  </conditionalFormatting>
  <conditionalFormatting sqref="H36">
    <cfRule type="expression" priority="85" aboveAverage="0" equalAverage="0" bottom="0" percent="0" rank="0" text="" dxfId="550">
      <formula>MOD(ROW(),2)=1</formula>
    </cfRule>
  </conditionalFormatting>
  <conditionalFormatting sqref="F2:F3">
    <cfRule type="timePeriod" priority="86" timePeriod="yesterday" dxfId="551"/>
    <cfRule type="timePeriod" priority="87" timePeriod="today" dxfId="552"/>
    <cfRule type="cellIs" priority="88" operator="lessThan" aboveAverage="0" equalAverage="0" bottom="0" percent="0" rank="0" text="" dxfId="553">
      <formula>_xludf.today()</formula>
    </cfRule>
  </conditionalFormatting>
  <conditionalFormatting sqref="F11:F17">
    <cfRule type="cellIs" priority="89" operator="lessThan" aboveAverage="0" equalAverage="0" bottom="0" percent="0" rank="0" text="" dxfId="554">
      <formula>TODAY()</formula>
    </cfRule>
    <cfRule type="timePeriod" priority="90" timePeriod="last7Days" dxfId="555"/>
    <cfRule type="timePeriod" priority="91" timePeriod="yesterday" dxfId="556"/>
    <cfRule type="timePeriod" priority="92" timePeriod="lastMonth" dxfId="557"/>
    <cfRule type="timePeriod" priority="93" timePeriod="yesterday" dxfId="558"/>
    <cfRule type="timePeriod" priority="94" timePeriod="today" dxfId="559"/>
  </conditionalFormatting>
  <conditionalFormatting sqref="F31:F32">
    <cfRule type="expression" priority="95" aboveAverage="0" equalAverage="0" bottom="0" percent="0" rank="0" text="" dxfId="560">
      <formula>MOD(ROW(),2)=1</formula>
    </cfRule>
  </conditionalFormatting>
  <conditionalFormatting sqref="F31:F32">
    <cfRule type="cellIs" priority="96" operator="lessThan" aboveAverage="0" equalAverage="0" bottom="0" percent="0" rank="0" text="" dxfId="561">
      <formula>TODAY()</formula>
    </cfRule>
    <cfRule type="timePeriod" priority="97" timePeriod="last7Days" dxfId="562"/>
    <cfRule type="timePeriod" priority="98" timePeriod="yesterday" dxfId="563"/>
    <cfRule type="timePeriod" priority="99" timePeriod="lastMonth" dxfId="564"/>
    <cfRule type="timePeriod" priority="100" timePeriod="yesterday" dxfId="565"/>
    <cfRule type="timePeriod" priority="101" timePeriod="today" dxfId="566"/>
  </conditionalFormatting>
  <conditionalFormatting sqref="B31:F32">
    <cfRule type="expression" priority="102" aboveAverage="0" equalAverage="0" bottom="0" percent="0" rank="0" text="" dxfId="567">
      <formula>MOD(ROW(),2)=1</formula>
    </cfRule>
  </conditionalFormatting>
  <conditionalFormatting sqref="F31:F32">
    <cfRule type="cellIs" priority="103" operator="lessThan" aboveAverage="0" equalAverage="0" bottom="0" percent="0" rank="0" text="" dxfId="568">
      <formula>TODAY()</formula>
    </cfRule>
    <cfRule type="timePeriod" priority="104" timePeriod="last7Days" dxfId="569"/>
    <cfRule type="timePeriod" priority="105" timePeriod="yesterday" dxfId="570"/>
    <cfRule type="timePeriod" priority="106" timePeriod="lastMonth" dxfId="571"/>
    <cfRule type="timePeriod" priority="107" timePeriod="yesterday" dxfId="572"/>
    <cfRule type="timePeriod" priority="108" timePeriod="today" dxfId="573"/>
  </conditionalFormatting>
  <conditionalFormatting sqref="B31:B32">
    <cfRule type="expression" priority="109" aboveAverage="0" equalAverage="0" bottom="0" percent="0" rank="0" text="" dxfId="574">
      <formula>MOD(ROW(),2)=1</formula>
    </cfRule>
  </conditionalFormatting>
  <conditionalFormatting sqref="H79 B71:I71 B75:G78 I75:I78">
    <cfRule type="expression" priority="110" aboveAverage="0" equalAverage="0" bottom="0" percent="0" rank="0" text="" dxfId="575">
      <formula>MOD(ROW(),2)=1</formula>
    </cfRule>
  </conditionalFormatting>
  <conditionalFormatting sqref="F71:G71 F75:G78">
    <cfRule type="cellIs" priority="111" operator="lessThan" aboveAverage="0" equalAverage="0" bottom="0" percent="0" rank="0" text="" dxfId="576">
      <formula>TODAY()</formula>
    </cfRule>
    <cfRule type="timePeriod" priority="112" timePeriod="last7Days" dxfId="577"/>
    <cfRule type="timePeriod" priority="113" timePeriod="yesterday" dxfId="578"/>
    <cfRule type="timePeriod" priority="114" timePeriod="lastMonth" dxfId="579"/>
    <cfRule type="timePeriod" priority="115" timePeriod="yesterday" dxfId="580"/>
    <cfRule type="timePeriod" priority="116" timePeriod="today" dxfId="581"/>
  </conditionalFormatting>
  <conditionalFormatting sqref="B79:G79">
    <cfRule type="expression" priority="117" aboveAverage="0" equalAverage="0" bottom="0" percent="0" rank="0" text="" dxfId="582">
      <formula>MOD(ROW(),2)=1</formula>
    </cfRule>
  </conditionalFormatting>
  <conditionalFormatting sqref="F79:G79">
    <cfRule type="cellIs" priority="118" operator="lessThan" aboveAverage="0" equalAverage="0" bottom="0" percent="0" rank="0" text="" dxfId="583">
      <formula>TODAY()</formula>
    </cfRule>
    <cfRule type="timePeriod" priority="119" timePeriod="last7Days" dxfId="584"/>
    <cfRule type="timePeriod" priority="120" timePeriod="yesterday" dxfId="585"/>
    <cfRule type="timePeriod" priority="121" timePeriod="lastMonth" dxfId="586"/>
    <cfRule type="timePeriod" priority="122" timePeriod="yesterday" dxfId="587"/>
    <cfRule type="timePeriod" priority="123" timePeriod="today" dxfId="588"/>
  </conditionalFormatting>
  <conditionalFormatting sqref="I79">
    <cfRule type="expression" priority="124" aboveAverage="0" equalAverage="0" bottom="0" percent="0" rank="0" text="" dxfId="589">
      <formula>MOD(ROW(),2)=1</formula>
    </cfRule>
  </conditionalFormatting>
  <conditionalFormatting sqref="B57:G57 I57">
    <cfRule type="expression" priority="126" aboveAverage="0" equalAverage="0" bottom="0" percent="0" rank="0" text="" dxfId="590">
      <formula>MOD(ROW(),2)=1</formula>
    </cfRule>
  </conditionalFormatting>
  <conditionalFormatting sqref="F57:G57">
    <cfRule type="cellIs" priority="127" operator="lessThan" aboveAverage="0" equalAverage="0" bottom="0" percent="0" rank="0" text="" dxfId="591">
      <formula>TODAY()</formula>
    </cfRule>
    <cfRule type="timePeriod" priority="128" timePeriod="last7Days" dxfId="592"/>
    <cfRule type="timePeriod" priority="129" timePeriod="yesterday" dxfId="593"/>
    <cfRule type="timePeriod" priority="130" timePeriod="lastMonth" dxfId="594"/>
    <cfRule type="timePeriod" priority="131" timePeriod="yesterday" dxfId="595"/>
    <cfRule type="timePeriod" priority="132" timePeriod="today" dxfId="596"/>
  </conditionalFormatting>
  <conditionalFormatting sqref="F57:G57">
    <cfRule type="timePeriod" priority="133" timePeriod="yesterday" dxfId="597"/>
    <cfRule type="timePeriod" priority="134" timePeriod="today" dxfId="598"/>
    <cfRule type="cellIs" priority="135" operator="lessThan" aboveAverage="0" equalAverage="0" bottom="0" percent="0" rank="0" text="" dxfId="599">
      <formula>_xludf.today()</formula>
    </cfRule>
  </conditionalFormatting>
  <conditionalFormatting sqref="B58:G58 I58">
    <cfRule type="expression" priority="136" aboveAverage="0" equalAverage="0" bottom="0" percent="0" rank="0" text="" dxfId="600">
      <formula>MOD(ROW(),2)=1</formula>
    </cfRule>
  </conditionalFormatting>
  <conditionalFormatting sqref="F58:G58">
    <cfRule type="cellIs" priority="137" operator="lessThan" aboveAverage="0" equalAverage="0" bottom="0" percent="0" rank="0" text="" dxfId="601">
      <formula>TODAY()</formula>
    </cfRule>
    <cfRule type="timePeriod" priority="138" timePeriod="last7Days" dxfId="602"/>
    <cfRule type="timePeriod" priority="139" timePeriod="yesterday" dxfId="603"/>
    <cfRule type="timePeriod" priority="140" timePeriod="lastMonth" dxfId="604"/>
    <cfRule type="timePeriod" priority="141" timePeriod="yesterday" dxfId="605"/>
    <cfRule type="timePeriod" priority="142" timePeriod="today" dxfId="606"/>
  </conditionalFormatting>
  <conditionalFormatting sqref="H72:H78">
    <cfRule type="expression" priority="143" aboveAverage="0" equalAverage="0" bottom="0" percent="0" rank="0" text="" dxfId="607">
      <formula>MOD(ROW(),2)=1</formula>
    </cfRule>
  </conditionalFormatting>
  <conditionalFormatting sqref="B72:C74">
    <cfRule type="expression" priority="144" aboveAverage="0" equalAverage="0" bottom="0" percent="0" rank="0" text="" dxfId="608">
      <formula>MOD(ROW(),2)=1</formula>
    </cfRule>
  </conditionalFormatting>
  <conditionalFormatting sqref="D72:G74">
    <cfRule type="expression" priority="145" aboveAverage="0" equalAverage="0" bottom="0" percent="0" rank="0" text="" dxfId="609">
      <formula>MOD(ROW(),2)=1</formula>
    </cfRule>
  </conditionalFormatting>
  <conditionalFormatting sqref="F72:G74">
    <cfRule type="cellIs" priority="146" operator="lessThan" aboveAverage="0" equalAverage="0" bottom="0" percent="0" rank="0" text="" dxfId="610">
      <formula>TODAY()</formula>
    </cfRule>
    <cfRule type="timePeriod" priority="147" timePeriod="last7Days" dxfId="611"/>
    <cfRule type="timePeriod" priority="148" timePeriod="yesterday" dxfId="612"/>
    <cfRule type="timePeriod" priority="149" timePeriod="lastMonth" dxfId="613"/>
    <cfRule type="timePeriod" priority="150" timePeriod="yesterday" dxfId="614"/>
    <cfRule type="timePeriod" priority="151" timePeriod="today" dxfId="615"/>
  </conditionalFormatting>
  <conditionalFormatting sqref="I72:I74">
    <cfRule type="expression" priority="152" aboveAverage="0" equalAverage="0" bottom="0" percent="0" rank="0" text="" dxfId="616">
      <formula>MOD(ROW(),2)=1</formula>
    </cfRule>
  </conditionalFormatting>
  <conditionalFormatting sqref="B96:F96">
    <cfRule type="expression" priority="154" aboveAverage="0" equalAverage="0" bottom="0" percent="0" rank="0" text="" dxfId="617">
      <formula>MOD(ROW(),2)=1</formula>
    </cfRule>
  </conditionalFormatting>
  <conditionalFormatting sqref="F96">
    <cfRule type="cellIs" priority="155" operator="lessThan" aboveAverage="0" equalAverage="0" bottom="0" percent="0" rank="0" text="" dxfId="618">
      <formula>TODAY()</formula>
    </cfRule>
    <cfRule type="timePeriod" priority="156" timePeriod="last7Days" dxfId="619"/>
    <cfRule type="timePeriod" priority="157" timePeriod="yesterday" dxfId="620"/>
    <cfRule type="timePeriod" priority="158" timePeriod="lastMonth" dxfId="621"/>
    <cfRule type="timePeriod" priority="159" timePeriod="yesterday" dxfId="622"/>
    <cfRule type="timePeriod" priority="160" timePeriod="today" dxfId="623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87CF4348-4053-424C-8862-F5C94A3959D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</xm:sqref>
        </x14:conditionalFormatting>
        <x14:conditionalFormatting xmlns:xm="http://schemas.microsoft.com/office/excel/2006/main">
          <x14:cfRule type="iconSet" priority="38" id="{DBDA9DAF-1027-41B7-9744-D5F42067CD4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40" id="{7570EDD8-6600-4C31-B5E3-743D9E253A8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49" id="{006920EF-9049-4DBB-861B-94E05C4789F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83" id="{5EACF784-75CB-4487-9717-B0EC88EEAC4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125" id="{A0762A2F-2A70-4B26-A425-C4B92EC91A8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I79</xm:sqref>
        </x14:conditionalFormatting>
        <x14:conditionalFormatting xmlns:xm="http://schemas.microsoft.com/office/excel/2006/main">
          <x14:cfRule type="iconSet" priority="153" id="{3DD9BC2A-D589-4D9B-B9C4-B67ABC7B78E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I72:I74</xm:sqref>
        </x14:conditionalFormatting>
        <x14:conditionalFormatting xmlns:xm="http://schemas.microsoft.com/office/excel/2006/main">
          <x14:cfRule type="iconSet" priority="161" id="{28306E5B-FB7A-4B51-96CD-00B2CB44CF3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62" id="{9F3F1ED0-E8A5-44FB-BE63-F55ADA55E48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63" id="{C8257450-143E-4762-BB26-2163DCCB23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</xm:sqref>
        </x14:conditionalFormatting>
        <x14:conditionalFormatting xmlns:xm="http://schemas.microsoft.com/office/excel/2006/main">
          <x14:cfRule type="iconSet" priority="164" id="{CA6534B1-F41F-4B1B-A4B5-AA9195E9665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</xm:sqref>
        </x14:conditionalFormatting>
        <x14:conditionalFormatting xmlns:xm="http://schemas.microsoft.com/office/excel/2006/main">
          <x14:cfRule type="iconSet" priority="165" id="{EAECD465-D053-42C0-9A2E-2C3C9810A61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166" id="{238050CA-9C52-4210-86CF-11DBEFB0C3F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 I2:I4</xm:sqref>
        </x14:conditionalFormatting>
        <x14:conditionalFormatting xmlns:xm="http://schemas.microsoft.com/office/excel/2006/main">
          <x14:cfRule type="iconSet" priority="167" id="{B0604BE0-BA9D-4B74-8C89-273DF577D27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 I61 I40 I43 I47 I51 I64</xm:sqref>
        </x14:conditionalFormatting>
        <x14:conditionalFormatting xmlns:xm="http://schemas.microsoft.com/office/excel/2006/main">
          <x14:cfRule type="iconSet" priority="168" id="{5AEA8F20-8530-4F36-B12C-AF009BC18AB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A37</xm:sqref>
        </x14:conditionalFormatting>
        <x14:conditionalFormatting xmlns:xm="http://schemas.microsoft.com/office/excel/2006/main">
          <x14:cfRule type="iconSet" priority="169" id="{BCBBE5C6-AF58-4DE0-A85E-726B5D10721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</xm:sqref>
        </x14:conditionalFormatting>
        <x14:conditionalFormatting xmlns:xm="http://schemas.microsoft.com/office/excel/2006/main">
          <x14:cfRule type="iconSet" priority="170" id="{981233E1-F65A-4B4F-A333-21492781911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</xm:sqref>
        </x14:conditionalFormatting>
        <x14:conditionalFormatting xmlns:xm="http://schemas.microsoft.com/office/excel/2006/main">
          <x14:cfRule type="iconSet" priority="171" id="{8D5ABDA3-29B5-4856-A816-AB198EA1B1B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I68:I69 I62:I63 I37:I38 I41 I44:I45 I48:I49 I52:I54 I56 I59 I65:I66</xm:sqref>
        </x14:conditionalFormatting>
        <x14:conditionalFormatting xmlns:xm="http://schemas.microsoft.com/office/excel/2006/main">
          <x14:cfRule type="iconSet" priority="172" id="{A159525B-FCFF-42EB-A4BD-FDE3CEB360A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I81:I93</xm:sqref>
        </x14:conditionalFormatting>
        <x14:conditionalFormatting xmlns:xm="http://schemas.microsoft.com/office/excel/2006/main">
          <x14:cfRule type="iconSet" priority="173" id="{4C7DF84F-34CB-4D66-9926-F072D852747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I58</xm:sqref>
        </x14:conditionalFormatting>
        <x14:conditionalFormatting xmlns:xm="http://schemas.microsoft.com/office/excel/2006/main">
          <x14:cfRule type="iconSet" priority="174" id="{6C20606E-87A6-4224-A951-ACA3BD2FD04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I55 I39 I42 I46 I50 I60</xm:sqref>
        </x14:conditionalFormatting>
        <x14:conditionalFormatting xmlns:xm="http://schemas.microsoft.com/office/excel/2006/main">
          <x14:cfRule type="iconSet" priority="175" id="{9FEF38C9-E711-4D48-9BD5-AC4A5A8BD78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I94:I100</xm:sqref>
        </x14:conditionalFormatting>
        <x14:conditionalFormatting xmlns:xm="http://schemas.microsoft.com/office/excel/2006/main">
          <x14:cfRule type="iconSet" priority="176" id="{34B4AF34-FB4B-4117-AA1F-CD9E9A86BAD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I18:I20</xm:sqref>
        </x14:conditionalFormatting>
        <x14:conditionalFormatting xmlns:xm="http://schemas.microsoft.com/office/excel/2006/main">
          <x14:cfRule type="iconSet" priority="177" id="{43123FCE-4D56-451C-8764-4F959B3FFE7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I8:I17</xm:sqref>
        </x14:conditionalFormatting>
        <x14:conditionalFormatting xmlns:xm="http://schemas.microsoft.com/office/excel/2006/main">
          <x14:cfRule type="iconSet" priority="178" id="{6B135B50-4E5F-4D53-B186-D6B77A908BC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9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8" activePane="bottomLeft" state="frozen"/>
      <selection pane="topLeft" activeCell="A1" activeCellId="0" sqref="A1"/>
      <selection pane="bottomLeft" activeCell="B52" activeCellId="0" sqref="B52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32.71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337" t="s">
        <v>620</v>
      </c>
      <c r="C2" s="12" t="s">
        <v>792</v>
      </c>
      <c r="D2" s="264" t="n">
        <v>860.57</v>
      </c>
      <c r="E2" s="14" t="s">
        <v>253</v>
      </c>
      <c r="F2" s="15" t="n">
        <v>44732</v>
      </c>
      <c r="G2" s="16" t="n">
        <v>860.57</v>
      </c>
      <c r="H2" s="17" t="n">
        <f aca="false">D2-G2</f>
        <v>0</v>
      </c>
      <c r="I2" s="263"/>
    </row>
    <row r="3" customFormat="false" ht="18.6" hidden="false" customHeight="true" outlineLevel="0" collapsed="false">
      <c r="A3" s="261"/>
      <c r="B3" s="11" t="s">
        <v>273</v>
      </c>
      <c r="C3" s="12" t="s">
        <v>793</v>
      </c>
      <c r="D3" s="13" t="n">
        <v>541.94</v>
      </c>
      <c r="E3" s="14"/>
      <c r="F3" s="15" t="n">
        <v>44742</v>
      </c>
      <c r="G3" s="16"/>
      <c r="H3" s="17" t="n">
        <f aca="false">D3-G3</f>
        <v>541.94</v>
      </c>
      <c r="I3" s="263"/>
    </row>
    <row r="4" customFormat="false" ht="18.6" hidden="false" customHeight="true" outlineLevel="0" collapsed="false">
      <c r="A4" s="261"/>
      <c r="B4" s="11" t="s">
        <v>454</v>
      </c>
      <c r="C4" s="12" t="s">
        <v>794</v>
      </c>
      <c r="D4" s="264" t="n">
        <v>1102.9</v>
      </c>
      <c r="E4" s="14" t="s">
        <v>253</v>
      </c>
      <c r="F4" s="15" t="n">
        <v>44742</v>
      </c>
      <c r="G4" s="16" t="n">
        <v>1102.9</v>
      </c>
      <c r="H4" s="17" t="n">
        <f aca="false">D4-G4</f>
        <v>0</v>
      </c>
      <c r="I4" s="263"/>
      <c r="K4" s="18"/>
    </row>
    <row r="5" customFormat="false" ht="18.6" hidden="false" customHeight="true" outlineLevel="0" collapsed="false">
      <c r="A5" s="261"/>
      <c r="B5" s="11" t="s">
        <v>454</v>
      </c>
      <c r="C5" s="12" t="s">
        <v>795</v>
      </c>
      <c r="D5" s="264" t="n">
        <v>3576.1</v>
      </c>
      <c r="E5" s="14" t="s">
        <v>253</v>
      </c>
      <c r="F5" s="15" t="n">
        <v>44742</v>
      </c>
      <c r="G5" s="16" t="n">
        <v>3576.1</v>
      </c>
      <c r="H5" s="17" t="n">
        <f aca="false">D5-G5</f>
        <v>0</v>
      </c>
      <c r="I5" s="263"/>
      <c r="K5" s="19"/>
    </row>
    <row r="6" customFormat="false" ht="18.6" hidden="false" customHeight="true" outlineLevel="0" collapsed="false">
      <c r="A6" s="261"/>
      <c r="B6" s="11" t="s">
        <v>166</v>
      </c>
      <c r="C6" s="12" t="s">
        <v>796</v>
      </c>
      <c r="D6" s="264" t="n">
        <v>813.23</v>
      </c>
      <c r="E6" s="14"/>
      <c r="F6" s="15" t="n">
        <v>44742</v>
      </c>
      <c r="G6" s="16" t="n">
        <v>813.23</v>
      </c>
      <c r="H6" s="17" t="n">
        <f aca="false">D6-G6</f>
        <v>0</v>
      </c>
      <c r="I6" s="263"/>
      <c r="K6" s="19" t="s">
        <v>506</v>
      </c>
    </row>
    <row r="7" customFormat="false" ht="18.6" hidden="false" customHeight="true" outlineLevel="0" collapsed="false">
      <c r="A7" s="261"/>
      <c r="B7" s="11" t="s">
        <v>166</v>
      </c>
      <c r="C7" s="12" t="s">
        <v>797</v>
      </c>
      <c r="D7" s="264" t="n">
        <v>4589.64</v>
      </c>
      <c r="E7" s="14"/>
      <c r="F7" s="15" t="n">
        <v>44742</v>
      </c>
      <c r="G7" s="16" t="n">
        <v>4589.64</v>
      </c>
      <c r="H7" s="17" t="n">
        <f aca="false">D7-G7</f>
        <v>0</v>
      </c>
      <c r="I7" s="263"/>
      <c r="K7" s="19"/>
    </row>
    <row r="8" customFormat="false" ht="18.6" hidden="false" customHeight="true" outlineLevel="0" collapsed="false">
      <c r="A8" s="261"/>
      <c r="B8" s="11" t="s">
        <v>284</v>
      </c>
      <c r="C8" s="12" t="s">
        <v>798</v>
      </c>
      <c r="D8" s="264" t="n">
        <v>6977.2</v>
      </c>
      <c r="E8" s="14" t="s">
        <v>625</v>
      </c>
      <c r="F8" s="15" t="n">
        <v>44742</v>
      </c>
      <c r="G8" s="16" t="n">
        <v>6977.2</v>
      </c>
      <c r="H8" s="17" t="n">
        <f aca="false">D8-G8</f>
        <v>0</v>
      </c>
      <c r="I8" s="263"/>
      <c r="K8" s="19"/>
    </row>
    <row r="9" customFormat="false" ht="18.6" hidden="false" customHeight="true" outlineLevel="0" collapsed="false">
      <c r="A9" s="261"/>
      <c r="B9" s="11" t="s">
        <v>284</v>
      </c>
      <c r="C9" s="12" t="s">
        <v>799</v>
      </c>
      <c r="D9" s="264" t="n">
        <v>3734.64</v>
      </c>
      <c r="E9" s="14" t="s">
        <v>800</v>
      </c>
      <c r="F9" s="15" t="n">
        <v>44742</v>
      </c>
      <c r="G9" s="16" t="n">
        <v>3734.64</v>
      </c>
      <c r="H9" s="17" t="n">
        <f aca="false">D9-G9</f>
        <v>0</v>
      </c>
      <c r="I9" s="263"/>
      <c r="K9" s="20" t="n">
        <f aca="false">D97</f>
        <v>124201.26</v>
      </c>
      <c r="L9" s="20"/>
    </row>
    <row r="10" customFormat="false" ht="18.6" hidden="false" customHeight="true" outlineLevel="0" collapsed="false">
      <c r="A10" s="261"/>
      <c r="B10" s="11" t="s">
        <v>801</v>
      </c>
      <c r="C10" s="12" t="s">
        <v>802</v>
      </c>
      <c r="D10" s="264" t="n">
        <v>276.74</v>
      </c>
      <c r="E10" s="14" t="s">
        <v>430</v>
      </c>
      <c r="F10" s="15" t="n">
        <v>44742</v>
      </c>
      <c r="G10" s="16" t="n">
        <v>276.74</v>
      </c>
      <c r="H10" s="17" t="n">
        <f aca="false">D10-G10</f>
        <v>0</v>
      </c>
      <c r="I10" s="263"/>
      <c r="K10" s="19"/>
    </row>
    <row r="11" customFormat="false" ht="18.6" hidden="false" customHeight="true" outlineLevel="0" collapsed="false">
      <c r="A11" s="261"/>
      <c r="B11" s="446" t="s">
        <v>801</v>
      </c>
      <c r="C11" s="447" t="s">
        <v>803</v>
      </c>
      <c r="D11" s="448" t="n">
        <v>1024.53</v>
      </c>
      <c r="E11" s="449"/>
      <c r="F11" s="450" t="n">
        <v>44742</v>
      </c>
      <c r="G11" s="451"/>
      <c r="H11" s="452" t="n">
        <f aca="false">D11-G11</f>
        <v>1024.53</v>
      </c>
      <c r="I11" s="453"/>
      <c r="K11" s="20" t="n">
        <f aca="false">D32</f>
        <v>63016.28</v>
      </c>
      <c r="L11" s="20"/>
    </row>
    <row r="12" customFormat="false" ht="18.6" hidden="false" customHeight="true" outlineLevel="0" collapsed="false">
      <c r="A12" s="261"/>
      <c r="B12" s="11" t="s">
        <v>801</v>
      </c>
      <c r="C12" s="12" t="s">
        <v>804</v>
      </c>
      <c r="D12" s="264" t="n">
        <v>569.72</v>
      </c>
      <c r="E12" s="14" t="s">
        <v>253</v>
      </c>
      <c r="F12" s="15" t="n">
        <v>44742</v>
      </c>
      <c r="G12" s="16" t="n">
        <v>569.72</v>
      </c>
      <c r="H12" s="17" t="n">
        <f aca="false">D12-G12</f>
        <v>0</v>
      </c>
      <c r="I12" s="265"/>
    </row>
    <row r="13" customFormat="false" ht="18.6" hidden="false" customHeight="true" outlineLevel="0" collapsed="false">
      <c r="A13" s="261"/>
      <c r="B13" s="11" t="s">
        <v>801</v>
      </c>
      <c r="C13" s="12" t="s">
        <v>805</v>
      </c>
      <c r="D13" s="264" t="n">
        <v>1250.2</v>
      </c>
      <c r="E13" s="432"/>
      <c r="F13" s="15" t="n">
        <v>44742</v>
      </c>
      <c r="G13" s="16" t="n">
        <v>1250.2</v>
      </c>
      <c r="H13" s="17" t="n">
        <f aca="false">D13-G13</f>
        <v>0</v>
      </c>
      <c r="I13" s="265"/>
      <c r="K13" s="19" t="s">
        <v>517</v>
      </c>
    </row>
    <row r="14" customFormat="false" ht="18.6" hidden="false" customHeight="true" outlineLevel="0" collapsed="false">
      <c r="A14" s="261"/>
      <c r="B14" s="11" t="s">
        <v>801</v>
      </c>
      <c r="C14" s="12" t="s">
        <v>806</v>
      </c>
      <c r="D14" s="264" t="n">
        <v>237.18</v>
      </c>
      <c r="E14" s="14"/>
      <c r="F14" s="15" t="n">
        <v>44742</v>
      </c>
      <c r="G14" s="16" t="n">
        <v>237.18</v>
      </c>
      <c r="H14" s="17" t="n">
        <f aca="false">D14-G14</f>
        <v>0</v>
      </c>
      <c r="I14" s="265"/>
      <c r="K14" s="20" t="n">
        <f aca="false">+D97</f>
        <v>124201.26</v>
      </c>
      <c r="L14" s="20"/>
    </row>
    <row r="15" customFormat="false" ht="18.6" hidden="false" customHeight="true" outlineLevel="0" collapsed="false">
      <c r="A15" s="261"/>
      <c r="B15" s="11" t="s">
        <v>291</v>
      </c>
      <c r="C15" s="12" t="s">
        <v>807</v>
      </c>
      <c r="D15" s="264" t="n">
        <v>453.6</v>
      </c>
      <c r="E15" s="14"/>
      <c r="F15" s="15" t="n">
        <v>44742</v>
      </c>
      <c r="G15" s="266" t="n">
        <v>453.6</v>
      </c>
      <c r="H15" s="17" t="n">
        <f aca="false">D15-G15</f>
        <v>0</v>
      </c>
      <c r="I15" s="265"/>
    </row>
    <row r="16" customFormat="false" ht="18.6" hidden="false" customHeight="true" outlineLevel="0" collapsed="false">
      <c r="A16" s="261"/>
      <c r="B16" s="11" t="s">
        <v>291</v>
      </c>
      <c r="C16" s="12" t="s">
        <v>808</v>
      </c>
      <c r="D16" s="264" t="n">
        <v>70.8</v>
      </c>
      <c r="E16" s="14" t="s">
        <v>809</v>
      </c>
      <c r="F16" s="15" t="n">
        <v>44742</v>
      </c>
      <c r="G16" s="266" t="n">
        <v>70.8</v>
      </c>
      <c r="H16" s="17" t="n">
        <f aca="false">D16-G16</f>
        <v>0</v>
      </c>
      <c r="I16" s="265"/>
      <c r="K16" s="19" t="s">
        <v>521</v>
      </c>
    </row>
    <row r="17" customFormat="false" ht="18.6" hidden="false" customHeight="true" outlineLevel="0" collapsed="false">
      <c r="A17" s="261"/>
      <c r="B17" s="11" t="s">
        <v>291</v>
      </c>
      <c r="C17" s="12" t="s">
        <v>810</v>
      </c>
      <c r="D17" s="264" t="n">
        <v>6966.44</v>
      </c>
      <c r="E17" s="14" t="s">
        <v>263</v>
      </c>
      <c r="F17" s="267" t="n">
        <v>44742</v>
      </c>
      <c r="G17" s="266" t="n">
        <v>6966.44</v>
      </c>
      <c r="H17" s="17" t="n">
        <f aca="false">D17-G17</f>
        <v>0</v>
      </c>
      <c r="I17" s="265"/>
      <c r="K17" s="21" t="n">
        <f aca="false">K11+K9</f>
        <v>187217.54</v>
      </c>
      <c r="L17" s="21"/>
      <c r="M17" s="21"/>
    </row>
    <row r="18" customFormat="false" ht="18.6" hidden="false" customHeight="true" outlineLevel="0" collapsed="false">
      <c r="A18" s="261"/>
      <c r="B18" s="11" t="s">
        <v>291</v>
      </c>
      <c r="C18" s="12" t="s">
        <v>811</v>
      </c>
      <c r="D18" s="264" t="n">
        <v>1933.7</v>
      </c>
      <c r="E18" s="14" t="s">
        <v>812</v>
      </c>
      <c r="F18" s="267" t="n">
        <v>44742</v>
      </c>
      <c r="G18" s="266" t="n">
        <v>1933.7</v>
      </c>
      <c r="H18" s="17" t="n">
        <f aca="false">D18-G18</f>
        <v>0</v>
      </c>
      <c r="I18" s="265"/>
    </row>
    <row r="19" customFormat="false" ht="18.6" hidden="false" customHeight="true" outlineLevel="0" collapsed="false">
      <c r="A19" s="261"/>
      <c r="B19" s="11" t="s">
        <v>291</v>
      </c>
      <c r="C19" s="12" t="s">
        <v>813</v>
      </c>
      <c r="D19" s="264" t="n">
        <v>4256.03</v>
      </c>
      <c r="E19" s="14" t="s">
        <v>800</v>
      </c>
      <c r="F19" s="15" t="n">
        <v>44742</v>
      </c>
      <c r="G19" s="266" t="n">
        <v>4256.03</v>
      </c>
      <c r="H19" s="17" t="n">
        <f aca="false">D19-G19</f>
        <v>0</v>
      </c>
      <c r="I19" s="265"/>
    </row>
    <row r="20" customFormat="false" ht="18.6" hidden="false" customHeight="true" outlineLevel="0" collapsed="false">
      <c r="A20" s="261"/>
      <c r="B20" s="11" t="s">
        <v>291</v>
      </c>
      <c r="C20" s="12" t="s">
        <v>814</v>
      </c>
      <c r="D20" s="264" t="n">
        <v>546</v>
      </c>
      <c r="E20" s="14" t="s">
        <v>815</v>
      </c>
      <c r="F20" s="267" t="n">
        <v>44742</v>
      </c>
      <c r="G20" s="266" t="n">
        <v>546</v>
      </c>
      <c r="H20" s="17" t="n">
        <f aca="false">D20-G20</f>
        <v>0</v>
      </c>
      <c r="I20" s="265"/>
    </row>
    <row r="21" customFormat="false" ht="18.6" hidden="false" customHeight="true" outlineLevel="0" collapsed="false">
      <c r="A21" s="261"/>
      <c r="B21" s="11" t="s">
        <v>644</v>
      </c>
      <c r="C21" s="12" t="s">
        <v>816</v>
      </c>
      <c r="D21" s="264" t="n">
        <v>7242.84</v>
      </c>
      <c r="E21" s="14" t="s">
        <v>253</v>
      </c>
      <c r="F21" s="267" t="n">
        <v>44742</v>
      </c>
      <c r="G21" s="266" t="n">
        <v>7242.84</v>
      </c>
      <c r="H21" s="17" t="n">
        <f aca="false">D21-G21</f>
        <v>0</v>
      </c>
      <c r="I21" s="265"/>
    </row>
    <row r="22" customFormat="false" ht="18.6" hidden="false" customHeight="true" outlineLevel="0" collapsed="false">
      <c r="A22" s="261"/>
      <c r="B22" s="11" t="s">
        <v>644</v>
      </c>
      <c r="C22" s="12" t="s">
        <v>817</v>
      </c>
      <c r="D22" s="264" t="n">
        <v>2299.32</v>
      </c>
      <c r="E22" s="14" t="s">
        <v>280</v>
      </c>
      <c r="F22" s="267" t="n">
        <v>44742</v>
      </c>
      <c r="G22" s="266" t="n">
        <v>2299.32</v>
      </c>
      <c r="H22" s="17" t="n">
        <f aca="false">D22-G22</f>
        <v>0</v>
      </c>
      <c r="I22" s="265"/>
    </row>
    <row r="23" customFormat="false" ht="18.6" hidden="false" customHeight="true" outlineLevel="0" collapsed="false">
      <c r="A23" s="261"/>
      <c r="B23" s="11" t="s">
        <v>644</v>
      </c>
      <c r="C23" s="12" t="s">
        <v>818</v>
      </c>
      <c r="D23" s="264" t="n">
        <v>1316.88</v>
      </c>
      <c r="E23" s="14"/>
      <c r="F23" s="267" t="n">
        <v>44742</v>
      </c>
      <c r="G23" s="266" t="n">
        <v>1316.88</v>
      </c>
      <c r="H23" s="17" t="n">
        <f aca="false">D23-G23</f>
        <v>0</v>
      </c>
      <c r="I23" s="265"/>
    </row>
    <row r="24" customFormat="false" ht="18.6" hidden="false" customHeight="true" outlineLevel="0" collapsed="false">
      <c r="A24" s="261"/>
      <c r="B24" s="11" t="s">
        <v>644</v>
      </c>
      <c r="C24" s="12" t="s">
        <v>819</v>
      </c>
      <c r="D24" s="264" t="n">
        <v>4394.4</v>
      </c>
      <c r="E24" s="14" t="s">
        <v>820</v>
      </c>
      <c r="F24" s="267" t="n">
        <v>44742</v>
      </c>
      <c r="G24" s="266" t="n">
        <v>4394.4</v>
      </c>
      <c r="H24" s="17" t="n">
        <f aca="false">D24-G24</f>
        <v>0</v>
      </c>
      <c r="I24" s="265"/>
    </row>
    <row r="25" customFormat="false" ht="18.6" hidden="false" customHeight="true" outlineLevel="0" collapsed="false">
      <c r="A25" s="261"/>
      <c r="B25" s="11" t="s">
        <v>644</v>
      </c>
      <c r="C25" s="12" t="s">
        <v>821</v>
      </c>
      <c r="D25" s="264" t="n">
        <v>1437.36</v>
      </c>
      <c r="E25" s="14"/>
      <c r="F25" s="267" t="n">
        <v>44742</v>
      </c>
      <c r="G25" s="266" t="n">
        <v>1437.36</v>
      </c>
      <c r="H25" s="17" t="n">
        <f aca="false">D25-G25</f>
        <v>0</v>
      </c>
      <c r="I25" s="265"/>
    </row>
    <row r="26" customFormat="false" ht="18.6" hidden="false" customHeight="true" outlineLevel="0" collapsed="false">
      <c r="A26" s="261"/>
      <c r="B26" s="11" t="s">
        <v>644</v>
      </c>
      <c r="C26" s="12" t="s">
        <v>822</v>
      </c>
      <c r="D26" s="264" t="n">
        <v>6544.32</v>
      </c>
      <c r="E26" s="14" t="s">
        <v>800</v>
      </c>
      <c r="F26" s="267" t="n">
        <v>44742</v>
      </c>
      <c r="G26" s="266" t="n">
        <v>6544.32</v>
      </c>
      <c r="H26" s="17" t="n">
        <f aca="false">D26-G26</f>
        <v>0</v>
      </c>
      <c r="I26" s="265"/>
    </row>
    <row r="27" customFormat="false" ht="18.6" hidden="false" customHeight="true" outlineLevel="0" collapsed="false">
      <c r="A27" s="261"/>
      <c r="B27" s="11"/>
      <c r="C27" s="12"/>
      <c r="D27" s="13"/>
      <c r="E27" s="14"/>
      <c r="F27" s="267"/>
      <c r="G27" s="266"/>
      <c r="H27" s="17"/>
      <c r="I27" s="265"/>
    </row>
    <row r="28" customFormat="false" ht="18.6" hidden="false" customHeight="true" outlineLevel="0" collapsed="false">
      <c r="A28" s="261"/>
      <c r="B28" s="11"/>
      <c r="C28" s="12"/>
      <c r="D28" s="13"/>
      <c r="E28" s="14"/>
      <c r="F28" s="267"/>
      <c r="G28" s="266"/>
      <c r="H28" s="17"/>
      <c r="I28" s="265"/>
    </row>
    <row r="29" customFormat="false" ht="18.6" hidden="false" customHeight="true" outlineLevel="0" collapsed="false">
      <c r="A29" s="261"/>
      <c r="B29" s="11"/>
      <c r="C29" s="12"/>
      <c r="D29" s="264"/>
      <c r="E29" s="14"/>
      <c r="F29" s="267"/>
      <c r="G29" s="266"/>
      <c r="H29" s="17"/>
      <c r="I29" s="265"/>
    </row>
    <row r="30" customFormat="false" ht="18.6" hidden="false" customHeight="true" outlineLevel="0" collapsed="false">
      <c r="A30" s="261"/>
      <c r="B30" s="11"/>
      <c r="C30" s="12"/>
      <c r="D30" s="13"/>
      <c r="E30" s="454"/>
      <c r="F30" s="267"/>
      <c r="G30" s="266"/>
      <c r="H30" s="17"/>
      <c r="I30" s="265"/>
    </row>
    <row r="31" customFormat="false" ht="18.6" hidden="false" customHeight="true" outlineLevel="0" collapsed="false">
      <c r="A31" s="261"/>
      <c r="B31" s="11"/>
      <c r="C31" s="12"/>
      <c r="D31" s="264"/>
      <c r="E31" s="14"/>
      <c r="F31" s="267"/>
      <c r="G31" s="266"/>
      <c r="H31" s="17"/>
      <c r="I31" s="265"/>
    </row>
    <row r="32" customFormat="false" ht="18.6" hidden="false" customHeight="true" outlineLevel="0" collapsed="false">
      <c r="A32" s="269"/>
      <c r="B32" s="28" t="s">
        <v>35</v>
      </c>
      <c r="C32" s="22"/>
      <c r="D32" s="29" t="n">
        <f aca="false">+SUM(D2:D31)</f>
        <v>63016.28</v>
      </c>
      <c r="E32" s="24"/>
      <c r="F32" s="25"/>
      <c r="G32" s="26"/>
      <c r="H32" s="30" t="n">
        <f aca="false">+SUM(H2:H31)</f>
        <v>1566.47</v>
      </c>
      <c r="I32" s="422"/>
    </row>
    <row r="33" customFormat="false" ht="18.6" hidden="false" customHeight="true" outlineLevel="0" collapsed="false">
      <c r="A33" s="351" t="s">
        <v>299</v>
      </c>
      <c r="B33" s="11" t="s">
        <v>300</v>
      </c>
      <c r="C33" s="12" t="s">
        <v>320</v>
      </c>
      <c r="D33" s="270" t="n">
        <v>15.24</v>
      </c>
      <c r="E33" s="271" t="s">
        <v>321</v>
      </c>
      <c r="F33" s="272" t="n">
        <v>15.24</v>
      </c>
      <c r="G33" s="273" t="n">
        <v>15.24</v>
      </c>
      <c r="H33" s="17" t="n">
        <f aca="false">D33-G33</f>
        <v>0</v>
      </c>
      <c r="I33" s="265"/>
    </row>
    <row r="34" customFormat="false" ht="18.6" hidden="false" customHeight="true" outlineLevel="0" collapsed="false">
      <c r="A34" s="351"/>
      <c r="B34" s="11" t="s">
        <v>300</v>
      </c>
      <c r="C34" s="12" t="s">
        <v>303</v>
      </c>
      <c r="D34" s="264" t="n">
        <v>127.11</v>
      </c>
      <c r="E34" s="14" t="s">
        <v>302</v>
      </c>
      <c r="F34" s="267" t="n">
        <v>44686</v>
      </c>
      <c r="G34" s="268" t="n">
        <v>127.11</v>
      </c>
      <c r="H34" s="17" t="n">
        <f aca="false">D34-G34</f>
        <v>0</v>
      </c>
      <c r="I34" s="265"/>
    </row>
    <row r="35" customFormat="false" ht="18.6" hidden="false" customHeight="true" outlineLevel="0" collapsed="false">
      <c r="A35" s="351"/>
      <c r="B35" s="11" t="s">
        <v>300</v>
      </c>
      <c r="C35" s="12" t="s">
        <v>305</v>
      </c>
      <c r="D35" s="264" t="n">
        <v>104.12</v>
      </c>
      <c r="E35" s="14"/>
      <c r="F35" s="267" t="n">
        <v>44686</v>
      </c>
      <c r="G35" s="268" t="n">
        <v>104.12</v>
      </c>
      <c r="H35" s="17" t="n">
        <f aca="false">D35-G35</f>
        <v>0</v>
      </c>
      <c r="I35" s="265"/>
    </row>
    <row r="36" customFormat="false" ht="18.6" hidden="false" customHeight="true" outlineLevel="0" collapsed="false">
      <c r="A36" s="351"/>
      <c r="B36" s="11" t="s">
        <v>300</v>
      </c>
      <c r="C36" s="12" t="s">
        <v>306</v>
      </c>
      <c r="D36" s="264" t="n">
        <v>71.32</v>
      </c>
      <c r="E36" s="14"/>
      <c r="F36" s="267" t="n">
        <v>44686</v>
      </c>
      <c r="G36" s="268" t="n">
        <v>71.32</v>
      </c>
      <c r="H36" s="17" t="n">
        <f aca="false">D36-G36</f>
        <v>0</v>
      </c>
      <c r="I36" s="265"/>
    </row>
    <row r="37" customFormat="false" ht="18.6" hidden="false" customHeight="true" outlineLevel="0" collapsed="false">
      <c r="A37" s="351"/>
      <c r="B37" s="11" t="s">
        <v>300</v>
      </c>
      <c r="C37" s="12" t="s">
        <v>307</v>
      </c>
      <c r="D37" s="270" t="n">
        <v>102.36</v>
      </c>
      <c r="E37" s="271"/>
      <c r="F37" s="267" t="n">
        <v>44686</v>
      </c>
      <c r="G37" s="273" t="n">
        <v>102.36</v>
      </c>
      <c r="H37" s="17" t="n">
        <f aca="false">D37-G37</f>
        <v>0</v>
      </c>
      <c r="I37" s="265"/>
    </row>
    <row r="38" customFormat="false" ht="18.6" hidden="false" customHeight="true" outlineLevel="0" collapsed="false">
      <c r="A38" s="351"/>
      <c r="B38" s="11" t="s">
        <v>300</v>
      </c>
      <c r="C38" s="12" t="s">
        <v>301</v>
      </c>
      <c r="D38" s="264" t="n">
        <v>99.97</v>
      </c>
      <c r="E38" s="14" t="s">
        <v>302</v>
      </c>
      <c r="F38" s="267" t="n">
        <v>44686</v>
      </c>
      <c r="G38" s="268" t="n">
        <v>99.97</v>
      </c>
      <c r="H38" s="17" t="n">
        <f aca="false">D38-G38</f>
        <v>0</v>
      </c>
      <c r="I38" s="265"/>
    </row>
    <row r="39" customFormat="false" ht="18.6" hidden="false" customHeight="true" outlineLevel="0" collapsed="false">
      <c r="A39" s="351"/>
      <c r="B39" s="11" t="s">
        <v>551</v>
      </c>
      <c r="C39" s="12"/>
      <c r="D39" s="264" t="n">
        <v>53.88</v>
      </c>
      <c r="E39" s="14"/>
      <c r="F39" s="267" t="n">
        <v>44686</v>
      </c>
      <c r="G39" s="268" t="n">
        <v>53.88</v>
      </c>
      <c r="H39" s="17" t="n">
        <f aca="false">D39-G39</f>
        <v>0</v>
      </c>
      <c r="I39" s="265"/>
    </row>
    <row r="40" customFormat="false" ht="18.6" hidden="false" customHeight="true" outlineLevel="0" collapsed="false">
      <c r="A40" s="351"/>
      <c r="B40" s="11" t="s">
        <v>314</v>
      </c>
      <c r="C40" s="12"/>
      <c r="D40" s="264" t="n">
        <v>50</v>
      </c>
      <c r="E40" s="14" t="s">
        <v>315</v>
      </c>
      <c r="F40" s="267" t="n">
        <v>44687</v>
      </c>
      <c r="G40" s="268" t="n">
        <v>50</v>
      </c>
      <c r="H40" s="17" t="n">
        <f aca="false">D40-G40</f>
        <v>0</v>
      </c>
      <c r="I40" s="265"/>
    </row>
    <row r="41" customFormat="false" ht="18.6" hidden="false" customHeight="true" outlineLevel="0" collapsed="false">
      <c r="A41" s="351"/>
      <c r="B41" s="11" t="s">
        <v>314</v>
      </c>
      <c r="C41" s="12"/>
      <c r="D41" s="270" t="n">
        <v>38</v>
      </c>
      <c r="E41" s="271"/>
      <c r="F41" s="267" t="n">
        <v>44702</v>
      </c>
      <c r="G41" s="273" t="n">
        <v>38</v>
      </c>
      <c r="H41" s="17" t="n">
        <f aca="false">D41-G41</f>
        <v>0</v>
      </c>
      <c r="I41" s="265"/>
    </row>
    <row r="42" customFormat="false" ht="18.6" hidden="false" customHeight="true" outlineLevel="0" collapsed="false">
      <c r="A42" s="351"/>
      <c r="B42" s="11" t="s">
        <v>658</v>
      </c>
      <c r="C42" s="12" t="s">
        <v>823</v>
      </c>
      <c r="D42" s="264" t="n">
        <v>891.47</v>
      </c>
      <c r="E42" s="14"/>
      <c r="F42" s="267" t="n">
        <v>44713</v>
      </c>
      <c r="G42" s="268" t="n">
        <v>891.47</v>
      </c>
      <c r="H42" s="17" t="n">
        <f aca="false">D42-G42</f>
        <v>0</v>
      </c>
      <c r="I42" s="265"/>
    </row>
    <row r="43" customFormat="false" ht="18.6" hidden="false" customHeight="true" outlineLevel="0" collapsed="false">
      <c r="A43" s="351"/>
      <c r="B43" s="11" t="s">
        <v>308</v>
      </c>
      <c r="C43" s="12"/>
      <c r="D43" s="264" t="n">
        <v>3203.09</v>
      </c>
      <c r="E43" s="14" t="s">
        <v>439</v>
      </c>
      <c r="F43" s="267" t="n">
        <v>44718</v>
      </c>
      <c r="G43" s="268" t="n">
        <v>3203.09</v>
      </c>
      <c r="H43" s="17" t="n">
        <f aca="false">D43-G43</f>
        <v>0</v>
      </c>
      <c r="I43" s="265"/>
    </row>
    <row r="44" customFormat="false" ht="18.6" hidden="false" customHeight="true" outlineLevel="0" collapsed="false">
      <c r="A44" s="351"/>
      <c r="B44" s="11" t="s">
        <v>300</v>
      </c>
      <c r="C44" s="12" t="s">
        <v>304</v>
      </c>
      <c r="D44" s="264" t="n">
        <v>85.99</v>
      </c>
      <c r="E44" s="14"/>
      <c r="F44" s="267" t="n">
        <v>44718</v>
      </c>
      <c r="G44" s="268" t="n">
        <v>85.99</v>
      </c>
      <c r="H44" s="17" t="n">
        <f aca="false">D44-G44</f>
        <v>0</v>
      </c>
      <c r="I44" s="265"/>
    </row>
    <row r="45" customFormat="false" ht="18.6" hidden="false" customHeight="true" outlineLevel="0" collapsed="false">
      <c r="A45" s="351"/>
      <c r="B45" s="11" t="s">
        <v>311</v>
      </c>
      <c r="C45" s="12"/>
      <c r="D45" s="264" t="n">
        <v>135.38</v>
      </c>
      <c r="E45" s="14"/>
      <c r="F45" s="267" t="n">
        <v>44721</v>
      </c>
      <c r="G45" s="268" t="n">
        <v>135.38</v>
      </c>
      <c r="H45" s="17" t="n">
        <f aca="false">D45-G45</f>
        <v>0</v>
      </c>
      <c r="I45" s="265"/>
    </row>
    <row r="46" customFormat="false" ht="18.6" hidden="false" customHeight="true" outlineLevel="0" collapsed="false">
      <c r="A46" s="351"/>
      <c r="B46" s="11" t="s">
        <v>35</v>
      </c>
      <c r="C46" s="12" t="s">
        <v>824</v>
      </c>
      <c r="D46" s="264" t="n">
        <v>1944.5</v>
      </c>
      <c r="E46" s="14" t="s">
        <v>388</v>
      </c>
      <c r="F46" s="267" t="n">
        <v>44722</v>
      </c>
      <c r="G46" s="268" t="n">
        <v>1944.5</v>
      </c>
      <c r="H46" s="17" t="n">
        <f aca="false">D46-G46</f>
        <v>0</v>
      </c>
      <c r="I46" s="265"/>
    </row>
    <row r="47" customFormat="false" ht="18.6" hidden="false" customHeight="true" outlineLevel="0" collapsed="false">
      <c r="A47" s="351"/>
      <c r="B47" s="11" t="s">
        <v>316</v>
      </c>
      <c r="C47" s="12" t="s">
        <v>550</v>
      </c>
      <c r="D47" s="270" t="n">
        <f aca="false">15.95*2</f>
        <v>31.9</v>
      </c>
      <c r="E47" s="271" t="s">
        <v>661</v>
      </c>
      <c r="F47" s="272" t="n">
        <v>44722</v>
      </c>
      <c r="G47" s="273" t="n">
        <v>31.9</v>
      </c>
      <c r="H47" s="17" t="n">
        <f aca="false">D47-G47</f>
        <v>0</v>
      </c>
      <c r="I47" s="265"/>
    </row>
    <row r="48" customFormat="false" ht="18.6" hidden="false" customHeight="true" outlineLevel="0" collapsed="false">
      <c r="A48" s="351"/>
      <c r="B48" s="11" t="s">
        <v>561</v>
      </c>
      <c r="C48" s="12"/>
      <c r="D48" s="264" t="n">
        <v>16.99</v>
      </c>
      <c r="E48" s="271" t="s">
        <v>562</v>
      </c>
      <c r="F48" s="267" t="n">
        <v>44722</v>
      </c>
      <c r="G48" s="268" t="n">
        <v>16.99</v>
      </c>
      <c r="H48" s="17" t="n">
        <f aca="false">D48-G48</f>
        <v>0</v>
      </c>
      <c r="I48" s="265"/>
    </row>
    <row r="49" customFormat="false" ht="18.6" hidden="false" customHeight="true" outlineLevel="0" collapsed="false">
      <c r="A49" s="351"/>
      <c r="B49" s="424" t="s">
        <v>322</v>
      </c>
      <c r="C49" s="425"/>
      <c r="D49" s="434" t="n">
        <v>11809</v>
      </c>
      <c r="E49" s="455" t="n">
        <v>44682</v>
      </c>
      <c r="F49" s="436" t="n">
        <v>44728</v>
      </c>
      <c r="G49" s="437" t="n">
        <v>11809</v>
      </c>
      <c r="H49" s="430" t="n">
        <f aca="false">D49-G49</f>
        <v>0</v>
      </c>
      <c r="I49" s="431"/>
    </row>
    <row r="50" customFormat="false" ht="18.6" hidden="false" customHeight="true" outlineLevel="0" collapsed="false">
      <c r="A50" s="351"/>
      <c r="B50" s="11" t="s">
        <v>300</v>
      </c>
      <c r="C50" s="12" t="s">
        <v>324</v>
      </c>
      <c r="D50" s="264" t="n">
        <v>93.87</v>
      </c>
      <c r="E50" s="14"/>
      <c r="F50" s="267" t="n">
        <v>44728</v>
      </c>
      <c r="G50" s="268" t="n">
        <v>93.87</v>
      </c>
      <c r="H50" s="17" t="n">
        <f aca="false">D50-G50</f>
        <v>0</v>
      </c>
      <c r="I50" s="265"/>
    </row>
    <row r="51" customFormat="false" ht="18.6" hidden="false" customHeight="true" outlineLevel="0" collapsed="false">
      <c r="A51" s="351"/>
      <c r="B51" s="424" t="s">
        <v>327</v>
      </c>
      <c r="C51" s="433" t="s">
        <v>328</v>
      </c>
      <c r="D51" s="426" t="n">
        <v>5467</v>
      </c>
      <c r="E51" s="427" t="s">
        <v>666</v>
      </c>
      <c r="F51" s="267" t="n">
        <v>44731</v>
      </c>
      <c r="G51" s="429" t="n">
        <v>5467</v>
      </c>
      <c r="H51" s="430" t="n">
        <f aca="false">D51-G51</f>
        <v>0</v>
      </c>
      <c r="I51" s="431"/>
    </row>
    <row r="52" customFormat="false" ht="18.6" hidden="false" customHeight="true" outlineLevel="0" collapsed="false">
      <c r="A52" s="351"/>
      <c r="B52" s="456" t="s">
        <v>573</v>
      </c>
      <c r="C52" s="457" t="s">
        <v>574</v>
      </c>
      <c r="D52" s="270" t="n">
        <v>588</v>
      </c>
      <c r="E52" s="271" t="s">
        <v>665</v>
      </c>
      <c r="F52" s="267" t="n">
        <v>44732</v>
      </c>
      <c r="G52" s="273"/>
      <c r="H52" s="17" t="n">
        <f aca="false">D52-G52</f>
        <v>588</v>
      </c>
      <c r="I52" s="265"/>
    </row>
    <row r="53" customFormat="false" ht="18.6" hidden="false" customHeight="true" outlineLevel="0" collapsed="false">
      <c r="A53" s="351"/>
      <c r="B53" s="11" t="s">
        <v>437</v>
      </c>
      <c r="C53" s="12" t="s">
        <v>759</v>
      </c>
      <c r="D53" s="264" t="n">
        <v>21.53</v>
      </c>
      <c r="E53" s="14" t="s">
        <v>760</v>
      </c>
      <c r="F53" s="267" t="n">
        <v>44732</v>
      </c>
      <c r="G53" s="268" t="n">
        <v>21.53</v>
      </c>
      <c r="H53" s="17" t="n">
        <f aca="false">D53-G53</f>
        <v>0</v>
      </c>
      <c r="I53" s="265"/>
    </row>
    <row r="54" customFormat="false" ht="18.6" hidden="false" customHeight="true" outlineLevel="0" collapsed="false">
      <c r="A54" s="351"/>
      <c r="B54" s="293" t="s">
        <v>825</v>
      </c>
      <c r="C54" s="12" t="s">
        <v>826</v>
      </c>
      <c r="D54" s="264" t="n">
        <v>212.3</v>
      </c>
      <c r="E54" s="14" t="s">
        <v>258</v>
      </c>
      <c r="F54" s="267" t="n">
        <v>44732</v>
      </c>
      <c r="G54" s="268" t="n">
        <v>212.3</v>
      </c>
      <c r="H54" s="17" t="n">
        <f aca="false">D54-G54</f>
        <v>0</v>
      </c>
      <c r="I54" s="265"/>
    </row>
    <row r="55" customFormat="false" ht="18.6" hidden="false" customHeight="true" outlineLevel="0" collapsed="false">
      <c r="A55" s="351"/>
      <c r="B55" s="293" t="s">
        <v>825</v>
      </c>
      <c r="C55" s="12" t="s">
        <v>827</v>
      </c>
      <c r="D55" s="264" t="n">
        <v>3364.85</v>
      </c>
      <c r="E55" s="14" t="s">
        <v>258</v>
      </c>
      <c r="F55" s="267" t="n">
        <v>44732</v>
      </c>
      <c r="G55" s="268" t="n">
        <v>3364.85</v>
      </c>
      <c r="H55" s="17" t="n">
        <f aca="false">D55-G55</f>
        <v>0</v>
      </c>
      <c r="I55" s="265"/>
    </row>
    <row r="56" customFormat="false" ht="18.6" hidden="false" customHeight="true" outlineLevel="0" collapsed="false">
      <c r="A56" s="351"/>
      <c r="B56" s="11" t="s">
        <v>314</v>
      </c>
      <c r="C56" s="12" t="s">
        <v>828</v>
      </c>
      <c r="D56" s="270" t="n">
        <v>43</v>
      </c>
      <c r="E56" s="271" t="s">
        <v>829</v>
      </c>
      <c r="F56" s="267" t="n">
        <v>44732</v>
      </c>
      <c r="G56" s="273" t="n">
        <v>43</v>
      </c>
      <c r="H56" s="17" t="n">
        <f aca="false">D56-G56</f>
        <v>0</v>
      </c>
      <c r="I56" s="265"/>
    </row>
    <row r="57" customFormat="false" ht="18.6" hidden="false" customHeight="true" outlineLevel="0" collapsed="false">
      <c r="A57" s="351"/>
      <c r="B57" s="337" t="s">
        <v>765</v>
      </c>
      <c r="C57" s="425"/>
      <c r="D57" s="426" t="n">
        <v>1809.12</v>
      </c>
      <c r="E57" s="427" t="s">
        <v>830</v>
      </c>
      <c r="F57" s="267" t="n">
        <v>44735</v>
      </c>
      <c r="G57" s="429" t="n">
        <v>1809.12</v>
      </c>
      <c r="H57" s="430" t="n">
        <f aca="false">D57-G57</f>
        <v>0</v>
      </c>
      <c r="I57" s="431"/>
    </row>
    <row r="58" customFormat="false" ht="18.6" hidden="false" customHeight="true" outlineLevel="0" collapsed="false">
      <c r="A58" s="351"/>
      <c r="B58" s="11" t="s">
        <v>35</v>
      </c>
      <c r="C58" s="12" t="s">
        <v>572</v>
      </c>
      <c r="D58" s="270" t="n">
        <v>2344.68</v>
      </c>
      <c r="E58" s="271"/>
      <c r="F58" s="267" t="n">
        <v>44737</v>
      </c>
      <c r="G58" s="273" t="n">
        <v>2344.68</v>
      </c>
      <c r="H58" s="17" t="n">
        <f aca="false">D58-G58</f>
        <v>0</v>
      </c>
      <c r="I58" s="265"/>
    </row>
    <row r="59" customFormat="false" ht="18.6" hidden="false" customHeight="true" outlineLevel="0" collapsed="false">
      <c r="A59" s="351"/>
      <c r="B59" s="337" t="s">
        <v>766</v>
      </c>
      <c r="C59" s="433"/>
      <c r="D59" s="426" t="n">
        <v>2202.95</v>
      </c>
      <c r="E59" s="427" t="s">
        <v>667</v>
      </c>
      <c r="F59" s="267" t="n">
        <v>44737</v>
      </c>
      <c r="G59" s="429" t="n">
        <v>2202.95</v>
      </c>
      <c r="H59" s="430" t="n">
        <f aca="false">D59-G59</f>
        <v>0</v>
      </c>
      <c r="I59" s="431"/>
    </row>
    <row r="60" customFormat="false" ht="18.6" hidden="false" customHeight="true" outlineLevel="0" collapsed="false">
      <c r="A60" s="351"/>
      <c r="B60" s="11" t="s">
        <v>448</v>
      </c>
      <c r="C60" s="12" t="s">
        <v>449</v>
      </c>
      <c r="D60" s="264" t="n">
        <v>1224</v>
      </c>
      <c r="E60" s="14" t="s">
        <v>450</v>
      </c>
      <c r="F60" s="267" t="n">
        <v>44737</v>
      </c>
      <c r="G60" s="268" t="n">
        <v>1224</v>
      </c>
      <c r="H60" s="17" t="n">
        <f aca="false">D60-G60</f>
        <v>0</v>
      </c>
      <c r="I60" s="265"/>
    </row>
    <row r="61" customFormat="false" ht="18.6" hidden="false" customHeight="true" outlineLevel="0" collapsed="false">
      <c r="A61" s="351"/>
      <c r="B61" s="11" t="s">
        <v>445</v>
      </c>
      <c r="C61" s="12" t="s">
        <v>831</v>
      </c>
      <c r="D61" s="270" t="n">
        <v>811.94</v>
      </c>
      <c r="E61" s="271" t="s">
        <v>682</v>
      </c>
      <c r="F61" s="267" t="n">
        <v>44742</v>
      </c>
      <c r="G61" s="273" t="n">
        <v>811.94</v>
      </c>
      <c r="H61" s="17" t="n">
        <f aca="false">D61-G61</f>
        <v>0</v>
      </c>
      <c r="I61" s="265"/>
    </row>
    <row r="62" customFormat="false" ht="18.6" hidden="false" customHeight="true" outlineLevel="0" collapsed="false">
      <c r="A62" s="351"/>
      <c r="B62" s="276" t="s">
        <v>314</v>
      </c>
      <c r="C62" s="12"/>
      <c r="D62" s="363" t="n">
        <v>31</v>
      </c>
      <c r="E62" s="271"/>
      <c r="F62" s="267" t="n">
        <v>44742</v>
      </c>
      <c r="G62" s="273" t="n">
        <v>31</v>
      </c>
      <c r="H62" s="438" t="n">
        <f aca="false">D62-G62</f>
        <v>0</v>
      </c>
      <c r="I62" s="324"/>
    </row>
    <row r="63" customFormat="false" ht="18.6" hidden="false" customHeight="true" outlineLevel="0" collapsed="false">
      <c r="A63" s="351"/>
      <c r="B63" s="276" t="s">
        <v>314</v>
      </c>
      <c r="C63" s="12" t="s">
        <v>325</v>
      </c>
      <c r="D63" s="363" t="n">
        <v>31</v>
      </c>
      <c r="E63" s="271" t="s">
        <v>326</v>
      </c>
      <c r="F63" s="267" t="n">
        <v>44742</v>
      </c>
      <c r="G63" s="273" t="n">
        <v>31</v>
      </c>
      <c r="H63" s="438" t="n">
        <f aca="false">D63-G63</f>
        <v>0</v>
      </c>
      <c r="I63" s="324"/>
    </row>
    <row r="64" customFormat="false" ht="18.6" hidden="false" customHeight="true" outlineLevel="0" collapsed="false">
      <c r="A64" s="351"/>
      <c r="B64" s="276" t="s">
        <v>338</v>
      </c>
      <c r="C64" s="12" t="s">
        <v>339</v>
      </c>
      <c r="D64" s="363" t="n">
        <v>5283.09</v>
      </c>
      <c r="E64" s="271"/>
      <c r="F64" s="267" t="n">
        <v>44737</v>
      </c>
      <c r="G64" s="273" t="n">
        <v>5283.09</v>
      </c>
      <c r="H64" s="438" t="n">
        <f aca="false">D64-G64</f>
        <v>0</v>
      </c>
      <c r="I64" s="366"/>
    </row>
    <row r="65" customFormat="false" ht="18.6" hidden="false" customHeight="true" outlineLevel="0" collapsed="false">
      <c r="A65" s="351"/>
      <c r="B65" s="276" t="s">
        <v>314</v>
      </c>
      <c r="C65" s="12" t="s">
        <v>832</v>
      </c>
      <c r="D65" s="363" t="n">
        <v>32</v>
      </c>
      <c r="E65" s="271" t="s">
        <v>670</v>
      </c>
      <c r="F65" s="272" t="n">
        <v>44729</v>
      </c>
      <c r="G65" s="273" t="n">
        <v>32</v>
      </c>
      <c r="H65" s="438" t="n">
        <f aca="false">D65-G65</f>
        <v>0</v>
      </c>
      <c r="I65" s="366"/>
    </row>
    <row r="66" customFormat="false" ht="18.6" hidden="false" customHeight="true" outlineLevel="0" collapsed="false">
      <c r="A66" s="351"/>
      <c r="B66" s="276"/>
      <c r="C66" s="12"/>
      <c r="D66" s="363"/>
      <c r="E66" s="271"/>
      <c r="F66" s="267"/>
      <c r="G66" s="273"/>
      <c r="H66" s="438"/>
      <c r="I66" s="366"/>
    </row>
    <row r="67" customFormat="false" ht="18.6" hidden="false" customHeight="true" outlineLevel="0" collapsed="false">
      <c r="A67" s="351"/>
      <c r="B67" s="276"/>
      <c r="C67" s="12"/>
      <c r="D67" s="363"/>
      <c r="E67" s="271"/>
      <c r="F67" s="272"/>
      <c r="G67" s="273"/>
      <c r="H67" s="438"/>
      <c r="I67" s="366"/>
    </row>
    <row r="68" customFormat="false" ht="18.6" hidden="false" customHeight="true" outlineLevel="0" collapsed="false">
      <c r="A68" s="351"/>
      <c r="B68" s="28" t="s">
        <v>35</v>
      </c>
      <c r="C68" s="22"/>
      <c r="D68" s="29" t="n">
        <f aca="false">SUM(D33:D65)</f>
        <v>42340.65</v>
      </c>
      <c r="E68" s="24"/>
      <c r="F68" s="25"/>
      <c r="G68" s="26"/>
      <c r="H68" s="30" t="n">
        <f aca="false">+SUM(H33:H64)</f>
        <v>588</v>
      </c>
      <c r="I68" s="422"/>
    </row>
    <row r="69" customFormat="false" ht="18.6" hidden="false" customHeight="true" outlineLevel="0" collapsed="false">
      <c r="A69" s="370" t="s">
        <v>341</v>
      </c>
      <c r="B69" s="11" t="s">
        <v>554</v>
      </c>
      <c r="C69" s="12"/>
      <c r="D69" s="264" t="n">
        <v>1100</v>
      </c>
      <c r="E69" s="14" t="s">
        <v>555</v>
      </c>
      <c r="F69" s="267" t="n">
        <v>44657</v>
      </c>
      <c r="G69" s="268" t="n">
        <v>1100</v>
      </c>
      <c r="H69" s="17" t="n">
        <f aca="false">D69-G69</f>
        <v>0</v>
      </c>
      <c r="I69" s="265"/>
    </row>
    <row r="70" customFormat="false" ht="18.6" hidden="false" customHeight="true" outlineLevel="0" collapsed="false">
      <c r="A70" s="370"/>
      <c r="B70" s="11" t="s">
        <v>559</v>
      </c>
      <c r="C70" s="12"/>
      <c r="D70" s="264" t="n">
        <v>500</v>
      </c>
      <c r="E70" s="14" t="s">
        <v>462</v>
      </c>
      <c r="F70" s="267" t="n">
        <v>44657</v>
      </c>
      <c r="G70" s="268" t="n">
        <v>500</v>
      </c>
      <c r="H70" s="17" t="n">
        <f aca="false">D70-G70</f>
        <v>0</v>
      </c>
      <c r="I70" s="265"/>
    </row>
    <row r="71" customFormat="false" ht="18.6" hidden="false" customHeight="true" outlineLevel="0" collapsed="false">
      <c r="A71" s="370"/>
      <c r="B71" s="11" t="s">
        <v>686</v>
      </c>
      <c r="C71" s="12" t="s">
        <v>687</v>
      </c>
      <c r="D71" s="264" t="n">
        <v>2100</v>
      </c>
      <c r="E71" s="14" t="s">
        <v>688</v>
      </c>
      <c r="F71" s="267" t="n">
        <v>44657</v>
      </c>
      <c r="G71" s="268" t="n">
        <v>2100</v>
      </c>
      <c r="H71" s="17" t="n">
        <f aca="false">D71-G71</f>
        <v>0</v>
      </c>
      <c r="I71" s="265"/>
    </row>
    <row r="72" customFormat="false" ht="18.6" hidden="false" customHeight="true" outlineLevel="0" collapsed="false">
      <c r="A72" s="370"/>
      <c r="B72" s="293" t="s">
        <v>833</v>
      </c>
      <c r="C72" s="12" t="s">
        <v>834</v>
      </c>
      <c r="D72" s="264" t="n">
        <v>1957.22</v>
      </c>
      <c r="E72" s="458" t="s">
        <v>835</v>
      </c>
      <c r="F72" s="267" t="n">
        <v>44712</v>
      </c>
      <c r="G72" s="268" t="n">
        <v>1957.22</v>
      </c>
      <c r="H72" s="459" t="n">
        <f aca="false">D72-G72</f>
        <v>0</v>
      </c>
      <c r="I72" s="263"/>
    </row>
    <row r="73" customFormat="false" ht="18.6" hidden="false" customHeight="true" outlineLevel="0" collapsed="false">
      <c r="A73" s="370"/>
      <c r="B73" s="293" t="s">
        <v>782</v>
      </c>
      <c r="C73" s="12" t="s">
        <v>836</v>
      </c>
      <c r="D73" s="264" t="n">
        <v>650</v>
      </c>
      <c r="E73" s="14" t="s">
        <v>780</v>
      </c>
      <c r="F73" s="267" t="n">
        <v>44722</v>
      </c>
      <c r="G73" s="268" t="n">
        <v>650</v>
      </c>
      <c r="H73" s="459" t="n">
        <f aca="false">D73-G73</f>
        <v>0</v>
      </c>
      <c r="I73" s="263"/>
    </row>
    <row r="74" customFormat="false" ht="18.6" hidden="false" customHeight="true" outlineLevel="0" collapsed="false">
      <c r="A74" s="370"/>
      <c r="B74" s="293" t="s">
        <v>837</v>
      </c>
      <c r="C74" s="12" t="s">
        <v>838</v>
      </c>
      <c r="D74" s="264" t="n">
        <v>20000</v>
      </c>
      <c r="E74" s="14" t="s">
        <v>839</v>
      </c>
      <c r="F74" s="267" t="n">
        <v>44722</v>
      </c>
      <c r="G74" s="268" t="n">
        <v>20000</v>
      </c>
      <c r="H74" s="459" t="n">
        <f aca="false">D74-G74</f>
        <v>0</v>
      </c>
      <c r="I74" s="265"/>
    </row>
    <row r="75" customFormat="false" ht="18.6" hidden="false" customHeight="true" outlineLevel="0" collapsed="false">
      <c r="A75" s="370"/>
      <c r="B75" s="293" t="s">
        <v>472</v>
      </c>
      <c r="C75" s="12" t="s">
        <v>840</v>
      </c>
      <c r="D75" s="264" t="n">
        <v>1642.38</v>
      </c>
      <c r="E75" s="458" t="s">
        <v>841</v>
      </c>
      <c r="F75" s="267" t="n">
        <v>44726</v>
      </c>
      <c r="G75" s="268" t="n">
        <v>1642.38</v>
      </c>
      <c r="H75" s="459" t="n">
        <f aca="false">D75-G75</f>
        <v>0</v>
      </c>
      <c r="I75" s="263"/>
    </row>
    <row r="76" customFormat="false" ht="18.6" hidden="false" customHeight="true" outlineLevel="0" collapsed="false">
      <c r="A76" s="370"/>
      <c r="B76" s="293" t="s">
        <v>472</v>
      </c>
      <c r="C76" s="12" t="s">
        <v>842</v>
      </c>
      <c r="D76" s="264" t="n">
        <v>881.51</v>
      </c>
      <c r="E76" s="458" t="s">
        <v>13</v>
      </c>
      <c r="F76" s="267" t="n">
        <v>44726</v>
      </c>
      <c r="G76" s="268" t="n">
        <v>881.51</v>
      </c>
      <c r="H76" s="459" t="n">
        <f aca="false">D76-G76</f>
        <v>0</v>
      </c>
      <c r="I76" s="263"/>
    </row>
    <row r="77" customFormat="false" ht="18.6" hidden="false" customHeight="true" outlineLevel="0" collapsed="false">
      <c r="A77" s="370"/>
      <c r="B77" s="11" t="s">
        <v>589</v>
      </c>
      <c r="C77" s="12"/>
      <c r="D77" s="264" t="n">
        <v>34735.76</v>
      </c>
      <c r="E77" s="14"/>
      <c r="F77" s="267" t="n">
        <v>44727</v>
      </c>
      <c r="G77" s="268" t="n">
        <v>34735.76</v>
      </c>
      <c r="H77" s="17" t="n">
        <f aca="false">D77-G77</f>
        <v>0</v>
      </c>
      <c r="I77" s="265"/>
    </row>
    <row r="78" customFormat="false" ht="18.6" hidden="false" customHeight="true" outlineLevel="0" collapsed="false">
      <c r="A78" s="370"/>
      <c r="B78" s="293" t="s">
        <v>148</v>
      </c>
      <c r="C78" s="12" t="s">
        <v>843</v>
      </c>
      <c r="D78" s="264" t="n">
        <v>7083.6</v>
      </c>
      <c r="E78" s="14" t="s">
        <v>253</v>
      </c>
      <c r="F78" s="267" t="n">
        <v>44727</v>
      </c>
      <c r="G78" s="268"/>
      <c r="H78" s="459" t="n">
        <f aca="false">D78-G78</f>
        <v>7083.6</v>
      </c>
      <c r="I78" s="265"/>
    </row>
    <row r="79" customFormat="false" ht="18.6" hidden="false" customHeight="true" outlineLevel="0" collapsed="false">
      <c r="A79" s="370"/>
      <c r="B79" s="293" t="s">
        <v>844</v>
      </c>
      <c r="C79" s="12" t="s">
        <v>845</v>
      </c>
      <c r="D79" s="264" t="n">
        <v>207.11</v>
      </c>
      <c r="E79" s="458"/>
      <c r="F79" s="267" t="n">
        <v>44728</v>
      </c>
      <c r="G79" s="268"/>
      <c r="H79" s="459" t="n">
        <f aca="false">D79-G79</f>
        <v>207.11</v>
      </c>
      <c r="I79" s="265"/>
    </row>
    <row r="80" customFormat="false" ht="18.6" hidden="false" customHeight="true" outlineLevel="0" collapsed="false">
      <c r="A80" s="370"/>
      <c r="B80" s="460" t="s">
        <v>128</v>
      </c>
      <c r="C80" s="319" t="s">
        <v>846</v>
      </c>
      <c r="D80" s="264" t="n">
        <v>2400</v>
      </c>
      <c r="E80" s="14" t="s">
        <v>258</v>
      </c>
      <c r="F80" s="320" t="n">
        <v>44732</v>
      </c>
      <c r="G80" s="268" t="n">
        <v>2400</v>
      </c>
      <c r="H80" s="17" t="n">
        <f aca="false">D80-G80</f>
        <v>0</v>
      </c>
      <c r="I80" s="324"/>
    </row>
    <row r="81" customFormat="false" ht="18.6" hidden="false" customHeight="true" outlineLevel="0" collapsed="false">
      <c r="A81" s="370"/>
      <c r="B81" s="318" t="s">
        <v>128</v>
      </c>
      <c r="C81" s="319" t="s">
        <v>847</v>
      </c>
      <c r="D81" s="264" t="n">
        <v>900</v>
      </c>
      <c r="E81" s="14" t="s">
        <v>593</v>
      </c>
      <c r="F81" s="320" t="n">
        <v>44732</v>
      </c>
      <c r="G81" s="268" t="n">
        <v>900</v>
      </c>
      <c r="H81" s="459" t="n">
        <f aca="false">D81-G81</f>
        <v>0</v>
      </c>
      <c r="I81" s="321"/>
    </row>
    <row r="82" customFormat="false" ht="18.6" hidden="false" customHeight="true" outlineLevel="0" collapsed="false">
      <c r="A82" s="370"/>
      <c r="B82" s="460" t="s">
        <v>367</v>
      </c>
      <c r="C82" s="319" t="s">
        <v>848</v>
      </c>
      <c r="D82" s="264" t="n">
        <v>3000</v>
      </c>
      <c r="E82" s="14" t="s">
        <v>253</v>
      </c>
      <c r="F82" s="320" t="n">
        <v>44742</v>
      </c>
      <c r="G82" s="268" t="n">
        <v>3000</v>
      </c>
      <c r="H82" s="17" t="n">
        <f aca="false">D82-G82</f>
        <v>0</v>
      </c>
      <c r="I82" s="324"/>
    </row>
    <row r="83" customFormat="false" ht="18.6" hidden="false" customHeight="true" outlineLevel="0" collapsed="false">
      <c r="A83" s="370"/>
      <c r="B83" s="461" t="s">
        <v>361</v>
      </c>
      <c r="C83" s="462" t="s">
        <v>849</v>
      </c>
      <c r="D83" s="463" t="n">
        <v>15984.76</v>
      </c>
      <c r="E83" s="464" t="s">
        <v>258</v>
      </c>
      <c r="F83" s="465" t="n">
        <v>44742</v>
      </c>
      <c r="G83" s="466" t="n">
        <v>15984.76</v>
      </c>
      <c r="H83" s="467" t="n">
        <f aca="false">D83-G83</f>
        <v>0</v>
      </c>
      <c r="I83" s="468"/>
    </row>
    <row r="84" customFormat="false" ht="20.25" hidden="false" customHeight="true" outlineLevel="0" collapsed="false">
      <c r="A84" s="370"/>
      <c r="B84" s="461" t="s">
        <v>361</v>
      </c>
      <c r="C84" s="462" t="s">
        <v>850</v>
      </c>
      <c r="D84" s="463" t="n">
        <v>2555.99</v>
      </c>
      <c r="E84" s="464" t="s">
        <v>258</v>
      </c>
      <c r="F84" s="465" t="n">
        <v>44742</v>
      </c>
      <c r="G84" s="466" t="n">
        <v>2555.99</v>
      </c>
      <c r="H84" s="467" t="n">
        <f aca="false">D84-G84</f>
        <v>0</v>
      </c>
      <c r="I84" s="468"/>
    </row>
    <row r="85" customFormat="false" ht="20.25" hidden="false" customHeight="true" outlineLevel="0" collapsed="false">
      <c r="A85" s="370"/>
      <c r="B85" s="461" t="s">
        <v>361</v>
      </c>
      <c r="C85" s="462" t="s">
        <v>851</v>
      </c>
      <c r="D85" s="463" t="n">
        <v>9580.06</v>
      </c>
      <c r="E85" s="469" t="s">
        <v>258</v>
      </c>
      <c r="F85" s="465" t="n">
        <v>44742</v>
      </c>
      <c r="G85" s="466" t="n">
        <v>9580.06</v>
      </c>
      <c r="H85" s="467" t="n">
        <f aca="false">D85-G85</f>
        <v>0</v>
      </c>
      <c r="I85" s="468"/>
    </row>
    <row r="86" customFormat="false" ht="20.25" hidden="false" customHeight="true" outlineLevel="0" collapsed="false">
      <c r="A86" s="370"/>
      <c r="B86" s="461" t="s">
        <v>361</v>
      </c>
      <c r="C86" s="462" t="s">
        <v>852</v>
      </c>
      <c r="D86" s="463" t="n">
        <v>1958.87</v>
      </c>
      <c r="E86" s="464" t="s">
        <v>258</v>
      </c>
      <c r="F86" s="470" t="n">
        <v>44742</v>
      </c>
      <c r="G86" s="466" t="n">
        <v>1958.87</v>
      </c>
      <c r="H86" s="467" t="n">
        <f aca="false">D86-G86</f>
        <v>0</v>
      </c>
      <c r="I86" s="471"/>
    </row>
    <row r="87" customFormat="false" ht="20.25" hidden="false" customHeight="true" outlineLevel="0" collapsed="false">
      <c r="A87" s="370"/>
      <c r="B87" s="318" t="s">
        <v>853</v>
      </c>
      <c r="C87" s="319" t="s">
        <v>854</v>
      </c>
      <c r="D87" s="264" t="n">
        <v>540</v>
      </c>
      <c r="E87" s="233" t="s">
        <v>855</v>
      </c>
      <c r="F87" s="320" t="n">
        <v>44742</v>
      </c>
      <c r="G87" s="268"/>
      <c r="H87" s="459" t="n">
        <f aca="false">D87-G87</f>
        <v>540</v>
      </c>
      <c r="I87" s="321"/>
    </row>
    <row r="88" customFormat="false" ht="20.25" hidden="false" customHeight="true" outlineLevel="0" collapsed="false">
      <c r="A88" s="370"/>
      <c r="B88" s="318" t="s">
        <v>130</v>
      </c>
      <c r="C88" s="319" t="s">
        <v>856</v>
      </c>
      <c r="D88" s="264" t="n">
        <v>7686</v>
      </c>
      <c r="E88" s="326" t="s">
        <v>430</v>
      </c>
      <c r="F88" s="320" t="n">
        <v>44742</v>
      </c>
      <c r="G88" s="268"/>
      <c r="H88" s="459" t="n">
        <f aca="false">D88-G88</f>
        <v>7686</v>
      </c>
      <c r="I88" s="324"/>
    </row>
    <row r="89" customFormat="false" ht="20.25" hidden="false" customHeight="true" outlineLevel="0" collapsed="false">
      <c r="A89" s="370"/>
      <c r="B89" s="318" t="s">
        <v>130</v>
      </c>
      <c r="C89" s="319" t="s">
        <v>857</v>
      </c>
      <c r="D89" s="264" t="n">
        <v>1950</v>
      </c>
      <c r="E89" s="233" t="s">
        <v>858</v>
      </c>
      <c r="F89" s="320" t="n">
        <v>44742</v>
      </c>
      <c r="G89" s="268"/>
      <c r="H89" s="459" t="n">
        <f aca="false">D89-G89</f>
        <v>1950</v>
      </c>
      <c r="I89" s="321"/>
    </row>
    <row r="90" customFormat="false" ht="20.25" hidden="false" customHeight="true" outlineLevel="0" collapsed="false">
      <c r="A90" s="370"/>
      <c r="B90" s="318" t="s">
        <v>130</v>
      </c>
      <c r="C90" s="319" t="s">
        <v>859</v>
      </c>
      <c r="D90" s="264" t="n">
        <v>6188</v>
      </c>
      <c r="E90" s="233" t="s">
        <v>441</v>
      </c>
      <c r="F90" s="320" t="n">
        <v>44742</v>
      </c>
      <c r="G90" s="268"/>
      <c r="H90" s="459" t="n">
        <f aca="false">D90-G90</f>
        <v>6188</v>
      </c>
      <c r="I90" s="324"/>
    </row>
    <row r="91" customFormat="false" ht="20.25" hidden="false" customHeight="true" outlineLevel="0" collapsed="false">
      <c r="A91" s="370"/>
      <c r="B91" s="460" t="s">
        <v>772</v>
      </c>
      <c r="C91" s="319"/>
      <c r="D91" s="264" t="n">
        <v>600</v>
      </c>
      <c r="E91" s="233" t="s">
        <v>773</v>
      </c>
      <c r="F91" s="320"/>
      <c r="G91" s="268" t="n">
        <v>600</v>
      </c>
      <c r="H91" s="17" t="n">
        <f aca="false">D91-G91</f>
        <v>0</v>
      </c>
      <c r="I91" s="324"/>
    </row>
    <row r="92" customFormat="false" ht="20.25" hidden="false" customHeight="true" outlineLevel="0" collapsed="false">
      <c r="A92" s="370"/>
      <c r="B92" s="293"/>
      <c r="C92" s="12"/>
      <c r="D92" s="264"/>
      <c r="E92" s="14"/>
      <c r="F92" s="267"/>
      <c r="G92" s="268"/>
      <c r="H92" s="459" t="n">
        <f aca="false">D92-G92</f>
        <v>0</v>
      </c>
      <c r="I92" s="263"/>
    </row>
    <row r="93" customFormat="false" ht="20.25" hidden="false" customHeight="true" outlineLevel="0" collapsed="false">
      <c r="A93" s="370"/>
      <c r="B93" s="318"/>
      <c r="C93" s="319"/>
      <c r="D93" s="264"/>
      <c r="E93" s="233"/>
      <c r="F93" s="320"/>
      <c r="G93" s="268"/>
      <c r="H93" s="459" t="n">
        <f aca="false">D93-G93</f>
        <v>0</v>
      </c>
      <c r="I93" s="324"/>
    </row>
    <row r="94" customFormat="false" ht="20.25" hidden="false" customHeight="true" outlineLevel="0" collapsed="false">
      <c r="A94" s="370"/>
      <c r="B94" s="318"/>
      <c r="C94" s="319"/>
      <c r="D94" s="264"/>
      <c r="E94" s="326"/>
      <c r="F94" s="320"/>
      <c r="G94" s="268"/>
      <c r="H94" s="459" t="n">
        <f aca="false">D94-G94</f>
        <v>0</v>
      </c>
      <c r="I94" s="321"/>
    </row>
    <row r="95" customFormat="false" ht="20.25" hidden="false" customHeight="true" outlineLevel="0" collapsed="false">
      <c r="A95" s="370"/>
      <c r="B95" s="318"/>
      <c r="C95" s="319"/>
      <c r="D95" s="264"/>
      <c r="E95" s="326"/>
      <c r="F95" s="320"/>
      <c r="G95" s="268"/>
      <c r="H95" s="459" t="n">
        <f aca="false">D95-G95</f>
        <v>0</v>
      </c>
      <c r="I95" s="321"/>
    </row>
    <row r="96" customFormat="false" ht="20.25" hidden="false" customHeight="true" outlineLevel="0" collapsed="false">
      <c r="A96" s="370"/>
      <c r="B96" s="318"/>
      <c r="C96" s="319"/>
      <c r="D96" s="264"/>
      <c r="E96" s="326"/>
      <c r="F96" s="320"/>
      <c r="G96" s="268"/>
      <c r="H96" s="17" t="n">
        <f aca="false">D96-G96</f>
        <v>0</v>
      </c>
      <c r="I96" s="321"/>
    </row>
    <row r="97" customFormat="false" ht="18.6" hidden="false" customHeight="true" outlineLevel="0" collapsed="false">
      <c r="A97" s="370"/>
      <c r="B97" s="307" t="s">
        <v>35</v>
      </c>
      <c r="C97" s="308"/>
      <c r="D97" s="309" t="n">
        <f aca="false">SUM(D69:D96)</f>
        <v>124201.26</v>
      </c>
      <c r="E97" s="310"/>
      <c r="F97" s="311"/>
      <c r="G97" s="312"/>
      <c r="H97" s="291" t="n">
        <f aca="false">+SUM(H69:H88)</f>
        <v>15516.71</v>
      </c>
      <c r="I97" s="292"/>
    </row>
    <row r="98" customFormat="false" ht="21" hidden="false" customHeight="true" outlineLevel="0" collapsed="false">
      <c r="A98" s="327"/>
      <c r="B98" s="31"/>
      <c r="C98" s="32"/>
      <c r="D98" s="33"/>
      <c r="E98" s="34"/>
    </row>
    <row r="99" customFormat="false" ht="21" hidden="false" customHeight="true" outlineLevel="0" collapsed="false">
      <c r="A99" s="327" t="s">
        <v>388</v>
      </c>
      <c r="B99" s="31"/>
      <c r="C99" s="32"/>
      <c r="D99" s="328" t="n">
        <f aca="false">+SUM(D97+D68+D32)</f>
        <v>229558.19</v>
      </c>
      <c r="H99" s="472" t="n">
        <f aca="false">H97+H68+H32</f>
        <v>17671.18</v>
      </c>
    </row>
  </sheetData>
  <mergeCells count="7">
    <mergeCell ref="A2:A31"/>
    <mergeCell ref="K9:L9"/>
    <mergeCell ref="K11:L11"/>
    <mergeCell ref="K14:L14"/>
    <mergeCell ref="K17:M17"/>
    <mergeCell ref="A33:A68"/>
    <mergeCell ref="A69:A97"/>
  </mergeCells>
  <conditionalFormatting sqref="B29 I13:I14 B2:I2 B91:G97 B68:G68 F3:F29 G3:G25 I3:I11 B49:G49 I49 B3:E12 E13:E25 H69:I71 B75:G79 B47:I47 B51:G51 I51:I52 H75:I89 H2:H31 B13:D26 B52:E52 G52 I90:I97 H90:H96 H33:H46 H49:H61 G58 B58:E58 I58 B64:E65 G64:I65 F52:F65">
    <cfRule type="expression" priority="2" aboveAverage="0" equalAverage="0" bottom="0" percent="0" rank="0" text="" dxfId="624">
      <formula>MOD(ROW(),2)=1</formula>
    </cfRule>
  </conditionalFormatting>
  <conditionalFormatting sqref="F2:G12">
    <cfRule type="timePeriod" priority="3" timePeriod="yesterday" dxfId="625"/>
    <cfRule type="timePeriod" priority="4" timePeriod="today" dxfId="626"/>
    <cfRule type="cellIs" priority="5" operator="lessThan" aboveAverage="0" equalAverage="0" bottom="0" percent="0" rank="0" text="" dxfId="627">
      <formula>_xludf.today()</formula>
    </cfRule>
  </conditionalFormatting>
  <conditionalFormatting sqref="F26:F29 F2:G25 F68:G68 F49:G49 F75:G97 F47:G47 F51:G51 G52 G58 G64:G65 F52:F65">
    <cfRule type="cellIs" priority="6" operator="lessThan" aboveAverage="0" equalAverage="0" bottom="0" percent="0" rank="0" text="" dxfId="628">
      <formula>TODAY()</formula>
    </cfRule>
    <cfRule type="timePeriod" priority="7" timePeriod="last7Days" dxfId="629"/>
    <cfRule type="timePeriod" priority="8" timePeriod="yesterday" dxfId="630"/>
    <cfRule type="timePeriod" priority="9" timePeriod="lastMonth" dxfId="631"/>
    <cfRule type="timePeriod" priority="10" timePeriod="yesterday" dxfId="632"/>
    <cfRule type="timePeriod" priority="11" timePeriod="today" dxfId="633"/>
  </conditionalFormatting>
  <conditionalFormatting sqref="F13:G13">
    <cfRule type="timePeriod" priority="12" timePeriod="yesterday" dxfId="634"/>
    <cfRule type="timePeriod" priority="13" timePeriod="today" dxfId="635"/>
    <cfRule type="cellIs" priority="14" operator="lessThan" aboveAverage="0" equalAverage="0" bottom="0" percent="0" rank="0" text="" dxfId="636">
      <formula>_xludf.today()</formula>
    </cfRule>
  </conditionalFormatting>
  <conditionalFormatting sqref="F14:G14">
    <cfRule type="timePeriod" priority="15" timePeriod="yesterday" dxfId="637"/>
    <cfRule type="timePeriod" priority="16" timePeriod="today" dxfId="638"/>
    <cfRule type="cellIs" priority="17" operator="lessThan" aboveAverage="0" equalAverage="0" bottom="0" percent="0" rank="0" text="" dxfId="639">
      <formula>_xludf.today()</formula>
    </cfRule>
  </conditionalFormatting>
  <conditionalFormatting sqref="B27:G29 B30:C30 F30:G30 E26:G26">
    <cfRule type="expression" priority="18" aboveAverage="0" equalAverage="0" bottom="0" percent="0" rank="0" text="" dxfId="640">
      <formula>MOD(ROW(),2)=1</formula>
    </cfRule>
  </conditionalFormatting>
  <conditionalFormatting sqref="F26:G30">
    <cfRule type="cellIs" priority="19" operator="lessThan" aboveAverage="0" equalAverage="0" bottom="0" percent="0" rank="0" text="" dxfId="641">
      <formula>TODAY()</formula>
    </cfRule>
    <cfRule type="timePeriod" priority="20" timePeriod="last7Days" dxfId="642"/>
    <cfRule type="timePeriod" priority="21" timePeriod="yesterday" dxfId="643"/>
    <cfRule type="timePeriod" priority="22" timePeriod="lastMonth" dxfId="644"/>
    <cfRule type="timePeriod" priority="23" timePeriod="yesterday" dxfId="645"/>
    <cfRule type="timePeriod" priority="24" timePeriod="today" dxfId="646"/>
  </conditionalFormatting>
  <conditionalFormatting sqref="B31:G31">
    <cfRule type="expression" priority="25" aboveAverage="0" equalAverage="0" bottom="0" percent="0" rank="0" text="" dxfId="647">
      <formula>MOD(ROW(),2)=1</formula>
    </cfRule>
  </conditionalFormatting>
  <conditionalFormatting sqref="F31:G31">
    <cfRule type="cellIs" priority="26" operator="lessThan" aboveAverage="0" equalAverage="0" bottom="0" percent="0" rank="0" text="" dxfId="648">
      <formula>TODAY()</formula>
    </cfRule>
    <cfRule type="timePeriod" priority="27" timePeriod="last7Days" dxfId="649"/>
    <cfRule type="timePeriod" priority="28" timePeriod="yesterday" dxfId="650"/>
    <cfRule type="timePeriod" priority="29" timePeriod="lastMonth" dxfId="651"/>
    <cfRule type="timePeriod" priority="30" timePeriod="yesterday" dxfId="652"/>
    <cfRule type="timePeriod" priority="31" timePeriod="today" dxfId="653"/>
  </conditionalFormatting>
  <conditionalFormatting sqref="I15:I30">
    <cfRule type="expression" priority="32" aboveAverage="0" equalAverage="0" bottom="0" percent="0" rank="0" text="" dxfId="654">
      <formula>MOD(ROW(),2)=1</formula>
    </cfRule>
  </conditionalFormatting>
  <conditionalFormatting sqref="F14:F15">
    <cfRule type="timePeriod" priority="34" timePeriod="yesterday" dxfId="655"/>
    <cfRule type="timePeriod" priority="35" timePeriod="today" dxfId="656"/>
    <cfRule type="cellIs" priority="36" operator="lessThan" aboveAverage="0" equalAverage="0" bottom="0" percent="0" rank="0" text="" dxfId="657">
      <formula>_xludf.today()</formula>
    </cfRule>
  </conditionalFormatting>
  <conditionalFormatting sqref="F16">
    <cfRule type="timePeriod" priority="37" timePeriod="yesterday" dxfId="658"/>
    <cfRule type="timePeriod" priority="38" timePeriod="today" dxfId="659"/>
    <cfRule type="cellIs" priority="39" operator="lessThan" aboveAverage="0" equalAverage="0" bottom="0" percent="0" rank="0" text="" dxfId="660">
      <formula>_xludf.today()</formula>
    </cfRule>
  </conditionalFormatting>
  <conditionalFormatting sqref="F19">
    <cfRule type="timePeriod" priority="40" timePeriod="yesterday" dxfId="661"/>
    <cfRule type="timePeriod" priority="41" timePeriod="today" dxfId="662"/>
    <cfRule type="cellIs" priority="42" operator="lessThan" aboveAverage="0" equalAverage="0" bottom="0" percent="0" rank="0" text="" dxfId="663">
      <formula>_xludf.today()</formula>
    </cfRule>
  </conditionalFormatting>
  <conditionalFormatting sqref="B27:B28">
    <cfRule type="expression" priority="43" aboveAverage="0" equalAverage="0" bottom="0" percent="0" rank="0" text="" dxfId="664">
      <formula>MOD(ROW(),2)=1</formula>
    </cfRule>
  </conditionalFormatting>
  <conditionalFormatting sqref="I68">
    <cfRule type="expression" priority="44" aboveAverage="0" equalAverage="0" bottom="0" percent="0" rank="0" text="" dxfId="665">
      <formula>MOD(ROW(),2)=1</formula>
    </cfRule>
  </conditionalFormatting>
  <conditionalFormatting sqref="I68">
    <cfRule type="expression" priority="46" aboveAverage="0" equalAverage="0" bottom="0" percent="0" rank="0" text="" dxfId="666">
      <formula>MOD(ROW(),2)=1</formula>
    </cfRule>
  </conditionalFormatting>
  <conditionalFormatting sqref="H68">
    <cfRule type="expression" priority="47" aboveAverage="0" equalAverage="0" bottom="0" percent="0" rank="0" text="" dxfId="667">
      <formula>MOD(ROW(),2)=1</formula>
    </cfRule>
  </conditionalFormatting>
  <conditionalFormatting sqref="H97">
    <cfRule type="expression" priority="48" aboveAverage="0" equalAverage="0" bottom="0" percent="0" rank="0" text="" dxfId="668">
      <formula>MOD(ROW(),2)=1</formula>
    </cfRule>
  </conditionalFormatting>
  <conditionalFormatting sqref="I31">
    <cfRule type="expression" priority="49" aboveAverage="0" equalAverage="0" bottom="0" percent="0" rank="0" text="" dxfId="669">
      <formula>MOD(ROW(),2)=1</formula>
    </cfRule>
  </conditionalFormatting>
  <conditionalFormatting sqref="I12">
    <cfRule type="expression" priority="51" aboveAverage="0" equalAverage="0" bottom="0" percent="0" rank="0" text="" dxfId="670">
      <formula>MOD(ROW(),2)=1</formula>
    </cfRule>
  </conditionalFormatting>
  <conditionalFormatting sqref="I92">
    <cfRule type="expression" priority="53" aboveAverage="0" equalAverage="0" bottom="0" percent="0" rank="0" text="" dxfId="671">
      <formula>MOD(ROW(),2)=1</formula>
    </cfRule>
  </conditionalFormatting>
  <conditionalFormatting sqref="D30">
    <cfRule type="expression" priority="55" aboveAverage="0" equalAverage="0" bottom="0" percent="0" rank="0" text="" dxfId="672">
      <formula>MOD(ROW(),2)=1</formula>
    </cfRule>
  </conditionalFormatting>
  <conditionalFormatting sqref="E30">
    <cfRule type="expression" priority="56" aboveAverage="0" equalAverage="0" bottom="0" percent="0" rank="0" text="" dxfId="673">
      <formula>MOD(ROW(),2)=1</formula>
    </cfRule>
  </conditionalFormatting>
  <conditionalFormatting sqref="B32:G32">
    <cfRule type="expression" priority="57" aboveAverage="0" equalAverage="0" bottom="0" percent="0" rank="0" text="" dxfId="674">
      <formula>MOD(ROW(),2)=1</formula>
    </cfRule>
  </conditionalFormatting>
  <conditionalFormatting sqref="F32:G32">
    <cfRule type="cellIs" priority="58" operator="lessThan" aboveAverage="0" equalAverage="0" bottom="0" percent="0" rank="0" text="" dxfId="675">
      <formula>TODAY()</formula>
    </cfRule>
    <cfRule type="timePeriod" priority="59" timePeriod="last7Days" dxfId="676"/>
    <cfRule type="timePeriod" priority="60" timePeriod="yesterday" dxfId="677"/>
    <cfRule type="timePeriod" priority="61" timePeriod="lastMonth" dxfId="678"/>
    <cfRule type="timePeriod" priority="62" timePeriod="yesterday" dxfId="679"/>
    <cfRule type="timePeriod" priority="63" timePeriod="today" dxfId="680"/>
  </conditionalFormatting>
  <conditionalFormatting sqref="I32">
    <cfRule type="expression" priority="64" aboveAverage="0" equalAverage="0" bottom="0" percent="0" rank="0" text="" dxfId="681">
      <formula>MOD(ROW(),2)=1</formula>
    </cfRule>
  </conditionalFormatting>
  <conditionalFormatting sqref="I32">
    <cfRule type="expression" priority="66" aboveAverage="0" equalAverage="0" bottom="0" percent="0" rank="0" text="" dxfId="682">
      <formula>MOD(ROW(),2)=1</formula>
    </cfRule>
  </conditionalFormatting>
  <conditionalFormatting sqref="H32">
    <cfRule type="expression" priority="67" aboveAverage="0" equalAverage="0" bottom="0" percent="0" rank="0" text="" dxfId="683">
      <formula>MOD(ROW(),2)=1</formula>
    </cfRule>
  </conditionalFormatting>
  <conditionalFormatting sqref="B45:G46 B57:E57 B59:E59 G59 G57">
    <cfRule type="expression" priority="68" aboveAverage="0" equalAverage="0" bottom="0" percent="0" rank="0" text="" dxfId="684">
      <formula>MOD(ROW(),2)=1</formula>
    </cfRule>
  </conditionalFormatting>
  <conditionalFormatting sqref="F45:G46 G57 G59">
    <cfRule type="cellIs" priority="69" operator="lessThan" aboveAverage="0" equalAverage="0" bottom="0" percent="0" rank="0" text="" dxfId="685">
      <formula>TODAY()</formula>
    </cfRule>
    <cfRule type="timePeriod" priority="70" timePeriod="last7Days" dxfId="686"/>
    <cfRule type="timePeriod" priority="71" timePeriod="yesterday" dxfId="687"/>
    <cfRule type="timePeriod" priority="72" timePeriod="lastMonth" dxfId="688"/>
    <cfRule type="timePeriod" priority="73" timePeriod="yesterday" dxfId="689"/>
    <cfRule type="timePeriod" priority="74" timePeriod="today" dxfId="690"/>
  </conditionalFormatting>
  <conditionalFormatting sqref="D33:G33 D36:E37 D40:E41 D44:G44 D55:E56 D60:E61 G40:G41 G36:G37 G60:G61 G55:G56">
    <cfRule type="expression" priority="75" aboveAverage="0" equalAverage="0" bottom="0" percent="0" rank="0" text="" dxfId="691">
      <formula>MOD(ROW(),2)=1</formula>
    </cfRule>
  </conditionalFormatting>
  <conditionalFormatting sqref="F33:G33 G36:G37 G40:G41 F44:G44 G55:G56 G60:G61">
    <cfRule type="cellIs" priority="76" operator="lessThan" aboveAverage="0" equalAverage="0" bottom="0" percent="0" rank="0" text="" dxfId="692">
      <formula>TODAY()</formula>
    </cfRule>
    <cfRule type="timePeriod" priority="77" timePeriod="last7Days" dxfId="693"/>
    <cfRule type="timePeriod" priority="78" timePeriod="yesterday" dxfId="694"/>
    <cfRule type="timePeriod" priority="79" timePeriod="lastMonth" dxfId="695"/>
    <cfRule type="timePeriod" priority="80" timePeriod="yesterday" dxfId="696"/>
    <cfRule type="timePeriod" priority="81" timePeriod="today" dxfId="697"/>
  </conditionalFormatting>
  <conditionalFormatting sqref="B34:G35 B38:E39 B43:G43 B50:G50 B53:E54 B33:C33 B36:C37 B40:C41 B44:C44 B55:C56 B60:C61 B42:E42 G42 G38:G39 G53:G54">
    <cfRule type="expression" priority="82" aboveAverage="0" equalAverage="0" bottom="0" percent="0" rank="0" text="" dxfId="698">
      <formula>MOD(ROW(),2)=1</formula>
    </cfRule>
  </conditionalFormatting>
  <conditionalFormatting sqref="F34:G35 G38:G39 F43:G43 F50:G50 G53:G54 G42">
    <cfRule type="cellIs" priority="83" operator="lessThan" aboveAverage="0" equalAverage="0" bottom="0" percent="0" rank="0" text="" dxfId="699">
      <formula>TODAY()</formula>
    </cfRule>
    <cfRule type="timePeriod" priority="84" timePeriod="last7Days" dxfId="700"/>
    <cfRule type="timePeriod" priority="85" timePeriod="yesterday" dxfId="701"/>
    <cfRule type="timePeriod" priority="86" timePeriod="lastMonth" dxfId="702"/>
    <cfRule type="timePeriod" priority="87" timePeriod="yesterday" dxfId="703"/>
    <cfRule type="timePeriod" priority="88" timePeriod="today" dxfId="704"/>
  </conditionalFormatting>
  <conditionalFormatting sqref="I34 I38 I42 I45 I50 I53">
    <cfRule type="expression" priority="89" aboveAverage="0" equalAverage="0" bottom="0" percent="0" rank="0" text="" dxfId="705">
      <formula>MOD(ROW(),2)=1</formula>
    </cfRule>
  </conditionalFormatting>
  <conditionalFormatting sqref="I35 I39 I43 I46 I48 I54 I57 I59">
    <cfRule type="expression" priority="90" aboveAverage="0" equalAverage="0" bottom="0" percent="0" rank="0" text="" dxfId="706">
      <formula>MOD(ROW(),2)=1</formula>
    </cfRule>
  </conditionalFormatting>
  <conditionalFormatting sqref="I33 I36:I37 I40:I41 I44 I55:I56 I60:I61">
    <cfRule type="expression" priority="91" aboveAverage="0" equalAverage="0" bottom="0" percent="0" rank="0" text="" dxfId="707">
      <formula>MOD(ROW(),2)=1</formula>
    </cfRule>
  </conditionalFormatting>
  <conditionalFormatting sqref="H48">
    <cfRule type="expression" priority="92" aboveAverage="0" equalAverage="0" bottom="0" percent="0" rank="0" text="" dxfId="708">
      <formula>MOD(ROW(),2)=1</formula>
    </cfRule>
  </conditionalFormatting>
  <conditionalFormatting sqref="B48:D48 F48:G48">
    <cfRule type="expression" priority="93" aboveAverage="0" equalAverage="0" bottom="0" percent="0" rank="0" text="" dxfId="709">
      <formula>MOD(ROW(),2)=1</formula>
    </cfRule>
  </conditionalFormatting>
  <conditionalFormatting sqref="F48:G48">
    <cfRule type="cellIs" priority="94" operator="lessThan" aboveAverage="0" equalAverage="0" bottom="0" percent="0" rank="0" text="" dxfId="710">
      <formula>TODAY()</formula>
    </cfRule>
    <cfRule type="timePeriod" priority="95" timePeriod="last7Days" dxfId="711"/>
    <cfRule type="timePeriod" priority="96" timePeriod="yesterday" dxfId="712"/>
    <cfRule type="timePeriod" priority="97" timePeriod="lastMonth" dxfId="713"/>
    <cfRule type="timePeriod" priority="98" timePeriod="yesterday" dxfId="714"/>
    <cfRule type="timePeriod" priority="99" timePeriod="today" dxfId="715"/>
  </conditionalFormatting>
  <conditionalFormatting sqref="B62:E62 G62:I62">
    <cfRule type="expression" priority="100" aboveAverage="0" equalAverage="0" bottom="0" percent="0" rank="0" text="" dxfId="716">
      <formula>MOD(ROW(),2)=1</formula>
    </cfRule>
  </conditionalFormatting>
  <conditionalFormatting sqref="G62">
    <cfRule type="cellIs" priority="101" operator="lessThan" aboveAverage="0" equalAverage="0" bottom="0" percent="0" rank="0" text="" dxfId="717">
      <formula>TODAY()</formula>
    </cfRule>
    <cfRule type="timePeriod" priority="102" timePeriod="last7Days" dxfId="718"/>
    <cfRule type="timePeriod" priority="103" timePeriod="yesterday" dxfId="719"/>
    <cfRule type="timePeriod" priority="104" timePeriod="lastMonth" dxfId="720"/>
    <cfRule type="timePeriod" priority="105" timePeriod="yesterday" dxfId="721"/>
    <cfRule type="timePeriod" priority="106" timePeriod="today" dxfId="722"/>
  </conditionalFormatting>
  <conditionalFormatting sqref="F36:F42">
    <cfRule type="expression" priority="107" aboveAverage="0" equalAverage="0" bottom="0" percent="0" rank="0" text="" dxfId="723">
      <formula>MOD(ROW(),2)=1</formula>
    </cfRule>
  </conditionalFormatting>
  <conditionalFormatting sqref="F36:F42">
    <cfRule type="cellIs" priority="108" operator="lessThan" aboveAverage="0" equalAverage="0" bottom="0" percent="0" rank="0" text="" dxfId="724">
      <formula>TODAY()</formula>
    </cfRule>
    <cfRule type="timePeriod" priority="109" timePeriod="last7Days" dxfId="725"/>
    <cfRule type="timePeriod" priority="110" timePeriod="yesterday" dxfId="726"/>
    <cfRule type="timePeriod" priority="111" timePeriod="lastMonth" dxfId="727"/>
    <cfRule type="timePeriod" priority="112" timePeriod="yesterday" dxfId="728"/>
    <cfRule type="timePeriod" priority="113" timePeriod="today" dxfId="729"/>
  </conditionalFormatting>
  <conditionalFormatting sqref="B63:E63 G63:I63">
    <cfRule type="expression" priority="114" aboveAverage="0" equalAverage="0" bottom="0" percent="0" rank="0" text="" dxfId="730">
      <formula>MOD(ROW(),2)=1</formula>
    </cfRule>
  </conditionalFormatting>
  <conditionalFormatting sqref="G63">
    <cfRule type="cellIs" priority="115" operator="lessThan" aboveAverage="0" equalAverage="0" bottom="0" percent="0" rank="0" text="" dxfId="731">
      <formula>TODAY()</formula>
    </cfRule>
    <cfRule type="timePeriod" priority="116" timePeriod="last7Days" dxfId="732"/>
    <cfRule type="timePeriod" priority="117" timePeriod="yesterday" dxfId="733"/>
    <cfRule type="timePeriod" priority="118" timePeriod="lastMonth" dxfId="734"/>
    <cfRule type="timePeriod" priority="119" timePeriod="yesterday" dxfId="735"/>
    <cfRule type="timePeriod" priority="120" timePeriod="today" dxfId="736"/>
  </conditionalFormatting>
  <conditionalFormatting sqref="B80:D84 F80:G84 B69:G71 B85:G90">
    <cfRule type="expression" priority="121" aboveAverage="0" equalAverage="0" bottom="0" percent="0" rank="0" text="" dxfId="737">
      <formula>MOD(ROW(),2)=1</formula>
    </cfRule>
  </conditionalFormatting>
  <conditionalFormatting sqref="F69:G71">
    <cfRule type="cellIs" priority="122" operator="lessThan" aboveAverage="0" equalAverage="0" bottom="0" percent="0" rank="0" text="" dxfId="738">
      <formula>TODAY()</formula>
    </cfRule>
    <cfRule type="timePeriod" priority="123" timePeriod="last7Days" dxfId="739"/>
    <cfRule type="timePeriod" priority="124" timePeriod="yesterday" dxfId="740"/>
    <cfRule type="timePeriod" priority="125" timePeriod="lastMonth" dxfId="741"/>
    <cfRule type="timePeriod" priority="126" timePeriod="yesterday" dxfId="742"/>
    <cfRule type="timePeriod" priority="127" timePeriod="today" dxfId="743"/>
  </conditionalFormatting>
  <conditionalFormatting sqref="I86">
    <cfRule type="expression" priority="128" aboveAverage="0" equalAverage="0" bottom="0" percent="0" rank="0" text="" dxfId="744">
      <formula>MOD(ROW(),2)=1</formula>
    </cfRule>
  </conditionalFormatting>
  <conditionalFormatting sqref="E80:E84">
    <cfRule type="expression" priority="130" aboveAverage="0" equalAverage="0" bottom="0" percent="0" rank="0" text="" dxfId="745">
      <formula>MOD(ROW(),2)=1</formula>
    </cfRule>
  </conditionalFormatting>
  <conditionalFormatting sqref="H72:I74">
    <cfRule type="expression" priority="131" aboveAverage="0" equalAverage="0" bottom="0" percent="0" rank="0" text="" dxfId="746">
      <formula>MOD(ROW(),2)=1</formula>
    </cfRule>
  </conditionalFormatting>
  <conditionalFormatting sqref="B72:G74">
    <cfRule type="expression" priority="132" aboveAverage="0" equalAverage="0" bottom="0" percent="0" rank="0" text="" dxfId="747">
      <formula>MOD(ROW(),2)=1</formula>
    </cfRule>
  </conditionalFormatting>
  <conditionalFormatting sqref="F72:G74">
    <cfRule type="cellIs" priority="133" operator="lessThan" aboveAverage="0" equalAverage="0" bottom="0" percent="0" rank="0" text="" dxfId="748">
      <formula>TODAY()</formula>
    </cfRule>
    <cfRule type="timePeriod" priority="134" timePeriod="last7Days" dxfId="749"/>
    <cfRule type="timePeriod" priority="135" timePeriod="yesterday" dxfId="750"/>
    <cfRule type="timePeriod" priority="136" timePeriod="lastMonth" dxfId="751"/>
    <cfRule type="timePeriod" priority="137" timePeriod="yesterday" dxfId="752"/>
    <cfRule type="timePeriod" priority="138" timePeriod="today" dxfId="753"/>
  </conditionalFormatting>
  <conditionalFormatting sqref="E48">
    <cfRule type="expression" priority="139" aboveAverage="0" equalAverage="0" bottom="0" percent="0" rank="0" text="" dxfId="754">
      <formula>MOD(ROW(),2)=1</formula>
    </cfRule>
  </conditionalFormatting>
  <conditionalFormatting sqref="B66:I67">
    <cfRule type="expression" priority="140" aboveAverage="0" equalAverage="0" bottom="0" percent="0" rank="0" text="" dxfId="755">
      <formula>MOD(ROW(),2)=1</formula>
    </cfRule>
  </conditionalFormatting>
  <conditionalFormatting sqref="F66:G67">
    <cfRule type="cellIs" priority="141" operator="lessThan" aboveAverage="0" equalAverage="0" bottom="0" percent="0" rank="0" text="" dxfId="756">
      <formula>TODAY()</formula>
    </cfRule>
    <cfRule type="timePeriod" priority="142" timePeriod="last7Days" dxfId="757"/>
    <cfRule type="timePeriod" priority="143" timePeriod="yesterday" dxfId="758"/>
    <cfRule type="timePeriod" priority="144" timePeriod="lastMonth" dxfId="759"/>
    <cfRule type="timePeriod" priority="145" timePeriod="yesterday" dxfId="760"/>
    <cfRule type="timePeriod" priority="146" timePeriod="today" dxfId="761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AB1582C2-BDA6-4A5F-92B3-BE67C167C15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I15:I30</xm:sqref>
        </x14:conditionalFormatting>
        <x14:conditionalFormatting xmlns:xm="http://schemas.microsoft.com/office/excel/2006/main">
          <x14:cfRule type="iconSet" priority="45" id="{4717F14A-193B-4C50-A41B-F66BAD374B2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I68</xm:sqref>
        </x14:conditionalFormatting>
        <x14:conditionalFormatting xmlns:xm="http://schemas.microsoft.com/office/excel/2006/main">
          <x14:cfRule type="iconSet" priority="50" id="{D4244B4F-9B22-409D-928C-5CB814E1139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</xm:sqref>
        </x14:conditionalFormatting>
        <x14:conditionalFormatting xmlns:xm="http://schemas.microsoft.com/office/excel/2006/main">
          <x14:cfRule type="iconSet" priority="52" id="{3F877C93-1299-46EC-A0BF-FB4C159EFC2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54" id="{CEEA6E10-6192-4B94-B2E7-467941111F1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I92</xm:sqref>
        </x14:conditionalFormatting>
        <x14:conditionalFormatting xmlns:xm="http://schemas.microsoft.com/office/excel/2006/main">
          <x14:cfRule type="iconSet" priority="65" id="{F987A52D-77B3-466F-A7BC-FDFDAE894AF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</xm:sqref>
        </x14:conditionalFormatting>
        <x14:conditionalFormatting xmlns:xm="http://schemas.microsoft.com/office/excel/2006/main">
          <x14:cfRule type="iconSet" priority="129" id="{364BCA66-ABFF-4F47-AC50-5C12F213EBD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I86</xm:sqref>
        </x14:conditionalFormatting>
        <x14:conditionalFormatting xmlns:xm="http://schemas.microsoft.com/office/excel/2006/main">
          <x14:cfRule type="iconSet" priority="147" id="{4357A154-8286-48EF-A8AE-6E978A67513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8" id="{AB3FEED3-6DF0-4AF5-A7CE-386420EC3CE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A69 A33 A2</xm:sqref>
        </x14:conditionalFormatting>
        <x14:conditionalFormatting xmlns:xm="http://schemas.microsoft.com/office/excel/2006/main">
          <x14:cfRule type="iconSet" priority="149" id="{1F6D7AB5-57E8-4993-9E2F-FAF260635B5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50" id="{A6B01395-2B1E-4B17-8DD5-6AD6D81241D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I6:I8</xm:sqref>
        </x14:conditionalFormatting>
        <x14:conditionalFormatting xmlns:xm="http://schemas.microsoft.com/office/excel/2006/main">
          <x14:cfRule type="iconSet" priority="151" id="{AA8CE0B2-CA50-4DA8-AB3D-E44C83C8A7E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52" id="{B7B83B24-9520-47E1-9AA9-46763865614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53" id="{19F3B110-3CD0-4829-9CF7-B7C815FEE72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154" id="{9050B59A-D7A2-4A6B-B78C-CDB4BD301B5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I20:I25</xm:sqref>
        </x14:conditionalFormatting>
        <x14:conditionalFormatting xmlns:xm="http://schemas.microsoft.com/office/excel/2006/main">
          <x14:cfRule type="iconSet" priority="155" id="{A485614E-8FE0-4EB7-BFD7-6A747D42B93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I13:I14 I3:I11</xm:sqref>
        </x14:conditionalFormatting>
        <x14:conditionalFormatting xmlns:xm="http://schemas.microsoft.com/office/excel/2006/main">
          <x14:cfRule type="iconSet" priority="156" id="{9EC81FFE-89FD-4D4E-8C31-B82C9438C77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I3:I8</xm:sqref>
        </x14:conditionalFormatting>
        <x14:conditionalFormatting xmlns:xm="http://schemas.microsoft.com/office/excel/2006/main">
          <x14:cfRule type="iconSet" priority="157" id="{C017183C-1CE8-4510-BE8E-44DA8BE425C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I91 I93:I97</xm:sqref>
        </x14:conditionalFormatting>
        <x14:conditionalFormatting xmlns:xm="http://schemas.microsoft.com/office/excel/2006/main">
          <x14:cfRule type="iconSet" priority="158" id="{4E60F73A-926B-4191-901A-9BD9C882C7C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I53 I50 I34 I38 I42 I45</xm:sqref>
        </x14:conditionalFormatting>
        <x14:conditionalFormatting xmlns:xm="http://schemas.microsoft.com/office/excel/2006/main">
          <x14:cfRule type="iconSet" priority="159" id="{2EAC654B-EFA4-4A60-B0AF-C937327EF33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I59 I54 I35 I39 I43 I46 I48 I57</xm:sqref>
        </x14:conditionalFormatting>
        <x14:conditionalFormatting xmlns:xm="http://schemas.microsoft.com/office/excel/2006/main">
          <x14:cfRule type="iconSet" priority="160" id="{749EB0A2-98F4-4AF9-9819-E1D52762A9C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I62</xm:sqref>
        </x14:conditionalFormatting>
        <x14:conditionalFormatting xmlns:xm="http://schemas.microsoft.com/office/excel/2006/main">
          <x14:cfRule type="iconSet" priority="161" id="{87CECDE0-52B0-4069-8161-A23140615D5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I60:I61 I55:I56 I33 I36:I37 I40:I41 I44 I47 I49 I51:I52 I58</xm:sqref>
        </x14:conditionalFormatting>
        <x14:conditionalFormatting xmlns:xm="http://schemas.microsoft.com/office/excel/2006/main">
          <x14:cfRule type="iconSet" priority="162" id="{4383837D-7BEE-4AA0-AB25-BE311D54B72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I63</xm:sqref>
        </x14:conditionalFormatting>
        <x14:conditionalFormatting xmlns:xm="http://schemas.microsoft.com/office/excel/2006/main">
          <x14:cfRule type="iconSet" priority="163" id="{A3BBDCF4-4879-4273-B8C0-205379493D7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I80:I85 I87:I90</xm:sqref>
        </x14:conditionalFormatting>
        <x14:conditionalFormatting xmlns:xm="http://schemas.microsoft.com/office/excel/2006/main">
          <x14:cfRule type="iconSet" priority="164" id="{98A3ED69-1F5C-40CD-A764-3BF51E88387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I69:I71 I75:I79</xm:sqref>
        </x14:conditionalFormatting>
        <x14:conditionalFormatting xmlns:xm="http://schemas.microsoft.com/office/excel/2006/main">
          <x14:cfRule type="iconSet" priority="165" id="{4FA2521F-F556-4D2A-B44B-60E336E9387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I72:I74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0" activePane="bottomLeft" state="frozen"/>
      <selection pane="topLeft" activeCell="A1" activeCellId="0" sqref="A1"/>
      <selection pane="bottomLeft" activeCell="B29" activeCellId="0" sqref="B29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 t="s">
        <v>454</v>
      </c>
      <c r="C2" s="12" t="s">
        <v>860</v>
      </c>
      <c r="D2" s="264" t="n">
        <v>3297.46</v>
      </c>
      <c r="E2" s="14" t="s">
        <v>253</v>
      </c>
      <c r="F2" s="15" t="n">
        <v>44772</v>
      </c>
      <c r="G2" s="16"/>
      <c r="H2" s="17" t="n">
        <f aca="false">D2-G2</f>
        <v>3297.46</v>
      </c>
      <c r="I2" s="263"/>
    </row>
    <row r="3" customFormat="false" ht="18.6" hidden="false" customHeight="true" outlineLevel="0" collapsed="false">
      <c r="A3" s="261"/>
      <c r="B3" s="11" t="s">
        <v>454</v>
      </c>
      <c r="C3" s="12" t="s">
        <v>861</v>
      </c>
      <c r="D3" s="264" t="n">
        <v>380.11</v>
      </c>
      <c r="E3" s="14" t="s">
        <v>253</v>
      </c>
      <c r="F3" s="15" t="n">
        <v>44772</v>
      </c>
      <c r="G3" s="16"/>
      <c r="H3" s="17" t="n">
        <f aca="false">D3-G3</f>
        <v>380.11</v>
      </c>
      <c r="I3" s="263"/>
    </row>
    <row r="4" customFormat="false" ht="18.6" hidden="false" customHeight="true" outlineLevel="0" collapsed="false">
      <c r="A4" s="261"/>
      <c r="B4" s="11" t="s">
        <v>284</v>
      </c>
      <c r="C4" s="12" t="s">
        <v>862</v>
      </c>
      <c r="D4" s="264" t="n">
        <v>3656.76</v>
      </c>
      <c r="E4" s="14" t="s">
        <v>625</v>
      </c>
      <c r="F4" s="15" t="n">
        <v>44773</v>
      </c>
      <c r="G4" s="16"/>
      <c r="H4" s="17" t="n">
        <f aca="false">D4-G4</f>
        <v>3656.76</v>
      </c>
      <c r="I4" s="263"/>
      <c r="K4" s="18"/>
    </row>
    <row r="5" customFormat="false" ht="18.6" hidden="false" customHeight="true" outlineLevel="0" collapsed="false">
      <c r="A5" s="261"/>
      <c r="B5" s="11" t="s">
        <v>273</v>
      </c>
      <c r="C5" s="12" t="s">
        <v>863</v>
      </c>
      <c r="D5" s="264" t="n">
        <v>1210.57</v>
      </c>
      <c r="E5" s="14"/>
      <c r="F5" s="15" t="n">
        <v>44773</v>
      </c>
      <c r="G5" s="16"/>
      <c r="H5" s="17" t="n">
        <f aca="false">D5-G5</f>
        <v>1210.57</v>
      </c>
      <c r="I5" s="263"/>
      <c r="K5" s="19"/>
    </row>
    <row r="6" customFormat="false" ht="18.6" hidden="false" customHeight="true" outlineLevel="0" collapsed="false">
      <c r="A6" s="261"/>
      <c r="B6" s="11" t="s">
        <v>166</v>
      </c>
      <c r="C6" s="12" t="s">
        <v>864</v>
      </c>
      <c r="D6" s="264" t="n">
        <v>3667.15</v>
      </c>
      <c r="E6" s="14"/>
      <c r="F6" s="15" t="n">
        <v>44773</v>
      </c>
      <c r="G6" s="16"/>
      <c r="H6" s="17" t="n">
        <f aca="false">D6-G6</f>
        <v>3667.15</v>
      </c>
      <c r="I6" s="263"/>
      <c r="K6" s="19" t="s">
        <v>506</v>
      </c>
    </row>
    <row r="7" customFormat="false" ht="18.6" hidden="false" customHeight="true" outlineLevel="0" collapsed="false">
      <c r="A7" s="261"/>
      <c r="B7" s="11" t="s">
        <v>289</v>
      </c>
      <c r="C7" s="12" t="s">
        <v>865</v>
      </c>
      <c r="D7" s="264" t="n">
        <v>311.07</v>
      </c>
      <c r="E7" s="14" t="s">
        <v>625</v>
      </c>
      <c r="F7" s="15" t="n">
        <v>44773</v>
      </c>
      <c r="G7" s="16"/>
      <c r="H7" s="17" t="n">
        <f aca="false">D7-G7</f>
        <v>311.07</v>
      </c>
      <c r="I7" s="263"/>
      <c r="K7" s="19"/>
    </row>
    <row r="8" customFormat="false" ht="18.6" hidden="false" customHeight="true" outlineLevel="0" collapsed="false">
      <c r="A8" s="261"/>
      <c r="B8" s="11" t="s">
        <v>291</v>
      </c>
      <c r="C8" s="12" t="s">
        <v>866</v>
      </c>
      <c r="D8" s="264" t="n">
        <v>666.77</v>
      </c>
      <c r="E8" s="14"/>
      <c r="F8" s="15" t="n">
        <v>44772</v>
      </c>
      <c r="G8" s="16"/>
      <c r="H8" s="17" t="n">
        <f aca="false">D8-G8</f>
        <v>666.77</v>
      </c>
      <c r="I8" s="263"/>
      <c r="K8" s="20" t="n">
        <f aca="false">D106</f>
        <v>223729.03</v>
      </c>
      <c r="L8" s="20"/>
    </row>
    <row r="9" customFormat="false" ht="18.6" hidden="false" customHeight="true" outlineLevel="0" collapsed="false">
      <c r="A9" s="261"/>
      <c r="B9" s="11" t="s">
        <v>291</v>
      </c>
      <c r="C9" s="12" t="s">
        <v>867</v>
      </c>
      <c r="D9" s="264" t="n">
        <v>713.62</v>
      </c>
      <c r="E9" s="14"/>
      <c r="F9" s="15" t="n">
        <v>44773</v>
      </c>
      <c r="G9" s="16"/>
      <c r="H9" s="17" t="n">
        <f aca="false">D9-G9</f>
        <v>713.62</v>
      </c>
      <c r="I9" s="263"/>
      <c r="K9" s="19"/>
    </row>
    <row r="10" customFormat="false" ht="18.6" hidden="false" customHeight="true" outlineLevel="0" collapsed="false">
      <c r="A10" s="261"/>
      <c r="B10" s="11" t="s">
        <v>291</v>
      </c>
      <c r="C10" s="12" t="s">
        <v>868</v>
      </c>
      <c r="D10" s="264" t="n">
        <v>13.66</v>
      </c>
      <c r="E10" s="14" t="s">
        <v>253</v>
      </c>
      <c r="F10" s="15" t="n">
        <v>44773</v>
      </c>
      <c r="G10" s="16"/>
      <c r="H10" s="17" t="n">
        <f aca="false">D10-G10</f>
        <v>13.66</v>
      </c>
      <c r="I10" s="265"/>
      <c r="K10" s="20" t="n">
        <f aca="false">D36</f>
        <v>41285.48</v>
      </c>
      <c r="L10" s="20"/>
    </row>
    <row r="11" customFormat="false" ht="18.6" hidden="false" customHeight="true" outlineLevel="0" collapsed="false">
      <c r="A11" s="261"/>
      <c r="B11" s="11" t="s">
        <v>291</v>
      </c>
      <c r="C11" s="12" t="s">
        <v>869</v>
      </c>
      <c r="D11" s="264" t="n">
        <v>427.03</v>
      </c>
      <c r="E11" s="14"/>
      <c r="F11" s="15" t="n">
        <v>44773</v>
      </c>
      <c r="G11" s="16"/>
      <c r="H11" s="17" t="n">
        <f aca="false">D11-G11</f>
        <v>427.03</v>
      </c>
      <c r="I11" s="265"/>
    </row>
    <row r="12" customFormat="false" ht="18.6" hidden="false" customHeight="true" outlineLevel="0" collapsed="false">
      <c r="A12" s="261"/>
      <c r="B12" s="11" t="s">
        <v>291</v>
      </c>
      <c r="C12" s="12" t="s">
        <v>870</v>
      </c>
      <c r="D12" s="264" t="n">
        <v>314.4</v>
      </c>
      <c r="E12" s="432"/>
      <c r="F12" s="15" t="n">
        <v>44773</v>
      </c>
      <c r="G12" s="16"/>
      <c r="H12" s="17" t="n">
        <f aca="false">D12-G12</f>
        <v>314.4</v>
      </c>
      <c r="I12" s="265"/>
      <c r="K12" s="19" t="s">
        <v>517</v>
      </c>
    </row>
    <row r="13" customFormat="false" ht="18.6" hidden="false" customHeight="true" outlineLevel="0" collapsed="false">
      <c r="A13" s="261"/>
      <c r="B13" s="11" t="s">
        <v>291</v>
      </c>
      <c r="C13" s="12" t="s">
        <v>871</v>
      </c>
      <c r="D13" s="264" t="n">
        <v>2405.54</v>
      </c>
      <c r="E13" s="14"/>
      <c r="F13" s="15" t="n">
        <v>44773</v>
      </c>
      <c r="G13" s="16"/>
      <c r="H13" s="17" t="n">
        <f aca="false">D13-G13</f>
        <v>2405.54</v>
      </c>
      <c r="I13" s="265"/>
      <c r="K13" s="20" t="n">
        <f aca="false">+D106</f>
        <v>223729.03</v>
      </c>
      <c r="L13" s="20"/>
    </row>
    <row r="14" customFormat="false" ht="18.6" hidden="false" customHeight="true" outlineLevel="0" collapsed="false">
      <c r="A14" s="261"/>
      <c r="B14" s="11" t="s">
        <v>289</v>
      </c>
      <c r="C14" s="12" t="s">
        <v>872</v>
      </c>
      <c r="D14" s="264" t="n">
        <v>198.54</v>
      </c>
      <c r="E14" s="14"/>
      <c r="F14" s="15" t="n">
        <v>44773</v>
      </c>
      <c r="G14" s="266"/>
      <c r="H14" s="17" t="n">
        <f aca="false">D14-G14</f>
        <v>198.54</v>
      </c>
      <c r="I14" s="265"/>
    </row>
    <row r="15" customFormat="false" ht="18.6" hidden="false" customHeight="true" outlineLevel="0" collapsed="false">
      <c r="A15" s="261"/>
      <c r="B15" s="11" t="s">
        <v>289</v>
      </c>
      <c r="C15" s="12" t="s">
        <v>873</v>
      </c>
      <c r="D15" s="264" t="n">
        <v>2767.27</v>
      </c>
      <c r="E15" s="14" t="s">
        <v>625</v>
      </c>
      <c r="F15" s="15" t="n">
        <v>44773</v>
      </c>
      <c r="G15" s="266"/>
      <c r="H15" s="17" t="n">
        <f aca="false">D15-G15</f>
        <v>2767.27</v>
      </c>
      <c r="I15" s="265"/>
      <c r="K15" s="19" t="s">
        <v>521</v>
      </c>
    </row>
    <row r="16" customFormat="false" ht="18.6" hidden="false" customHeight="true" outlineLevel="0" collapsed="false">
      <c r="A16" s="261"/>
      <c r="B16" s="11" t="s">
        <v>289</v>
      </c>
      <c r="C16" s="12" t="s">
        <v>874</v>
      </c>
      <c r="D16" s="264" t="n">
        <v>1160.52</v>
      </c>
      <c r="E16" s="14" t="s">
        <v>800</v>
      </c>
      <c r="F16" s="15" t="n">
        <v>44773</v>
      </c>
      <c r="G16" s="266"/>
      <c r="H16" s="17" t="n">
        <f aca="false">D16-G16</f>
        <v>1160.52</v>
      </c>
      <c r="I16" s="265"/>
      <c r="K16" s="19"/>
    </row>
    <row r="17" customFormat="false" ht="18.6" hidden="false" customHeight="true" outlineLevel="0" collapsed="false">
      <c r="A17" s="261"/>
      <c r="B17" s="11" t="s">
        <v>289</v>
      </c>
      <c r="C17" s="12" t="s">
        <v>875</v>
      </c>
      <c r="D17" s="264" t="n">
        <v>1707.08</v>
      </c>
      <c r="E17" s="14"/>
      <c r="F17" s="15" t="n">
        <v>44773</v>
      </c>
      <c r="G17" s="266"/>
      <c r="H17" s="17" t="n">
        <f aca="false">D17-G17</f>
        <v>1707.08</v>
      </c>
      <c r="I17" s="265"/>
      <c r="K17" s="19"/>
    </row>
    <row r="18" customFormat="false" ht="18.6" hidden="false" customHeight="true" outlineLevel="0" collapsed="false">
      <c r="A18" s="261"/>
      <c r="B18" s="11" t="s">
        <v>289</v>
      </c>
      <c r="C18" s="12" t="s">
        <v>876</v>
      </c>
      <c r="D18" s="264" t="n">
        <v>90.61</v>
      </c>
      <c r="E18" s="14"/>
      <c r="F18" s="15" t="n">
        <v>44773</v>
      </c>
      <c r="G18" s="266"/>
      <c r="H18" s="17" t="n">
        <f aca="false">D18-G18</f>
        <v>90.61</v>
      </c>
      <c r="I18" s="265"/>
      <c r="K18" s="19"/>
    </row>
    <row r="19" customFormat="false" ht="18.6" hidden="false" customHeight="true" outlineLevel="0" collapsed="false">
      <c r="A19" s="261"/>
      <c r="B19" s="11" t="s">
        <v>289</v>
      </c>
      <c r="C19" s="12" t="s">
        <v>877</v>
      </c>
      <c r="D19" s="264" t="n">
        <v>663.08</v>
      </c>
      <c r="E19" s="14" t="s">
        <v>253</v>
      </c>
      <c r="F19" s="15" t="n">
        <v>44773</v>
      </c>
      <c r="G19" s="266"/>
      <c r="H19" s="17" t="n">
        <f aca="false">D19-G19</f>
        <v>663.08</v>
      </c>
      <c r="I19" s="265"/>
      <c r="K19" s="19"/>
    </row>
    <row r="20" customFormat="false" ht="18.6" hidden="false" customHeight="true" outlineLevel="0" collapsed="false">
      <c r="A20" s="261"/>
      <c r="B20" s="11" t="s">
        <v>289</v>
      </c>
      <c r="C20" s="12" t="s">
        <v>878</v>
      </c>
      <c r="D20" s="264" t="n">
        <v>23.23</v>
      </c>
      <c r="E20" s="14"/>
      <c r="F20" s="15" t="n">
        <v>44773</v>
      </c>
      <c r="G20" s="266"/>
      <c r="H20" s="17" t="n">
        <f aca="false">D20-G20</f>
        <v>23.23</v>
      </c>
      <c r="I20" s="265"/>
      <c r="K20" s="19"/>
    </row>
    <row r="21" customFormat="false" ht="18.6" hidden="false" customHeight="true" outlineLevel="0" collapsed="false">
      <c r="A21" s="261"/>
      <c r="B21" s="11" t="s">
        <v>289</v>
      </c>
      <c r="C21" s="12" t="s">
        <v>879</v>
      </c>
      <c r="D21" s="264" t="n">
        <v>5187.15</v>
      </c>
      <c r="E21" s="14"/>
      <c r="F21" s="15" t="n">
        <v>44773</v>
      </c>
      <c r="G21" s="266"/>
      <c r="H21" s="17" t="n">
        <f aca="false">D21-G21</f>
        <v>5187.15</v>
      </c>
      <c r="I21" s="265"/>
      <c r="K21" s="19"/>
    </row>
    <row r="22" customFormat="false" ht="18.6" hidden="false" customHeight="true" outlineLevel="0" collapsed="false">
      <c r="A22" s="261"/>
      <c r="B22" s="11" t="s">
        <v>620</v>
      </c>
      <c r="C22" s="12" t="s">
        <v>880</v>
      </c>
      <c r="D22" s="264" t="n">
        <v>1.82</v>
      </c>
      <c r="E22" s="14"/>
      <c r="F22" s="15" t="n">
        <v>44757</v>
      </c>
      <c r="G22" s="266"/>
      <c r="H22" s="17" t="n">
        <f aca="false">D22-G22</f>
        <v>1.82</v>
      </c>
      <c r="I22" s="265"/>
      <c r="K22" s="19"/>
    </row>
    <row r="23" customFormat="false" ht="18.6" hidden="false" customHeight="true" outlineLevel="0" collapsed="false">
      <c r="A23" s="261"/>
      <c r="B23" s="11" t="s">
        <v>644</v>
      </c>
      <c r="C23" s="12" t="s">
        <v>881</v>
      </c>
      <c r="D23" s="264" t="n">
        <v>2314.92</v>
      </c>
      <c r="E23" s="14" t="s">
        <v>253</v>
      </c>
      <c r="F23" s="15" t="n">
        <v>44773</v>
      </c>
      <c r="G23" s="266"/>
      <c r="H23" s="17" t="n">
        <f aca="false">D23-G23</f>
        <v>2314.92</v>
      </c>
      <c r="I23" s="265"/>
      <c r="K23" s="19"/>
    </row>
    <row r="24" customFormat="false" ht="18.6" hidden="false" customHeight="true" outlineLevel="0" collapsed="false">
      <c r="A24" s="261"/>
      <c r="B24" s="11" t="s">
        <v>644</v>
      </c>
      <c r="C24" s="12" t="s">
        <v>882</v>
      </c>
      <c r="D24" s="264" t="n">
        <v>1449.36</v>
      </c>
      <c r="E24" s="14" t="s">
        <v>280</v>
      </c>
      <c r="F24" s="267" t="n">
        <v>44773</v>
      </c>
      <c r="G24" s="266"/>
      <c r="H24" s="17" t="n">
        <f aca="false">D24-G24</f>
        <v>1449.36</v>
      </c>
      <c r="I24" s="265"/>
      <c r="K24" s="21" t="n">
        <f aca="false">K10+K8</f>
        <v>265014.51</v>
      </c>
      <c r="L24" s="21"/>
      <c r="M24" s="21"/>
    </row>
    <row r="25" customFormat="false" ht="18" hidden="false" customHeight="true" outlineLevel="0" collapsed="false">
      <c r="A25" s="261"/>
      <c r="B25" s="11" t="s">
        <v>644</v>
      </c>
      <c r="C25" s="12" t="s">
        <v>883</v>
      </c>
      <c r="D25" s="264" t="n">
        <v>3558</v>
      </c>
      <c r="E25" s="14" t="s">
        <v>884</v>
      </c>
      <c r="F25" s="267" t="n">
        <v>44773</v>
      </c>
      <c r="G25" s="266"/>
      <c r="H25" s="17" t="n">
        <f aca="false">D25-G25</f>
        <v>3558</v>
      </c>
      <c r="I25" s="265"/>
    </row>
    <row r="26" customFormat="false" ht="18.6" hidden="false" customHeight="true" outlineLevel="0" collapsed="false">
      <c r="A26" s="261"/>
      <c r="B26" s="11" t="s">
        <v>644</v>
      </c>
      <c r="C26" s="12" t="s">
        <v>885</v>
      </c>
      <c r="D26" s="264" t="n">
        <v>603.24</v>
      </c>
      <c r="E26" s="14"/>
      <c r="F26" s="15" t="n">
        <v>44773</v>
      </c>
      <c r="G26" s="266"/>
      <c r="H26" s="17" t="n">
        <f aca="false">D26-G26</f>
        <v>603.24</v>
      </c>
      <c r="I26" s="265"/>
    </row>
    <row r="27" customFormat="false" ht="18.6" hidden="false" customHeight="true" outlineLevel="0" collapsed="false">
      <c r="A27" s="261"/>
      <c r="B27" s="11" t="s">
        <v>644</v>
      </c>
      <c r="C27" s="12" t="s">
        <v>886</v>
      </c>
      <c r="D27" s="264" t="n">
        <v>1983.12</v>
      </c>
      <c r="E27" s="14"/>
      <c r="F27" s="267" t="n">
        <v>44773</v>
      </c>
      <c r="G27" s="266"/>
      <c r="H27" s="17" t="n">
        <f aca="false">D27-G27</f>
        <v>1983.12</v>
      </c>
      <c r="I27" s="265"/>
    </row>
    <row r="28" customFormat="false" ht="18.6" hidden="false" customHeight="true" outlineLevel="0" collapsed="false">
      <c r="A28" s="261"/>
      <c r="B28" s="11" t="s">
        <v>644</v>
      </c>
      <c r="C28" s="12" t="s">
        <v>887</v>
      </c>
      <c r="D28" s="264" t="n">
        <v>2513.4</v>
      </c>
      <c r="E28" s="14" t="s">
        <v>888</v>
      </c>
      <c r="F28" s="267" t="n">
        <v>44773</v>
      </c>
      <c r="G28" s="266"/>
      <c r="H28" s="17" t="n">
        <f aca="false">D28-G28</f>
        <v>2513.4</v>
      </c>
      <c r="I28" s="265"/>
    </row>
    <row r="29" customFormat="false" ht="18.6" hidden="false" customHeight="true" outlineLevel="0" collapsed="false">
      <c r="A29" s="261"/>
      <c r="B29" s="11"/>
      <c r="C29" s="12"/>
      <c r="D29" s="264"/>
      <c r="E29" s="14"/>
      <c r="F29" s="267"/>
      <c r="G29" s="266"/>
      <c r="H29" s="17" t="n">
        <f aca="false">D29-G29</f>
        <v>0</v>
      </c>
      <c r="I29" s="265"/>
    </row>
    <row r="30" customFormat="false" ht="18.6" hidden="false" customHeight="true" outlineLevel="0" collapsed="false">
      <c r="A30" s="261"/>
      <c r="B30" s="11"/>
      <c r="C30" s="12"/>
      <c r="D30" s="264"/>
      <c r="E30" s="14"/>
      <c r="F30" s="267"/>
      <c r="G30" s="266"/>
      <c r="H30" s="17" t="n">
        <f aca="false">D30-G30</f>
        <v>0</v>
      </c>
      <c r="I30" s="265"/>
    </row>
    <row r="31" customFormat="false" ht="18.6" hidden="false" customHeight="true" outlineLevel="0" collapsed="false">
      <c r="A31" s="261"/>
      <c r="B31" s="11"/>
      <c r="C31" s="12"/>
      <c r="D31" s="264"/>
      <c r="E31" s="14"/>
      <c r="F31" s="267"/>
      <c r="G31" s="266"/>
      <c r="H31" s="17" t="n">
        <f aca="false">D31-G31</f>
        <v>0</v>
      </c>
      <c r="I31" s="265"/>
    </row>
    <row r="32" customFormat="false" ht="18.6" hidden="false" customHeight="true" outlineLevel="0" collapsed="false">
      <c r="A32" s="261"/>
      <c r="B32" s="11"/>
      <c r="C32" s="12"/>
      <c r="D32" s="264"/>
      <c r="E32" s="454"/>
      <c r="F32" s="267"/>
      <c r="G32" s="266"/>
      <c r="H32" s="17" t="n">
        <f aca="false">D32-G32</f>
        <v>0</v>
      </c>
      <c r="I32" s="265"/>
    </row>
    <row r="33" customFormat="false" ht="18.6" hidden="false" customHeight="true" outlineLevel="0" collapsed="false">
      <c r="A33" s="261"/>
      <c r="B33" s="11"/>
      <c r="C33" s="12"/>
      <c r="D33" s="264"/>
      <c r="E33" s="14"/>
      <c r="F33" s="267"/>
      <c r="G33" s="266"/>
      <c r="H33" s="17" t="n">
        <f aca="false">D33-G33</f>
        <v>0</v>
      </c>
      <c r="I33" s="265"/>
    </row>
    <row r="34" customFormat="false" ht="18.6" hidden="false" customHeight="true" outlineLevel="0" collapsed="false">
      <c r="A34" s="261"/>
      <c r="B34" s="11"/>
      <c r="C34" s="12"/>
      <c r="D34" s="264"/>
      <c r="E34" s="14"/>
      <c r="F34" s="267"/>
      <c r="G34" s="268"/>
      <c r="H34" s="17" t="n">
        <f aca="false">D34-G34</f>
        <v>0</v>
      </c>
      <c r="I34" s="265"/>
    </row>
    <row r="35" customFormat="false" ht="18.6" hidden="false" customHeight="true" outlineLevel="0" collapsed="false">
      <c r="A35" s="261"/>
      <c r="B35" s="11"/>
      <c r="C35" s="12"/>
      <c r="D35" s="264"/>
      <c r="E35" s="14"/>
      <c r="F35" s="267"/>
      <c r="G35" s="268"/>
      <c r="H35" s="17" t="n">
        <f aca="false">D35-G35</f>
        <v>0</v>
      </c>
      <c r="I35" s="265"/>
    </row>
    <row r="36" customFormat="false" ht="18.6" hidden="false" customHeight="true" outlineLevel="0" collapsed="false">
      <c r="A36" s="269"/>
      <c r="B36" s="28" t="s">
        <v>35</v>
      </c>
      <c r="C36" s="22"/>
      <c r="D36" s="29" t="n">
        <f aca="false">+SUM(D2:D35)</f>
        <v>41285.48</v>
      </c>
      <c r="E36" s="24"/>
      <c r="F36" s="25"/>
      <c r="G36" s="26"/>
      <c r="H36" s="30" t="n">
        <f aca="false">+SUM(H2:H35)</f>
        <v>41285.48</v>
      </c>
      <c r="I36" s="422"/>
    </row>
    <row r="37" customFormat="false" ht="18.6" hidden="false" customHeight="true" outlineLevel="0" collapsed="false">
      <c r="A37" s="351" t="s">
        <v>299</v>
      </c>
      <c r="B37" s="11" t="s">
        <v>658</v>
      </c>
      <c r="C37" s="12" t="s">
        <v>659</v>
      </c>
      <c r="D37" s="270" t="n">
        <v>891.47</v>
      </c>
      <c r="E37" s="271"/>
      <c r="F37" s="272" t="n">
        <v>44743</v>
      </c>
      <c r="G37" s="273" t="n">
        <v>891.47</v>
      </c>
      <c r="H37" s="17" t="n">
        <f aca="false">D37-G37</f>
        <v>0</v>
      </c>
      <c r="I37" s="265"/>
    </row>
    <row r="38" customFormat="false" ht="18.6" hidden="false" customHeight="true" outlineLevel="0" collapsed="false">
      <c r="A38" s="351"/>
      <c r="B38" s="11" t="s">
        <v>437</v>
      </c>
      <c r="C38" s="12" t="s">
        <v>889</v>
      </c>
      <c r="D38" s="264" t="n">
        <v>21.53</v>
      </c>
      <c r="E38" s="14" t="s">
        <v>890</v>
      </c>
      <c r="F38" s="267" t="n">
        <v>44743</v>
      </c>
      <c r="G38" s="268"/>
      <c r="H38" s="17" t="n">
        <f aca="false">D38-G38</f>
        <v>21.53</v>
      </c>
      <c r="I38" s="265"/>
    </row>
    <row r="39" customFormat="false" ht="18.6" hidden="false" customHeight="true" outlineLevel="0" collapsed="false">
      <c r="A39" s="351"/>
      <c r="B39" s="11" t="s">
        <v>547</v>
      </c>
      <c r="C39" s="12" t="s">
        <v>891</v>
      </c>
      <c r="D39" s="264" t="n">
        <v>891.47</v>
      </c>
      <c r="E39" s="14"/>
      <c r="F39" s="267" t="n">
        <v>44743</v>
      </c>
      <c r="G39" s="268"/>
      <c r="H39" s="17" t="n">
        <f aca="false">D39-G39</f>
        <v>891.47</v>
      </c>
      <c r="I39" s="265"/>
    </row>
    <row r="40" customFormat="false" ht="18.6" hidden="false" customHeight="true" outlineLevel="0" collapsed="false">
      <c r="A40" s="351"/>
      <c r="B40" s="11" t="s">
        <v>308</v>
      </c>
      <c r="C40" s="12"/>
      <c r="D40" s="270" t="n">
        <v>3203.09</v>
      </c>
      <c r="E40" s="271" t="s">
        <v>439</v>
      </c>
      <c r="F40" s="267" t="n">
        <v>44747</v>
      </c>
      <c r="G40" s="273" t="n">
        <v>30203.09</v>
      </c>
      <c r="H40" s="17" t="n">
        <f aca="false">D40-G40</f>
        <v>-27000</v>
      </c>
      <c r="I40" s="265"/>
    </row>
    <row r="41" customFormat="false" ht="18.6" hidden="false" customHeight="true" outlineLevel="0" collapsed="false">
      <c r="A41" s="351"/>
      <c r="B41" s="11" t="s">
        <v>300</v>
      </c>
      <c r="C41" s="12" t="s">
        <v>303</v>
      </c>
      <c r="D41" s="264" t="n">
        <v>127.11</v>
      </c>
      <c r="E41" s="14" t="s">
        <v>302</v>
      </c>
      <c r="F41" s="267" t="n">
        <v>44747</v>
      </c>
      <c r="G41" s="268" t="n">
        <v>127.11</v>
      </c>
      <c r="H41" s="17" t="n">
        <f aca="false">D41-G41</f>
        <v>0</v>
      </c>
      <c r="I41" s="265"/>
    </row>
    <row r="42" customFormat="false" ht="18.6" hidden="false" customHeight="true" outlineLevel="0" collapsed="false">
      <c r="A42" s="351"/>
      <c r="B42" s="11" t="s">
        <v>300</v>
      </c>
      <c r="C42" s="12" t="s">
        <v>304</v>
      </c>
      <c r="D42" s="264" t="n">
        <v>85.99</v>
      </c>
      <c r="E42" s="14"/>
      <c r="F42" s="267" t="n">
        <v>44747</v>
      </c>
      <c r="G42" s="268" t="n">
        <v>85.99</v>
      </c>
      <c r="H42" s="17" t="n">
        <f aca="false">D42-G42</f>
        <v>0</v>
      </c>
      <c r="I42" s="265"/>
    </row>
    <row r="43" customFormat="false" ht="18.6" hidden="false" customHeight="true" outlineLevel="0" collapsed="false">
      <c r="A43" s="351"/>
      <c r="B43" s="11" t="s">
        <v>300</v>
      </c>
      <c r="C43" s="12" t="s">
        <v>305</v>
      </c>
      <c r="D43" s="264" t="n">
        <v>90.74</v>
      </c>
      <c r="E43" s="14"/>
      <c r="F43" s="267" t="n">
        <v>44747</v>
      </c>
      <c r="G43" s="268" t="n">
        <v>90.74</v>
      </c>
      <c r="H43" s="17" t="n">
        <f aca="false">D43-G43</f>
        <v>0</v>
      </c>
      <c r="I43" s="265"/>
    </row>
    <row r="44" customFormat="false" ht="18.6" hidden="false" customHeight="true" outlineLevel="0" collapsed="false">
      <c r="A44" s="351"/>
      <c r="B44" s="11" t="s">
        <v>300</v>
      </c>
      <c r="C44" s="12" t="s">
        <v>306</v>
      </c>
      <c r="D44" s="270" t="n">
        <v>71.32</v>
      </c>
      <c r="E44" s="271"/>
      <c r="F44" s="267" t="n">
        <v>44747</v>
      </c>
      <c r="G44" s="273" t="n">
        <v>71.32</v>
      </c>
      <c r="H44" s="17" t="n">
        <f aca="false">D44-G44</f>
        <v>0</v>
      </c>
      <c r="I44" s="265"/>
    </row>
    <row r="45" customFormat="false" ht="18.6" hidden="false" customHeight="true" outlineLevel="0" collapsed="false">
      <c r="A45" s="351"/>
      <c r="B45" s="11" t="s">
        <v>300</v>
      </c>
      <c r="C45" s="12" t="s">
        <v>307</v>
      </c>
      <c r="D45" s="264" t="n">
        <v>102.36</v>
      </c>
      <c r="E45" s="14"/>
      <c r="F45" s="267" t="n">
        <v>44747</v>
      </c>
      <c r="G45" s="268" t="n">
        <v>102.36</v>
      </c>
      <c r="H45" s="17" t="n">
        <f aca="false">D45-G45</f>
        <v>0</v>
      </c>
      <c r="I45" s="265"/>
    </row>
    <row r="46" customFormat="false" ht="18.6" hidden="false" customHeight="true" outlineLevel="0" collapsed="false">
      <c r="A46" s="351"/>
      <c r="B46" s="11" t="s">
        <v>300</v>
      </c>
      <c r="C46" s="12" t="s">
        <v>892</v>
      </c>
      <c r="D46" s="264" t="n">
        <v>99.97</v>
      </c>
      <c r="E46" s="14" t="s">
        <v>302</v>
      </c>
      <c r="F46" s="267" t="n">
        <v>44747</v>
      </c>
      <c r="G46" s="268" t="n">
        <v>99.97</v>
      </c>
      <c r="H46" s="17" t="n">
        <f aca="false">D46-G46</f>
        <v>0</v>
      </c>
      <c r="I46" s="265"/>
    </row>
    <row r="47" customFormat="false" ht="18.6" hidden="false" customHeight="true" outlineLevel="0" collapsed="false">
      <c r="A47" s="351"/>
      <c r="B47" s="11" t="s">
        <v>551</v>
      </c>
      <c r="C47" s="12"/>
      <c r="D47" s="264" t="n">
        <v>53.88</v>
      </c>
      <c r="E47" s="14"/>
      <c r="F47" s="267" t="n">
        <v>44747</v>
      </c>
      <c r="G47" s="268"/>
      <c r="H47" s="17" t="n">
        <f aca="false">D47-G47</f>
        <v>53.88</v>
      </c>
      <c r="I47" s="265"/>
    </row>
    <row r="48" customFormat="false" ht="18.6" hidden="false" customHeight="true" outlineLevel="0" collapsed="false">
      <c r="A48" s="351"/>
      <c r="B48" s="11" t="s">
        <v>314</v>
      </c>
      <c r="C48" s="12"/>
      <c r="D48" s="264" t="n">
        <v>50</v>
      </c>
      <c r="E48" s="14" t="s">
        <v>315</v>
      </c>
      <c r="F48" s="267" t="n">
        <v>44748</v>
      </c>
      <c r="G48" s="268"/>
      <c r="H48" s="17" t="n">
        <f aca="false">D48-G48</f>
        <v>50</v>
      </c>
      <c r="I48" s="265"/>
    </row>
    <row r="49" customFormat="false" ht="18.6" hidden="false" customHeight="true" outlineLevel="0" collapsed="false">
      <c r="A49" s="351"/>
      <c r="B49" s="11" t="s">
        <v>314</v>
      </c>
      <c r="C49" s="12"/>
      <c r="D49" s="264" t="n">
        <v>38</v>
      </c>
      <c r="E49" s="14"/>
      <c r="F49" s="267" t="n">
        <v>44748</v>
      </c>
      <c r="G49" s="268"/>
      <c r="H49" s="17" t="n">
        <f aca="false">D49-G49</f>
        <v>38</v>
      </c>
      <c r="I49" s="265"/>
    </row>
    <row r="50" customFormat="false" ht="18.6" hidden="false" customHeight="true" outlineLevel="0" collapsed="false">
      <c r="A50" s="351"/>
      <c r="B50" s="11" t="s">
        <v>35</v>
      </c>
      <c r="C50" s="12" t="s">
        <v>660</v>
      </c>
      <c r="D50" s="270" t="n">
        <v>2703.65</v>
      </c>
      <c r="E50" s="271"/>
      <c r="F50" s="267" t="n">
        <v>44752</v>
      </c>
      <c r="G50" s="273" t="n">
        <v>2703.65</v>
      </c>
      <c r="H50" s="17" t="n">
        <f aca="false">D50-G50</f>
        <v>0</v>
      </c>
      <c r="I50" s="265"/>
    </row>
    <row r="51" customFormat="false" ht="18.6" hidden="false" customHeight="true" outlineLevel="0" collapsed="false">
      <c r="A51" s="351"/>
      <c r="B51" s="11" t="s">
        <v>316</v>
      </c>
      <c r="C51" s="12" t="s">
        <v>550</v>
      </c>
      <c r="D51" s="264" t="n">
        <f aca="false">15.95*2</f>
        <v>31.9</v>
      </c>
      <c r="E51" s="14" t="s">
        <v>661</v>
      </c>
      <c r="F51" s="267" t="n">
        <v>44752</v>
      </c>
      <c r="G51" s="268"/>
      <c r="H51" s="17" t="n">
        <f aca="false">D51-G51</f>
        <v>31.9</v>
      </c>
      <c r="I51" s="265" t="n">
        <v>44671</v>
      </c>
    </row>
    <row r="52" customFormat="false" ht="18.6" hidden="false" customHeight="true" outlineLevel="0" collapsed="false">
      <c r="A52" s="351"/>
      <c r="B52" s="11" t="s">
        <v>561</v>
      </c>
      <c r="C52" s="12"/>
      <c r="D52" s="270" t="n">
        <v>16.99</v>
      </c>
      <c r="E52" s="271" t="s">
        <v>562</v>
      </c>
      <c r="F52" s="272" t="n">
        <v>44752</v>
      </c>
      <c r="G52" s="273"/>
      <c r="H52" s="17" t="n">
        <f aca="false">D52-G52</f>
        <v>16.99</v>
      </c>
      <c r="I52" s="265"/>
    </row>
    <row r="53" customFormat="false" ht="18.6" hidden="false" customHeight="true" outlineLevel="0" collapsed="false">
      <c r="A53" s="351"/>
      <c r="B53" s="11" t="s">
        <v>311</v>
      </c>
      <c r="C53" s="12" t="s">
        <v>893</v>
      </c>
      <c r="D53" s="264" t="n">
        <v>163.6</v>
      </c>
      <c r="E53" s="14" t="s">
        <v>894</v>
      </c>
      <c r="F53" s="267" t="n">
        <v>44753</v>
      </c>
      <c r="G53" s="268"/>
      <c r="H53" s="17" t="n">
        <f aca="false">D53-G53</f>
        <v>163.6</v>
      </c>
      <c r="I53" s="265"/>
    </row>
    <row r="54" customFormat="false" ht="18.6" hidden="false" customHeight="true" outlineLevel="0" collapsed="false">
      <c r="A54" s="351"/>
      <c r="B54" s="337" t="s">
        <v>322</v>
      </c>
      <c r="C54" s="352"/>
      <c r="D54" s="359" t="n">
        <v>11213</v>
      </c>
      <c r="E54" s="473" t="s">
        <v>323</v>
      </c>
      <c r="F54" s="474" t="n">
        <v>44757</v>
      </c>
      <c r="G54" s="475"/>
      <c r="H54" s="476" t="n">
        <f aca="false">D54-G54</f>
        <v>11213</v>
      </c>
      <c r="I54" s="431"/>
    </row>
    <row r="55" customFormat="false" ht="18.6" hidden="false" customHeight="true" outlineLevel="0" collapsed="false">
      <c r="A55" s="351"/>
      <c r="B55" s="11" t="s">
        <v>300</v>
      </c>
      <c r="C55" s="12" t="s">
        <v>320</v>
      </c>
      <c r="D55" s="264" t="n">
        <v>15.24</v>
      </c>
      <c r="E55" s="14" t="s">
        <v>321</v>
      </c>
      <c r="F55" s="272" t="n">
        <v>44761</v>
      </c>
      <c r="G55" s="268"/>
      <c r="H55" s="17" t="n">
        <f aca="false">D55-G55</f>
        <v>15.24</v>
      </c>
      <c r="I55" s="265"/>
    </row>
    <row r="56" customFormat="false" ht="18.6" hidden="false" customHeight="true" outlineLevel="0" collapsed="false">
      <c r="A56" s="351"/>
      <c r="B56" s="11" t="s">
        <v>300</v>
      </c>
      <c r="C56" s="12" t="s">
        <v>324</v>
      </c>
      <c r="D56" s="264" t="n">
        <v>93.87</v>
      </c>
      <c r="E56" s="14"/>
      <c r="F56" s="272" t="n">
        <v>44761</v>
      </c>
      <c r="G56" s="268"/>
      <c r="H56" s="17" t="n">
        <f aca="false">D56-G56</f>
        <v>93.87</v>
      </c>
      <c r="I56" s="265"/>
    </row>
    <row r="57" customFormat="false" ht="18.6" hidden="false" customHeight="true" outlineLevel="0" collapsed="false">
      <c r="A57" s="351"/>
      <c r="B57" s="337" t="s">
        <v>327</v>
      </c>
      <c r="C57" s="12" t="s">
        <v>328</v>
      </c>
      <c r="D57" s="353" t="n">
        <v>6024</v>
      </c>
      <c r="E57" s="477" t="s">
        <v>666</v>
      </c>
      <c r="F57" s="474" t="n">
        <v>44763</v>
      </c>
      <c r="G57" s="478"/>
      <c r="H57" s="476" t="n">
        <f aca="false">D57-G57</f>
        <v>6024</v>
      </c>
      <c r="I57" s="431"/>
    </row>
    <row r="58" customFormat="false" ht="18.6" hidden="false" customHeight="true" outlineLevel="0" collapsed="false">
      <c r="A58" s="351"/>
      <c r="B58" s="337" t="s">
        <v>337</v>
      </c>
      <c r="C58" s="352"/>
      <c r="D58" s="359" t="n">
        <v>1799.9</v>
      </c>
      <c r="E58" s="473"/>
      <c r="F58" s="474" t="n">
        <v>44763</v>
      </c>
      <c r="G58" s="475"/>
      <c r="H58" s="476" t="n">
        <f aca="false">D58-G58</f>
        <v>1799.9</v>
      </c>
      <c r="I58" s="431" t="n">
        <v>44671</v>
      </c>
    </row>
    <row r="59" customFormat="false" ht="18.6" hidden="false" customHeight="true" outlineLevel="0" collapsed="false">
      <c r="A59" s="351"/>
      <c r="B59" s="11" t="s">
        <v>314</v>
      </c>
      <c r="C59" s="12"/>
      <c r="D59" s="264" t="n">
        <v>31</v>
      </c>
      <c r="E59" s="14"/>
      <c r="F59" s="479" t="n">
        <v>44763</v>
      </c>
      <c r="G59" s="268"/>
      <c r="H59" s="17" t="n">
        <f aca="false">D59-G59</f>
        <v>31</v>
      </c>
      <c r="I59" s="265"/>
    </row>
    <row r="60" customFormat="false" ht="18.6" hidden="false" customHeight="true" outlineLevel="0" collapsed="false">
      <c r="A60" s="351"/>
      <c r="B60" s="11" t="s">
        <v>314</v>
      </c>
      <c r="C60" s="12"/>
      <c r="D60" s="264" t="n">
        <v>31</v>
      </c>
      <c r="E60" s="14"/>
      <c r="F60" s="479" t="n">
        <v>44763</v>
      </c>
      <c r="G60" s="268"/>
      <c r="H60" s="17" t="n">
        <f aca="false">D60-G60</f>
        <v>31</v>
      </c>
      <c r="I60" s="265"/>
    </row>
    <row r="61" customFormat="false" ht="18.6" hidden="false" customHeight="true" outlineLevel="0" collapsed="false">
      <c r="A61" s="351"/>
      <c r="B61" s="11" t="s">
        <v>314</v>
      </c>
      <c r="C61" s="12" t="s">
        <v>325</v>
      </c>
      <c r="D61" s="270" t="n">
        <v>31</v>
      </c>
      <c r="E61" s="271" t="s">
        <v>326</v>
      </c>
      <c r="F61" s="479" t="n">
        <v>44763</v>
      </c>
      <c r="G61" s="273"/>
      <c r="H61" s="17" t="n">
        <f aca="false">D61-G61</f>
        <v>31</v>
      </c>
      <c r="I61" s="265"/>
    </row>
    <row r="62" customFormat="false" ht="18.6" hidden="false" customHeight="true" outlineLevel="0" collapsed="false">
      <c r="A62" s="351"/>
      <c r="B62" s="11" t="s">
        <v>255</v>
      </c>
      <c r="C62" s="12" t="s">
        <v>895</v>
      </c>
      <c r="D62" s="264" t="n">
        <v>167.62</v>
      </c>
      <c r="E62" s="14"/>
      <c r="F62" s="267" t="n">
        <v>44765</v>
      </c>
      <c r="G62" s="268"/>
      <c r="H62" s="17" t="n">
        <f aca="false">D62-G62</f>
        <v>167.62</v>
      </c>
      <c r="I62" s="265"/>
    </row>
    <row r="63" customFormat="false" ht="18.6" hidden="false" customHeight="true" outlineLevel="0" collapsed="false">
      <c r="A63" s="351"/>
      <c r="B63" s="11" t="s">
        <v>35</v>
      </c>
      <c r="C63" s="12" t="s">
        <v>572</v>
      </c>
      <c r="D63" s="264" t="n">
        <v>2219.29</v>
      </c>
      <c r="E63" s="14"/>
      <c r="F63" s="267" t="n">
        <v>44769</v>
      </c>
      <c r="G63" s="268"/>
      <c r="H63" s="17" t="n">
        <f aca="false">D63-G63</f>
        <v>2219.29</v>
      </c>
      <c r="I63" s="265"/>
    </row>
    <row r="64" customFormat="false" ht="18.6" hidden="false" customHeight="true" outlineLevel="0" collapsed="false">
      <c r="A64" s="351"/>
      <c r="B64" s="337" t="s">
        <v>329</v>
      </c>
      <c r="C64" s="12"/>
      <c r="D64" s="353" t="n">
        <v>2159.14</v>
      </c>
      <c r="E64" s="477" t="s">
        <v>667</v>
      </c>
      <c r="F64" s="267" t="n">
        <v>44769</v>
      </c>
      <c r="G64" s="478"/>
      <c r="H64" s="476" t="n">
        <f aca="false">D64-G64</f>
        <v>2159.14</v>
      </c>
      <c r="I64" s="431"/>
    </row>
    <row r="65" customFormat="false" ht="18.6" hidden="false" customHeight="true" outlineLevel="0" collapsed="false">
      <c r="A65" s="351"/>
      <c r="B65" s="276" t="s">
        <v>448</v>
      </c>
      <c r="C65" s="12" t="s">
        <v>449</v>
      </c>
      <c r="D65" s="363" t="n">
        <v>1188</v>
      </c>
      <c r="E65" s="271" t="s">
        <v>450</v>
      </c>
      <c r="F65" s="272" t="n">
        <v>44769</v>
      </c>
      <c r="G65" s="273"/>
      <c r="H65" s="17" t="n">
        <f aca="false">D65-G65</f>
        <v>1188</v>
      </c>
      <c r="I65" s="265" t="n">
        <v>44677</v>
      </c>
    </row>
    <row r="66" customFormat="false" ht="18.6" hidden="false" customHeight="true" outlineLevel="0" collapsed="false">
      <c r="A66" s="351"/>
      <c r="B66" s="11" t="s">
        <v>35</v>
      </c>
      <c r="C66" s="12" t="s">
        <v>896</v>
      </c>
      <c r="D66" s="270" t="n">
        <v>2219.29</v>
      </c>
      <c r="E66" s="271" t="s">
        <v>897</v>
      </c>
      <c r="F66" s="272" t="n">
        <v>44769</v>
      </c>
      <c r="G66" s="273"/>
      <c r="H66" s="17" t="n">
        <f aca="false">D66-G66</f>
        <v>2219.29</v>
      </c>
      <c r="I66" s="265" t="s">
        <v>898</v>
      </c>
    </row>
    <row r="67" customFormat="false" ht="18.6" hidden="false" customHeight="true" outlineLevel="0" collapsed="false">
      <c r="A67" s="351"/>
      <c r="B67" s="276" t="s">
        <v>668</v>
      </c>
      <c r="C67" s="12" t="s">
        <v>669</v>
      </c>
      <c r="D67" s="363" t="n">
        <v>34.43</v>
      </c>
      <c r="E67" s="271" t="s">
        <v>670</v>
      </c>
      <c r="F67" s="272" t="n">
        <v>44769</v>
      </c>
      <c r="G67" s="273"/>
      <c r="H67" s="17" t="n">
        <f aca="false">D67-G67</f>
        <v>34.43</v>
      </c>
      <c r="I67" s="439" t="n">
        <v>44676</v>
      </c>
    </row>
    <row r="68" customFormat="false" ht="18.6" hidden="false" customHeight="true" outlineLevel="0" collapsed="false">
      <c r="A68" s="351"/>
      <c r="B68" s="276" t="s">
        <v>338</v>
      </c>
      <c r="C68" s="12" t="s">
        <v>339</v>
      </c>
      <c r="D68" s="363" t="n">
        <v>5283.09</v>
      </c>
      <c r="E68" s="271"/>
      <c r="F68" s="272" t="n">
        <v>44769</v>
      </c>
      <c r="G68" s="273"/>
      <c r="H68" s="17" t="n">
        <f aca="false">D68-G68</f>
        <v>5283.09</v>
      </c>
      <c r="I68" s="366"/>
    </row>
    <row r="69" customFormat="false" ht="18.6" hidden="false" customHeight="true" outlineLevel="0" collapsed="false">
      <c r="A69" s="351"/>
      <c r="B69" s="11" t="s">
        <v>445</v>
      </c>
      <c r="C69" s="12" t="s">
        <v>899</v>
      </c>
      <c r="D69" s="264" t="n">
        <v>807.48</v>
      </c>
      <c r="E69" s="271"/>
      <c r="F69" s="272" t="n">
        <v>44771</v>
      </c>
      <c r="G69" s="273"/>
      <c r="H69" s="17" t="n">
        <f aca="false">D69-G69</f>
        <v>807.48</v>
      </c>
      <c r="I69" s="366"/>
    </row>
    <row r="70" customFormat="false" ht="18.6" hidden="false" customHeight="true" outlineLevel="0" collapsed="false">
      <c r="A70" s="351"/>
      <c r="B70" s="11" t="s">
        <v>164</v>
      </c>
      <c r="C70" s="12" t="s">
        <v>900</v>
      </c>
      <c r="D70" s="264" t="n">
        <v>495.07</v>
      </c>
      <c r="E70" s="271" t="s">
        <v>253</v>
      </c>
      <c r="F70" s="272" t="n">
        <v>44773</v>
      </c>
      <c r="G70" s="273"/>
      <c r="H70" s="17" t="n">
        <f aca="false">D70-G70</f>
        <v>495.07</v>
      </c>
      <c r="I70" s="366"/>
    </row>
    <row r="71" customFormat="false" ht="18.6" hidden="false" customHeight="true" outlineLevel="0" collapsed="false">
      <c r="A71" s="351"/>
      <c r="B71" s="11" t="s">
        <v>901</v>
      </c>
      <c r="C71" s="12" t="n">
        <v>151002667</v>
      </c>
      <c r="D71" s="264" t="n">
        <v>1329.57</v>
      </c>
      <c r="E71" s="14"/>
      <c r="F71" s="267" t="n">
        <v>44752</v>
      </c>
      <c r="G71" s="266"/>
      <c r="H71" s="17" t="n">
        <f aca="false">'08-2022'!D62-G71</f>
        <v>99.6</v>
      </c>
      <c r="I71" s="265"/>
    </row>
    <row r="72" customFormat="false" ht="18.6" hidden="false" customHeight="true" outlineLevel="0" collapsed="false">
      <c r="A72" s="351"/>
      <c r="B72" s="11" t="s">
        <v>443</v>
      </c>
      <c r="C72" s="12" t="s">
        <v>902</v>
      </c>
      <c r="D72" s="264" t="n">
        <v>255.53</v>
      </c>
      <c r="E72" s="271" t="s">
        <v>253</v>
      </c>
      <c r="F72" s="272" t="n">
        <v>44773</v>
      </c>
      <c r="G72" s="273"/>
      <c r="H72" s="438"/>
      <c r="I72" s="366"/>
    </row>
    <row r="73" customFormat="false" ht="18.6" hidden="false" customHeight="true" outlineLevel="0" collapsed="false">
      <c r="A73" s="351"/>
      <c r="B73" s="456" t="s">
        <v>573</v>
      </c>
      <c r="C73" s="457" t="s">
        <v>574</v>
      </c>
      <c r="D73" s="270" t="n">
        <v>588</v>
      </c>
      <c r="E73" s="271" t="s">
        <v>665</v>
      </c>
      <c r="F73" s="25" t="n">
        <v>44762</v>
      </c>
      <c r="G73" s="26"/>
      <c r="H73" s="27"/>
      <c r="I73" s="369"/>
    </row>
    <row r="74" customFormat="false" ht="18.6" hidden="false" customHeight="true" outlineLevel="0" collapsed="false">
      <c r="A74" s="351"/>
      <c r="B74" s="11" t="s">
        <v>35</v>
      </c>
      <c r="C74" s="12"/>
      <c r="D74" s="264" t="n">
        <f aca="false">SUM(D37:D72)</f>
        <v>44040.59</v>
      </c>
      <c r="E74" s="24"/>
      <c r="F74" s="25"/>
      <c r="G74" s="26"/>
      <c r="H74" s="30" t="n">
        <f aca="false">+SUM(H37:H66)</f>
        <v>1459.72</v>
      </c>
      <c r="I74" s="422"/>
    </row>
    <row r="75" customFormat="false" ht="9" hidden="false" customHeight="true" outlineLevel="0" collapsed="false">
      <c r="A75" s="423"/>
      <c r="B75" s="11"/>
      <c r="C75" s="12"/>
      <c r="D75" s="264"/>
      <c r="E75" s="271"/>
      <c r="F75" s="272"/>
      <c r="G75" s="273"/>
      <c r="H75" s="480"/>
      <c r="I75" s="481"/>
    </row>
    <row r="76" customFormat="false" ht="18.6" hidden="false" customHeight="true" outlineLevel="0" collapsed="false">
      <c r="A76" s="370" t="s">
        <v>341</v>
      </c>
      <c r="B76" s="314" t="s">
        <v>606</v>
      </c>
      <c r="C76" s="275" t="s">
        <v>903</v>
      </c>
      <c r="D76" s="315" t="n">
        <v>4320</v>
      </c>
      <c r="E76" s="271" t="s">
        <v>904</v>
      </c>
      <c r="F76" s="267" t="n">
        <v>44748</v>
      </c>
      <c r="G76" s="273"/>
      <c r="H76" s="17" t="n">
        <f aca="false">D76-G76</f>
        <v>4320</v>
      </c>
      <c r="I76" s="317"/>
    </row>
    <row r="77" customFormat="false" ht="18.6" hidden="false" customHeight="true" outlineLevel="0" collapsed="false">
      <c r="A77" s="370"/>
      <c r="B77" s="318" t="s">
        <v>554</v>
      </c>
      <c r="C77" s="12"/>
      <c r="D77" s="264" t="n">
        <v>1100</v>
      </c>
      <c r="E77" s="14" t="s">
        <v>555</v>
      </c>
      <c r="F77" s="267" t="n">
        <v>44748</v>
      </c>
      <c r="G77" s="266"/>
      <c r="H77" s="17" t="n">
        <f aca="false">D77-G77</f>
        <v>1100</v>
      </c>
      <c r="I77" s="263"/>
    </row>
    <row r="78" customFormat="false" ht="18.6" hidden="false" customHeight="true" outlineLevel="0" collapsed="false">
      <c r="A78" s="370"/>
      <c r="B78" s="374" t="s">
        <v>559</v>
      </c>
      <c r="C78" s="375"/>
      <c r="D78" s="376" t="n">
        <v>500</v>
      </c>
      <c r="E78" s="482" t="s">
        <v>462</v>
      </c>
      <c r="F78" s="267" t="n">
        <v>44748</v>
      </c>
      <c r="G78" s="483"/>
      <c r="H78" s="17" t="n">
        <f aca="false">D78-G78</f>
        <v>500</v>
      </c>
      <c r="I78" s="484"/>
    </row>
    <row r="79" customFormat="false" ht="18.6" hidden="false" customHeight="true" outlineLevel="0" collapsed="false">
      <c r="A79" s="370"/>
      <c r="B79" s="381" t="s">
        <v>686</v>
      </c>
      <c r="C79" s="382"/>
      <c r="D79" s="376" t="n">
        <v>2100</v>
      </c>
      <c r="E79" s="482" t="s">
        <v>688</v>
      </c>
      <c r="F79" s="267" t="n">
        <v>44748</v>
      </c>
      <c r="G79" s="485"/>
      <c r="H79" s="17" t="n">
        <f aca="false">D79-G79</f>
        <v>2100</v>
      </c>
      <c r="I79" s="486"/>
    </row>
    <row r="80" customFormat="false" ht="18.6" hidden="false" customHeight="true" outlineLevel="0" collapsed="false">
      <c r="A80" s="370"/>
      <c r="B80" s="381" t="s">
        <v>772</v>
      </c>
      <c r="C80" s="382"/>
      <c r="D80" s="376" t="n">
        <v>600</v>
      </c>
      <c r="E80" s="482" t="s">
        <v>773</v>
      </c>
      <c r="F80" s="267" t="n">
        <v>44748</v>
      </c>
      <c r="G80" s="485"/>
      <c r="H80" s="17" t="n">
        <f aca="false">D80-G80</f>
        <v>600</v>
      </c>
      <c r="I80" s="486"/>
    </row>
    <row r="81" customFormat="false" ht="18.6" hidden="false" customHeight="true" outlineLevel="0" collapsed="false">
      <c r="A81" s="370"/>
      <c r="B81" s="318" t="s">
        <v>489</v>
      </c>
      <c r="C81" s="319" t="s">
        <v>905</v>
      </c>
      <c r="D81" s="264" t="n">
        <v>125815.24</v>
      </c>
      <c r="E81" s="14" t="s">
        <v>906</v>
      </c>
      <c r="F81" s="267" t="n">
        <v>44757</v>
      </c>
      <c r="G81" s="273"/>
      <c r="H81" s="17"/>
      <c r="I81" s="321"/>
    </row>
    <row r="82" customFormat="false" ht="18.6" hidden="false" customHeight="true" outlineLevel="0" collapsed="false">
      <c r="A82" s="370"/>
      <c r="B82" s="318" t="s">
        <v>130</v>
      </c>
      <c r="C82" s="319" t="s">
        <v>907</v>
      </c>
      <c r="D82" s="264" t="n">
        <v>7493</v>
      </c>
      <c r="E82" s="14"/>
      <c r="F82" s="267" t="n">
        <v>44773</v>
      </c>
      <c r="G82" s="273"/>
      <c r="H82" s="17" t="n">
        <f aca="false">D82-G82</f>
        <v>7493</v>
      </c>
      <c r="I82" s="324"/>
    </row>
    <row r="83" customFormat="false" ht="18.6" hidden="false" customHeight="true" outlineLevel="0" collapsed="false">
      <c r="A83" s="370"/>
      <c r="B83" s="318" t="s">
        <v>131</v>
      </c>
      <c r="C83" s="12" t="s">
        <v>908</v>
      </c>
      <c r="D83" s="325" t="n">
        <v>5000</v>
      </c>
      <c r="E83" s="14" t="s">
        <v>430</v>
      </c>
      <c r="F83" s="267" t="n">
        <v>44752</v>
      </c>
      <c r="G83" s="16" t="n">
        <v>5000</v>
      </c>
      <c r="H83" s="17" t="n">
        <f aca="false">D83-G83</f>
        <v>0</v>
      </c>
      <c r="I83" s="321"/>
    </row>
    <row r="84" customFormat="false" ht="18.6" hidden="false" customHeight="true" outlineLevel="0" collapsed="false">
      <c r="A84" s="370"/>
      <c r="B84" s="11" t="s">
        <v>909</v>
      </c>
      <c r="C84" s="12" t="s">
        <v>910</v>
      </c>
      <c r="D84" s="264" t="n">
        <v>650</v>
      </c>
      <c r="E84" s="14" t="s">
        <v>911</v>
      </c>
      <c r="F84" s="267" t="n">
        <v>44752</v>
      </c>
      <c r="G84" s="266"/>
      <c r="H84" s="17" t="n">
        <f aca="false">D84-G84</f>
        <v>650</v>
      </c>
      <c r="I84" s="265"/>
    </row>
    <row r="85" customFormat="false" ht="18.6" hidden="false" customHeight="true" outlineLevel="0" collapsed="false">
      <c r="A85" s="370"/>
      <c r="B85" s="293" t="s">
        <v>912</v>
      </c>
      <c r="C85" s="12" t="s">
        <v>913</v>
      </c>
      <c r="D85" s="264" t="n">
        <v>6000</v>
      </c>
      <c r="E85" s="14" t="s">
        <v>914</v>
      </c>
      <c r="F85" s="267" t="n">
        <v>44763</v>
      </c>
      <c r="G85" s="266"/>
      <c r="H85" s="17" t="n">
        <f aca="false">D85-G85</f>
        <v>6000</v>
      </c>
      <c r="I85" s="263"/>
    </row>
    <row r="86" customFormat="false" ht="18.6" hidden="false" customHeight="true" outlineLevel="0" collapsed="false">
      <c r="A86" s="370"/>
      <c r="B86" s="293" t="s">
        <v>915</v>
      </c>
      <c r="C86" s="12" t="s">
        <v>916</v>
      </c>
      <c r="D86" s="264" t="n">
        <v>985</v>
      </c>
      <c r="E86" s="458" t="s">
        <v>917</v>
      </c>
      <c r="F86" s="267" t="n">
        <v>44745</v>
      </c>
      <c r="G86" s="266"/>
      <c r="H86" s="17" t="n">
        <f aca="false">D86-G86</f>
        <v>985</v>
      </c>
      <c r="I86" s="265"/>
    </row>
    <row r="87" customFormat="false" ht="18.6" hidden="false" customHeight="true" outlineLevel="0" collapsed="false">
      <c r="A87" s="370"/>
      <c r="B87" s="293" t="s">
        <v>187</v>
      </c>
      <c r="C87" s="12" t="s">
        <v>918</v>
      </c>
      <c r="D87" s="264" t="n">
        <v>7235.62</v>
      </c>
      <c r="E87" s="14" t="s">
        <v>253</v>
      </c>
      <c r="F87" s="267" t="n">
        <v>44773</v>
      </c>
      <c r="G87" s="266"/>
      <c r="H87" s="17" t="n">
        <f aca="false">D87-G87</f>
        <v>7235.62</v>
      </c>
      <c r="I87" s="263"/>
    </row>
    <row r="88" customFormat="false" ht="18.6" hidden="false" customHeight="true" outlineLevel="0" collapsed="false">
      <c r="A88" s="370"/>
      <c r="B88" s="11" t="s">
        <v>148</v>
      </c>
      <c r="C88" s="12" t="s">
        <v>784</v>
      </c>
      <c r="D88" s="264" t="n">
        <v>808.2</v>
      </c>
      <c r="E88" s="14"/>
      <c r="F88" s="267" t="n">
        <v>44757</v>
      </c>
      <c r="G88" s="266"/>
      <c r="H88" s="17" t="n">
        <f aca="false">D88-G88</f>
        <v>808.2</v>
      </c>
      <c r="I88" s="263"/>
    </row>
    <row r="89" customFormat="false" ht="18.6" hidden="false" customHeight="true" outlineLevel="0" collapsed="false">
      <c r="A89" s="370"/>
      <c r="B89" s="293" t="s">
        <v>148</v>
      </c>
      <c r="C89" s="12" t="s">
        <v>843</v>
      </c>
      <c r="D89" s="264" t="n">
        <v>7083.6</v>
      </c>
      <c r="E89" s="14" t="s">
        <v>253</v>
      </c>
      <c r="F89" s="267" t="n">
        <v>44757</v>
      </c>
      <c r="G89" s="266"/>
      <c r="H89" s="17" t="n">
        <f aca="false">D89-G89</f>
        <v>7083.6</v>
      </c>
      <c r="I89" s="321"/>
    </row>
    <row r="90" customFormat="false" ht="18.6" hidden="false" customHeight="true" outlineLevel="0" collapsed="false">
      <c r="A90" s="370"/>
      <c r="B90" s="293" t="s">
        <v>148</v>
      </c>
      <c r="C90" s="319" t="s">
        <v>919</v>
      </c>
      <c r="D90" s="264" t="n">
        <v>617.47</v>
      </c>
      <c r="E90" s="14"/>
      <c r="F90" s="267" t="n">
        <v>44757</v>
      </c>
      <c r="G90" s="266"/>
      <c r="H90" s="17" t="n">
        <f aca="false">D90-G90</f>
        <v>617.47</v>
      </c>
      <c r="I90" s="321"/>
    </row>
    <row r="91" customFormat="false" ht="18.6" hidden="false" customHeight="true" outlineLevel="0" collapsed="false">
      <c r="A91" s="370"/>
      <c r="B91" s="293" t="s">
        <v>148</v>
      </c>
      <c r="C91" s="319" t="s">
        <v>920</v>
      </c>
      <c r="D91" s="264" t="n">
        <v>1693.91</v>
      </c>
      <c r="E91" s="14"/>
      <c r="F91" s="267" t="n">
        <v>44757</v>
      </c>
      <c r="G91" s="266"/>
      <c r="H91" s="17" t="n">
        <f aca="false">D91-G91</f>
        <v>1693.91</v>
      </c>
      <c r="I91" s="321"/>
    </row>
    <row r="92" customFormat="false" ht="18.6" hidden="false" customHeight="true" outlineLevel="0" collapsed="false">
      <c r="A92" s="370"/>
      <c r="B92" s="318" t="s">
        <v>141</v>
      </c>
      <c r="C92" s="319" t="s">
        <v>921</v>
      </c>
      <c r="D92" s="264" t="n">
        <v>6866.9</v>
      </c>
      <c r="E92" s="14" t="s">
        <v>922</v>
      </c>
      <c r="F92" s="320"/>
      <c r="G92" s="266"/>
      <c r="H92" s="17" t="n">
        <f aca="false">D92-G92</f>
        <v>6866.9</v>
      </c>
      <c r="I92" s="321"/>
    </row>
    <row r="93" customFormat="false" ht="20.25" hidden="false" customHeight="true" outlineLevel="0" collapsed="false">
      <c r="A93" s="370"/>
      <c r="B93" s="318" t="s">
        <v>923</v>
      </c>
      <c r="C93" s="319" t="s">
        <v>924</v>
      </c>
      <c r="D93" s="264" t="n">
        <v>2481.85</v>
      </c>
      <c r="E93" s="14"/>
      <c r="F93" s="320" t="n">
        <v>44752</v>
      </c>
      <c r="G93" s="266"/>
      <c r="H93" s="17" t="n">
        <f aca="false">D93-G93</f>
        <v>2481.85</v>
      </c>
      <c r="I93" s="321"/>
    </row>
    <row r="94" customFormat="false" ht="20.25" hidden="false" customHeight="true" outlineLevel="0" collapsed="false">
      <c r="A94" s="370"/>
      <c r="B94" s="318" t="s">
        <v>349</v>
      </c>
      <c r="C94" s="319" t="s">
        <v>925</v>
      </c>
      <c r="D94" s="264" t="n">
        <v>390.79</v>
      </c>
      <c r="E94" s="14" t="s">
        <v>800</v>
      </c>
      <c r="F94" s="320" t="n">
        <v>707</v>
      </c>
      <c r="G94" s="266" t="n">
        <v>390.79</v>
      </c>
      <c r="H94" s="17" t="n">
        <f aca="false">D94-G94</f>
        <v>0</v>
      </c>
      <c r="I94" s="321"/>
    </row>
    <row r="95" customFormat="false" ht="20.25" hidden="false" customHeight="true" outlineLevel="0" collapsed="false">
      <c r="A95" s="370"/>
      <c r="B95" s="318" t="s">
        <v>349</v>
      </c>
      <c r="C95" s="319" t="s">
        <v>926</v>
      </c>
      <c r="D95" s="264" t="n">
        <v>1987.45</v>
      </c>
      <c r="E95" s="14"/>
      <c r="F95" s="320" t="n">
        <v>44749</v>
      </c>
      <c r="G95" s="268" t="n">
        <v>1987.45</v>
      </c>
      <c r="H95" s="17" t="n">
        <f aca="false">D95-G95</f>
        <v>0</v>
      </c>
      <c r="I95" s="321"/>
    </row>
    <row r="96" customFormat="false" ht="20.25" hidden="false" customHeight="true" outlineLevel="0" collapsed="false">
      <c r="A96" s="370"/>
      <c r="B96" s="318"/>
      <c r="C96" s="319"/>
      <c r="D96" s="264"/>
      <c r="E96" s="14"/>
      <c r="F96" s="320"/>
      <c r="G96" s="268"/>
      <c r="H96" s="17" t="n">
        <f aca="false">D96-G96</f>
        <v>0</v>
      </c>
      <c r="I96" s="321"/>
    </row>
    <row r="97" customFormat="false" ht="20.25" hidden="false" customHeight="true" outlineLevel="0" collapsed="false">
      <c r="A97" s="370"/>
      <c r="B97" s="318"/>
      <c r="C97" s="319"/>
      <c r="D97" s="264"/>
      <c r="E97" s="14"/>
      <c r="F97" s="320"/>
      <c r="G97" s="268"/>
      <c r="H97" s="17" t="n">
        <f aca="false">D97-G97</f>
        <v>0</v>
      </c>
      <c r="I97" s="324"/>
    </row>
    <row r="98" customFormat="false" ht="20.25" hidden="false" customHeight="true" outlineLevel="0" collapsed="false">
      <c r="A98" s="370"/>
      <c r="B98" s="318"/>
      <c r="C98" s="319"/>
      <c r="D98" s="264"/>
      <c r="E98" s="14"/>
      <c r="F98" s="320"/>
      <c r="G98" s="268"/>
      <c r="H98" s="17" t="n">
        <f aca="false">D98-G98</f>
        <v>0</v>
      </c>
      <c r="I98" s="321"/>
    </row>
    <row r="99" customFormat="false" ht="20.25" hidden="false" customHeight="true" outlineLevel="0" collapsed="false">
      <c r="A99" s="370"/>
      <c r="B99" s="318"/>
      <c r="C99" s="319"/>
      <c r="D99" s="264"/>
      <c r="E99" s="14"/>
      <c r="F99" s="320"/>
      <c r="G99" s="268"/>
      <c r="H99" s="17" t="n">
        <f aca="false">D99-G99</f>
        <v>0</v>
      </c>
      <c r="I99" s="324"/>
    </row>
    <row r="100" customFormat="false" ht="20.25" hidden="false" customHeight="true" outlineLevel="0" collapsed="false">
      <c r="A100" s="370"/>
      <c r="B100" s="318"/>
      <c r="C100" s="319"/>
      <c r="D100" s="264"/>
      <c r="E100" s="326"/>
      <c r="F100" s="320"/>
      <c r="G100" s="268"/>
      <c r="H100" s="17" t="n">
        <f aca="false">D100-G100</f>
        <v>0</v>
      </c>
      <c r="I100" s="324"/>
    </row>
    <row r="101" customFormat="false" ht="20.25" hidden="false" customHeight="true" outlineLevel="0" collapsed="false">
      <c r="A101" s="370"/>
      <c r="B101" s="293"/>
      <c r="C101" s="12"/>
      <c r="D101" s="264"/>
      <c r="E101" s="14"/>
      <c r="F101" s="267"/>
      <c r="G101" s="268"/>
      <c r="H101" s="17" t="n">
        <f aca="false">D101-G101</f>
        <v>0</v>
      </c>
      <c r="I101" s="263"/>
    </row>
    <row r="102" customFormat="false" ht="20.25" hidden="false" customHeight="true" outlineLevel="0" collapsed="false">
      <c r="A102" s="370"/>
      <c r="B102" s="276" t="s">
        <v>927</v>
      </c>
      <c r="C102" s="12"/>
      <c r="D102" s="363" t="n">
        <v>40000</v>
      </c>
      <c r="E102" s="271"/>
      <c r="F102" s="272"/>
      <c r="G102" s="273"/>
      <c r="H102" s="17" t="n">
        <f aca="false">D102-G102</f>
        <v>40000</v>
      </c>
      <c r="I102" s="324"/>
    </row>
    <row r="103" customFormat="false" ht="20.25" hidden="false" customHeight="true" outlineLevel="0" collapsed="false">
      <c r="A103" s="370"/>
      <c r="B103" s="318"/>
      <c r="C103" s="319"/>
      <c r="D103" s="264"/>
      <c r="E103" s="326"/>
      <c r="F103" s="320"/>
      <c r="G103" s="268"/>
      <c r="H103" s="17"/>
      <c r="I103" s="321"/>
    </row>
    <row r="104" customFormat="false" ht="20.25" hidden="false" customHeight="true" outlineLevel="0" collapsed="false">
      <c r="A104" s="370"/>
      <c r="B104" s="318"/>
      <c r="C104" s="319"/>
      <c r="D104" s="264"/>
      <c r="E104" s="326"/>
      <c r="F104" s="320"/>
      <c r="G104" s="268"/>
      <c r="H104" s="17" t="n">
        <f aca="false">D104-G104</f>
        <v>0</v>
      </c>
      <c r="I104" s="321"/>
    </row>
    <row r="105" customFormat="false" ht="20.25" hidden="false" customHeight="true" outlineLevel="0" collapsed="false">
      <c r="A105" s="370"/>
      <c r="B105" s="318"/>
      <c r="C105" s="319"/>
      <c r="D105" s="264"/>
      <c r="E105" s="326"/>
      <c r="F105" s="320"/>
      <c r="G105" s="268"/>
      <c r="H105" s="17" t="n">
        <f aca="false">D105-G105</f>
        <v>0</v>
      </c>
      <c r="I105" s="321"/>
    </row>
    <row r="106" customFormat="false" ht="18.6" hidden="false" customHeight="true" outlineLevel="0" collapsed="false">
      <c r="A106" s="370"/>
      <c r="B106" s="307" t="s">
        <v>35</v>
      </c>
      <c r="C106" s="308"/>
      <c r="D106" s="309" t="n">
        <f aca="false">SUM(D76:D105)</f>
        <v>223729.03</v>
      </c>
      <c r="E106" s="310"/>
      <c r="F106" s="311"/>
      <c r="G106" s="312"/>
      <c r="H106" s="291" t="n">
        <f aca="false">+SUM(H76:H97)</f>
        <v>50535.55</v>
      </c>
      <c r="I106" s="292"/>
    </row>
    <row r="107" customFormat="false" ht="21" hidden="false" customHeight="true" outlineLevel="0" collapsed="false">
      <c r="A107" s="327"/>
      <c r="B107" s="31"/>
      <c r="C107" s="32"/>
      <c r="D107" s="33"/>
      <c r="E107" s="34"/>
    </row>
    <row r="108" customFormat="false" ht="21" hidden="false" customHeight="true" outlineLevel="0" collapsed="false">
      <c r="A108" s="327" t="s">
        <v>388</v>
      </c>
      <c r="B108" s="31"/>
      <c r="C108" s="32"/>
      <c r="D108" s="328" t="n">
        <f aca="false">+SUM(D106+D74+D36)</f>
        <v>309055.1</v>
      </c>
      <c r="H108" s="328" t="n">
        <f aca="false">+SUM(H106+H74+H36)</f>
        <v>93280.75</v>
      </c>
    </row>
  </sheetData>
  <mergeCells count="7">
    <mergeCell ref="A2:A35"/>
    <mergeCell ref="K8:L8"/>
    <mergeCell ref="K10:L10"/>
    <mergeCell ref="K13:L13"/>
    <mergeCell ref="K24:M24"/>
    <mergeCell ref="A37:A74"/>
    <mergeCell ref="A76:A106"/>
  </mergeCells>
  <conditionalFormatting sqref="C77:E77 B31 I12:I13 B2:I2 B80:D81 B84:D84 B100:G101 F80:G84 B78:E79 B59:G59 E74:G75 F73:I73 B85:G87 G3:G27 I3:I10 H3:H35 E70:G70 B65:G67 I77:I106 B48:G48 I50 B52:G52 I52 B54:G54 I54 G78:G79 H76:H101 C82:D83 B49:E50 G49:G50 G68:G69 E88:G88 C90:D91 F89:G99 I65:I70 H103:H105 B103:G106 H37:H50 F38:F45 H52:H72 D2:D35 F3:F31 B3:E23 B92:D99 B72 D69:D72 D74:D76 D24:E27 B24:C29">
    <cfRule type="expression" priority="2" aboveAverage="0" equalAverage="0" bottom="0" percent="0" rank="0" text="" dxfId="762">
      <formula>MOD(ROW(),2)=1</formula>
    </cfRule>
  </conditionalFormatting>
  <conditionalFormatting sqref="F2:G11 F8:F12">
    <cfRule type="timePeriod" priority="3" timePeriod="yesterday" dxfId="763"/>
    <cfRule type="timePeriod" priority="4" timePeriod="today" dxfId="764"/>
    <cfRule type="cellIs" priority="5" operator="lessThan" aboveAverage="0" equalAverage="0" bottom="0" percent="0" rank="0" text="" dxfId="765">
      <formula>_xludf.today()</formula>
    </cfRule>
  </conditionalFormatting>
  <conditionalFormatting sqref="F28:F31 F59:G59 F73:G75 F65:G67 F48:G48 F52:G52 F54:G54 G78:G79 G49:G50 F70:G70 G68:G69 F80:G101 F103:G106 F38:F45 F2:G27">
    <cfRule type="cellIs" priority="6" operator="lessThan" aboveAverage="0" equalAverage="0" bottom="0" percent="0" rank="0" text="" dxfId="766">
      <formula>TODAY()</formula>
    </cfRule>
    <cfRule type="timePeriod" priority="7" timePeriod="last7Days" dxfId="767"/>
    <cfRule type="timePeriod" priority="8" timePeriod="yesterday" dxfId="768"/>
    <cfRule type="timePeriod" priority="9" timePeriod="lastMonth" dxfId="769"/>
    <cfRule type="timePeriod" priority="10" timePeriod="yesterday" dxfId="770"/>
    <cfRule type="timePeriod" priority="11" timePeriod="today" dxfId="771"/>
  </conditionalFormatting>
  <conditionalFormatting sqref="B76:E76 B77 I76">
    <cfRule type="expression" priority="12" aboveAverage="0" equalAverage="0" bottom="0" percent="0" rank="0" text="" dxfId="772">
      <formula>MOD(ROW(),2)=1</formula>
    </cfRule>
  </conditionalFormatting>
  <conditionalFormatting sqref="F12:G12">
    <cfRule type="timePeriod" priority="13" timePeriod="yesterday" dxfId="773"/>
    <cfRule type="timePeriod" priority="14" timePeriod="today" dxfId="774"/>
    <cfRule type="cellIs" priority="15" operator="lessThan" aboveAverage="0" equalAverage="0" bottom="0" percent="0" rank="0" text="" dxfId="775">
      <formula>_xludf.today()</formula>
    </cfRule>
  </conditionalFormatting>
  <conditionalFormatting sqref="F13:G13">
    <cfRule type="timePeriod" priority="16" timePeriod="yesterday" dxfId="776"/>
    <cfRule type="timePeriod" priority="17" timePeriod="today" dxfId="777"/>
    <cfRule type="cellIs" priority="18" operator="lessThan" aboveAverage="0" equalAverage="0" bottom="0" percent="0" rank="0" text="" dxfId="778">
      <formula>_xludf.today()</formula>
    </cfRule>
  </conditionalFormatting>
  <conditionalFormatting sqref="B30:G31 B32:C32 F32:G32 D28:G29">
    <cfRule type="expression" priority="19" aboveAverage="0" equalAverage="0" bottom="0" percent="0" rank="0" text="" dxfId="779">
      <formula>MOD(ROW(),2)=1</formula>
    </cfRule>
  </conditionalFormatting>
  <conditionalFormatting sqref="F28:G32">
    <cfRule type="cellIs" priority="20" operator="lessThan" aboveAverage="0" equalAverage="0" bottom="0" percent="0" rank="0" text="" dxfId="780">
      <formula>TODAY()</formula>
    </cfRule>
    <cfRule type="timePeriod" priority="21" timePeriod="last7Days" dxfId="781"/>
    <cfRule type="timePeriod" priority="22" timePeriod="yesterday" dxfId="782"/>
    <cfRule type="timePeriod" priority="23" timePeriod="lastMonth" dxfId="783"/>
    <cfRule type="timePeriod" priority="24" timePeriod="yesterday" dxfId="784"/>
    <cfRule type="timePeriod" priority="25" timePeriod="today" dxfId="785"/>
  </conditionalFormatting>
  <conditionalFormatting sqref="B33:G35">
    <cfRule type="expression" priority="26" aboveAverage="0" equalAverage="0" bottom="0" percent="0" rank="0" text="" dxfId="786">
      <formula>MOD(ROW(),2)=1</formula>
    </cfRule>
  </conditionalFormatting>
  <conditionalFormatting sqref="F33:G35">
    <cfRule type="cellIs" priority="27" operator="lessThan" aboveAverage="0" equalAverage="0" bottom="0" percent="0" rank="0" text="" dxfId="787">
      <formula>TODAY()</formula>
    </cfRule>
    <cfRule type="timePeriod" priority="28" timePeriod="last7Days" dxfId="788"/>
    <cfRule type="timePeriod" priority="29" timePeriod="yesterday" dxfId="789"/>
    <cfRule type="timePeriod" priority="30" timePeriod="lastMonth" dxfId="790"/>
    <cfRule type="timePeriod" priority="31" timePeriod="yesterday" dxfId="791"/>
    <cfRule type="timePeriod" priority="32" timePeriod="today" dxfId="792"/>
  </conditionalFormatting>
  <conditionalFormatting sqref="I14:I32">
    <cfRule type="expression" priority="33" aboveAverage="0" equalAverage="0" bottom="0" percent="0" rank="0" text="" dxfId="793">
      <formula>MOD(ROW(),2)=1</formula>
    </cfRule>
  </conditionalFormatting>
  <conditionalFormatting sqref="B82:B83">
    <cfRule type="expression" priority="35" aboveAverage="0" equalAverage="0" bottom="0" percent="0" rank="0" text="" dxfId="794">
      <formula>MOD(ROW(),2)=1</formula>
    </cfRule>
  </conditionalFormatting>
  <conditionalFormatting sqref="E83">
    <cfRule type="expression" priority="36" aboveAverage="0" equalAverage="0" bottom="0" percent="0" rank="0" text="" dxfId="795">
      <formula>MOD(ROW(),2)=1</formula>
    </cfRule>
  </conditionalFormatting>
  <conditionalFormatting sqref="G76:G77">
    <cfRule type="expression" priority="37" aboveAverage="0" equalAverage="0" bottom="0" percent="0" rank="0" text="" dxfId="796">
      <formula>MOD(ROW(),2)=1</formula>
    </cfRule>
  </conditionalFormatting>
  <conditionalFormatting sqref="G76:G77">
    <cfRule type="cellIs" priority="38" operator="lessThan" aboveAverage="0" equalAverage="0" bottom="0" percent="0" rank="0" text="" dxfId="797">
      <formula>TODAY()</formula>
    </cfRule>
    <cfRule type="timePeriod" priority="39" timePeriod="last7Days" dxfId="798"/>
    <cfRule type="timePeriod" priority="40" timePeriod="yesterday" dxfId="799"/>
    <cfRule type="timePeriod" priority="41" timePeriod="lastMonth" dxfId="800"/>
    <cfRule type="timePeriod" priority="42" timePeriod="yesterday" dxfId="801"/>
    <cfRule type="timePeriod" priority="43" timePeriod="today" dxfId="802"/>
  </conditionalFormatting>
  <conditionalFormatting sqref="F13:F14">
    <cfRule type="timePeriod" priority="44" timePeriod="yesterday" dxfId="803"/>
    <cfRule type="timePeriod" priority="45" timePeriod="today" dxfId="804"/>
    <cfRule type="cellIs" priority="46" operator="lessThan" aboveAverage="0" equalAverage="0" bottom="0" percent="0" rank="0" text="" dxfId="805">
      <formula>_xludf.today()</formula>
    </cfRule>
  </conditionalFormatting>
  <conditionalFormatting sqref="F15:F23">
    <cfRule type="timePeriod" priority="47" timePeriod="yesterday" dxfId="806"/>
    <cfRule type="timePeriod" priority="48" timePeriod="today" dxfId="807"/>
    <cfRule type="cellIs" priority="49" operator="lessThan" aboveAverage="0" equalAverage="0" bottom="0" percent="0" rank="0" text="" dxfId="808">
      <formula>_xludf.today()</formula>
    </cfRule>
  </conditionalFormatting>
  <conditionalFormatting sqref="F26">
    <cfRule type="timePeriod" priority="50" timePeriod="yesterday" dxfId="809"/>
    <cfRule type="timePeriod" priority="51" timePeriod="today" dxfId="810"/>
    <cfRule type="cellIs" priority="52" operator="lessThan" aboveAverage="0" equalAverage="0" bottom="0" percent="0" rank="0" text="" dxfId="811">
      <formula>_xludf.today()</formula>
    </cfRule>
  </conditionalFormatting>
  <conditionalFormatting sqref="B30">
    <cfRule type="expression" priority="53" aboveAverage="0" equalAverage="0" bottom="0" percent="0" rank="0" text="" dxfId="812">
      <formula>MOD(ROW(),2)=1</formula>
    </cfRule>
  </conditionalFormatting>
  <conditionalFormatting sqref="I74:I75">
    <cfRule type="expression" priority="54" aboveAverage="0" equalAverage="0" bottom="0" percent="0" rank="0" text="" dxfId="813">
      <formula>MOD(ROW(),2)=1</formula>
    </cfRule>
  </conditionalFormatting>
  <conditionalFormatting sqref="I74:I75">
    <cfRule type="expression" priority="56" aboveAverage="0" equalAverage="0" bottom="0" percent="0" rank="0" text="" dxfId="814">
      <formula>MOD(ROW(),2)=1</formula>
    </cfRule>
  </conditionalFormatting>
  <conditionalFormatting sqref="H74:H75">
    <cfRule type="expression" priority="57" aboveAverage="0" equalAverage="0" bottom="0" percent="0" rank="0" text="" dxfId="815">
      <formula>MOD(ROW(),2)=1</formula>
    </cfRule>
  </conditionalFormatting>
  <conditionalFormatting sqref="H106">
    <cfRule type="expression" priority="58" aboveAverage="0" equalAverage="0" bottom="0" percent="0" rank="0" text="" dxfId="816">
      <formula>MOD(ROW(),2)=1</formula>
    </cfRule>
  </conditionalFormatting>
  <conditionalFormatting sqref="I33:I35">
    <cfRule type="expression" priority="59" aboveAverage="0" equalAverage="0" bottom="0" percent="0" rank="0" text="" dxfId="817">
      <formula>MOD(ROW(),2)=1</formula>
    </cfRule>
  </conditionalFormatting>
  <conditionalFormatting sqref="I11">
    <cfRule type="expression" priority="61" aboveAverage="0" equalAverage="0" bottom="0" percent="0" rank="0" text="" dxfId="818">
      <formula>MOD(ROW(),2)=1</formula>
    </cfRule>
  </conditionalFormatting>
  <conditionalFormatting sqref="D37:G37 D39:E40 D43:E44 D47:G47 D57:E58 D60:E61 D64:E64 G64 G60:G61 G57:G58 G43:G44 G39:G40">
    <cfRule type="expression" priority="63" aboveAverage="0" equalAverage="0" bottom="0" percent="0" rank="0" text="" dxfId="819">
      <formula>MOD(ROW(),2)=1</formula>
    </cfRule>
  </conditionalFormatting>
  <conditionalFormatting sqref="F37:G37 G39:G40 G43:G44 F47:G47 G57:G58 G60:G61 G64">
    <cfRule type="cellIs" priority="64" operator="lessThan" aboveAverage="0" equalAverage="0" bottom="0" percent="0" rank="0" text="" dxfId="820">
      <formula>TODAY()</formula>
    </cfRule>
    <cfRule type="timePeriod" priority="65" timePeriod="last7Days" dxfId="821"/>
    <cfRule type="timePeriod" priority="66" timePeriod="yesterday" dxfId="822"/>
    <cfRule type="timePeriod" priority="67" timePeriod="lastMonth" dxfId="823"/>
    <cfRule type="timePeriod" priority="68" timePeriod="yesterday" dxfId="824"/>
    <cfRule type="timePeriod" priority="69" timePeriod="today" dxfId="825"/>
  </conditionalFormatting>
  <conditionalFormatting sqref="B41:E42 B46:G46 B53:G53 B55:E56 B62:E63 B37:C37 B39:C40 B43:C44 B47:C47 B57:C58 B60:C61 B64:C64 G62:G63 G55:G56 B45:E45 G45 G41:G42 B38:E38 G38">
    <cfRule type="expression" priority="70" aboveAverage="0" equalAverage="0" bottom="0" percent="0" rank="0" text="" dxfId="826">
      <formula>MOD(ROW(),2)=1</formula>
    </cfRule>
  </conditionalFormatting>
  <conditionalFormatting sqref="G41:G42 F46:G46 F53:G53 G55:G56 G62:G63 G45 G38">
    <cfRule type="cellIs" priority="71" operator="lessThan" aboveAverage="0" equalAverage="0" bottom="0" percent="0" rank="0" text="" dxfId="827">
      <formula>TODAY()</formula>
    </cfRule>
    <cfRule type="timePeriod" priority="72" timePeriod="last7Days" dxfId="828"/>
    <cfRule type="timePeriod" priority="73" timePeriod="yesterday" dxfId="829"/>
    <cfRule type="timePeriod" priority="74" timePeriod="lastMonth" dxfId="830"/>
    <cfRule type="timePeriod" priority="75" timePeriod="yesterday" dxfId="831"/>
    <cfRule type="timePeriod" priority="76" timePeriod="today" dxfId="832"/>
  </conditionalFormatting>
  <conditionalFormatting sqref="I41 I45 I48 I53 I55 I101">
    <cfRule type="expression" priority="77" aboveAverage="0" equalAverage="0" bottom="0" percent="0" rank="0" text="" dxfId="833">
      <formula>MOD(ROW(),2)=1</formula>
    </cfRule>
  </conditionalFormatting>
  <conditionalFormatting sqref="I38 I42 I46 I49 I51 I56 I59 I63">
    <cfRule type="expression" priority="78" aboveAverage="0" equalAverage="0" bottom="0" percent="0" rank="0" text="" dxfId="834">
      <formula>MOD(ROW(),2)=1</formula>
    </cfRule>
  </conditionalFormatting>
  <conditionalFormatting sqref="I37 I39:I40 I43:I44 I47 I57:I58 I60:I61 I64">
    <cfRule type="expression" priority="79" aboveAverage="0" equalAverage="0" bottom="0" percent="0" rank="0" text="" dxfId="835">
      <formula>MOD(ROW(),2)=1</formula>
    </cfRule>
  </conditionalFormatting>
  <conditionalFormatting sqref="E80:E82">
    <cfRule type="expression" priority="80" aboveAverage="0" equalAverage="0" bottom="0" percent="0" rank="0" text="" dxfId="836">
      <formula>MOD(ROW(),2)=1</formula>
    </cfRule>
  </conditionalFormatting>
  <conditionalFormatting sqref="E84 E90:E99">
    <cfRule type="expression" priority="81" aboveAverage="0" equalAverage="0" bottom="0" percent="0" rank="0" text="" dxfId="837">
      <formula>MOD(ROW(),2)=1</formula>
    </cfRule>
  </conditionalFormatting>
  <conditionalFormatting sqref="D32">
    <cfRule type="expression" priority="82" aboveAverage="0" equalAverage="0" bottom="0" percent="0" rank="0" text="" dxfId="838">
      <formula>MOD(ROW(),2)=1</formula>
    </cfRule>
  </conditionalFormatting>
  <conditionalFormatting sqref="E32">
    <cfRule type="expression" priority="83" aboveAverage="0" equalAverage="0" bottom="0" percent="0" rank="0" text="" dxfId="839">
      <formula>MOD(ROW(),2)=1</formula>
    </cfRule>
  </conditionalFormatting>
  <conditionalFormatting sqref="H51">
    <cfRule type="expression" priority="84" aboveAverage="0" equalAverage="0" bottom="0" percent="0" rank="0" text="" dxfId="840">
      <formula>MOD(ROW(),2)=1</formula>
    </cfRule>
  </conditionalFormatting>
  <conditionalFormatting sqref="B51:G51">
    <cfRule type="expression" priority="85" aboveAverage="0" equalAverage="0" bottom="0" percent="0" rank="0" text="" dxfId="841">
      <formula>MOD(ROW(),2)=1</formula>
    </cfRule>
  </conditionalFormatting>
  <conditionalFormatting sqref="F51:G51">
    <cfRule type="cellIs" priority="86" operator="lessThan" aboveAverage="0" equalAverage="0" bottom="0" percent="0" rank="0" text="" dxfId="842">
      <formula>TODAY()</formula>
    </cfRule>
    <cfRule type="timePeriod" priority="87" timePeriod="last7Days" dxfId="843"/>
    <cfRule type="timePeriod" priority="88" timePeriod="yesterday" dxfId="844"/>
    <cfRule type="timePeriod" priority="89" timePeriod="lastMonth" dxfId="845"/>
    <cfRule type="timePeriod" priority="90" timePeriod="yesterday" dxfId="846"/>
    <cfRule type="timePeriod" priority="91" timePeriod="today" dxfId="847"/>
  </conditionalFormatting>
  <conditionalFormatting sqref="F71:G72 I71:I72">
    <cfRule type="expression" priority="92" aboveAverage="0" equalAverage="0" bottom="0" percent="0" rank="0" text="" dxfId="848">
      <formula>MOD(ROW(),2)=1</formula>
    </cfRule>
  </conditionalFormatting>
  <conditionalFormatting sqref="F71:G72">
    <cfRule type="cellIs" priority="93" operator="lessThan" aboveAverage="0" equalAverage="0" bottom="0" percent="0" rank="0" text="" dxfId="849">
      <formula>TODAY()</formula>
    </cfRule>
    <cfRule type="timePeriod" priority="94" timePeriod="last7Days" dxfId="850"/>
    <cfRule type="timePeriod" priority="95" timePeriod="yesterday" dxfId="851"/>
    <cfRule type="timePeriod" priority="96" timePeriod="lastMonth" dxfId="852"/>
    <cfRule type="timePeriod" priority="97" timePeriod="yesterday" dxfId="853"/>
    <cfRule type="timePeriod" priority="98" timePeriod="today" dxfId="854"/>
  </conditionalFormatting>
  <conditionalFormatting sqref="E71:E72">
    <cfRule type="expression" priority="99" aboveAverage="0" equalAverage="0" bottom="0" percent="0" rank="0" text="" dxfId="855">
      <formula>MOD(ROW(),2)=1</formula>
    </cfRule>
  </conditionalFormatting>
  <conditionalFormatting sqref="B36:G36">
    <cfRule type="expression" priority="100" aboveAverage="0" equalAverage="0" bottom="0" percent="0" rank="0" text="" dxfId="856">
      <formula>MOD(ROW(),2)=1</formula>
    </cfRule>
  </conditionalFormatting>
  <conditionalFormatting sqref="F36:G36">
    <cfRule type="cellIs" priority="101" operator="lessThan" aboveAverage="0" equalAverage="0" bottom="0" percent="0" rank="0" text="" dxfId="857">
      <formula>TODAY()</formula>
    </cfRule>
    <cfRule type="timePeriod" priority="102" timePeriod="last7Days" dxfId="858"/>
    <cfRule type="timePeriod" priority="103" timePeriod="yesterday" dxfId="859"/>
    <cfRule type="timePeriod" priority="104" timePeriod="lastMonth" dxfId="860"/>
    <cfRule type="timePeriod" priority="105" timePeriod="yesterday" dxfId="861"/>
    <cfRule type="timePeriod" priority="106" timePeriod="today" dxfId="862"/>
  </conditionalFormatting>
  <conditionalFormatting sqref="I36">
    <cfRule type="expression" priority="107" aboveAverage="0" equalAverage="0" bottom="0" percent="0" rank="0" text="" dxfId="863">
      <formula>MOD(ROW(),2)=1</formula>
    </cfRule>
  </conditionalFormatting>
  <conditionalFormatting sqref="I36">
    <cfRule type="expression" priority="109" aboveAverage="0" equalAverage="0" bottom="0" percent="0" rank="0" text="" dxfId="864">
      <formula>MOD(ROW(),2)=1</formula>
    </cfRule>
  </conditionalFormatting>
  <conditionalFormatting sqref="H36">
    <cfRule type="expression" priority="110" aboveAverage="0" equalAverage="0" bottom="0" percent="0" rank="0" text="" dxfId="865">
      <formula>MOD(ROW(),2)=1</formula>
    </cfRule>
  </conditionalFormatting>
  <conditionalFormatting sqref="I62">
    <cfRule type="expression" priority="111" aboveAverage="0" equalAverage="0" bottom="0" percent="0" rank="0" text="" dxfId="866">
      <formula>MOD(ROW(),2)=1</formula>
    </cfRule>
  </conditionalFormatting>
  <conditionalFormatting sqref="F76:F79">
    <cfRule type="expression" priority="113" aboveAverage="0" equalAverage="0" bottom="0" percent="0" rank="0" text="" dxfId="867">
      <formula>MOD(ROW(),2)=1</formula>
    </cfRule>
  </conditionalFormatting>
  <conditionalFormatting sqref="F76:F79">
    <cfRule type="cellIs" priority="114" operator="lessThan" aboveAverage="0" equalAverage="0" bottom="0" percent="0" rank="0" text="" dxfId="868">
      <formula>TODAY()</formula>
    </cfRule>
    <cfRule type="timePeriod" priority="115" timePeriod="last7Days" dxfId="869"/>
    <cfRule type="timePeriod" priority="116" timePeriod="yesterday" dxfId="870"/>
    <cfRule type="timePeriod" priority="117" timePeriod="lastMonth" dxfId="871"/>
    <cfRule type="timePeriod" priority="118" timePeriod="yesterday" dxfId="872"/>
    <cfRule type="timePeriod" priority="119" timePeriod="today" dxfId="873"/>
  </conditionalFormatting>
  <conditionalFormatting sqref="F60:F64">
    <cfRule type="expression" priority="120" aboveAverage="0" equalAverage="0" bottom="0" percent="0" rank="0" text="" dxfId="874">
      <formula>MOD(ROW(),2)=1</formula>
    </cfRule>
  </conditionalFormatting>
  <conditionalFormatting sqref="F60:F64">
    <cfRule type="cellIs" priority="121" operator="lessThan" aboveAverage="0" equalAverage="0" bottom="0" percent="0" rank="0" text="" dxfId="875">
      <formula>TODAY()</formula>
    </cfRule>
    <cfRule type="timePeriod" priority="122" timePeriod="last7Days" dxfId="876"/>
    <cfRule type="timePeriod" priority="123" timePeriod="yesterday" dxfId="877"/>
    <cfRule type="timePeriod" priority="124" timePeriod="lastMonth" dxfId="878"/>
    <cfRule type="timePeriod" priority="125" timePeriod="yesterday" dxfId="879"/>
    <cfRule type="timePeriod" priority="126" timePeriod="today" dxfId="880"/>
  </conditionalFormatting>
  <conditionalFormatting sqref="F55:F58">
    <cfRule type="expression" priority="127" aboveAverage="0" equalAverage="0" bottom="0" percent="0" rank="0" text="" dxfId="881">
      <formula>MOD(ROW(),2)=1</formula>
    </cfRule>
  </conditionalFormatting>
  <conditionalFormatting sqref="F55:F58">
    <cfRule type="cellIs" priority="128" operator="lessThan" aboveAverage="0" equalAverage="0" bottom="0" percent="0" rank="0" text="" dxfId="882">
      <formula>TODAY()</formula>
    </cfRule>
    <cfRule type="timePeriod" priority="129" timePeriod="last7Days" dxfId="883"/>
    <cfRule type="timePeriod" priority="130" timePeriod="yesterday" dxfId="884"/>
    <cfRule type="timePeriod" priority="131" timePeriod="lastMonth" dxfId="885"/>
    <cfRule type="timePeriod" priority="132" timePeriod="yesterday" dxfId="886"/>
    <cfRule type="timePeriod" priority="133" timePeriod="today" dxfId="887"/>
  </conditionalFormatting>
  <conditionalFormatting sqref="F49:F50">
    <cfRule type="expression" priority="134" aboveAverage="0" equalAverage="0" bottom="0" percent="0" rank="0" text="" dxfId="888">
      <formula>MOD(ROW(),2)=1</formula>
    </cfRule>
  </conditionalFormatting>
  <conditionalFormatting sqref="F49:F50">
    <cfRule type="cellIs" priority="135" operator="lessThan" aboveAverage="0" equalAverage="0" bottom="0" percent="0" rank="0" text="" dxfId="889">
      <formula>TODAY()</formula>
    </cfRule>
    <cfRule type="timePeriod" priority="136" timePeriod="last7Days" dxfId="890"/>
    <cfRule type="timePeriod" priority="137" timePeriod="yesterday" dxfId="891"/>
    <cfRule type="timePeriod" priority="138" timePeriod="lastMonth" dxfId="892"/>
    <cfRule type="timePeriod" priority="139" timePeriod="yesterday" dxfId="893"/>
    <cfRule type="timePeriod" priority="140" timePeriod="today" dxfId="894"/>
  </conditionalFormatting>
  <conditionalFormatting sqref="B68:F68 E69:F69">
    <cfRule type="expression" priority="141" aboveAverage="0" equalAverage="0" bottom="0" percent="0" rank="0" text="" dxfId="895">
      <formula>MOD(ROW(),2)=1</formula>
    </cfRule>
  </conditionalFormatting>
  <conditionalFormatting sqref="F68:F69">
    <cfRule type="cellIs" priority="142" operator="lessThan" aboveAverage="0" equalAverage="0" bottom="0" percent="0" rank="0" text="" dxfId="896">
      <formula>TODAY()</formula>
    </cfRule>
    <cfRule type="timePeriod" priority="143" timePeriod="last7Days" dxfId="897"/>
    <cfRule type="timePeriod" priority="144" timePeriod="yesterday" dxfId="898"/>
    <cfRule type="timePeriod" priority="145" timePeriod="lastMonth" dxfId="899"/>
    <cfRule type="timePeriod" priority="146" timePeriod="yesterday" dxfId="900"/>
    <cfRule type="timePeriod" priority="147" timePeriod="today" dxfId="901"/>
  </conditionalFormatting>
  <conditionalFormatting sqref="B88:D88">
    <cfRule type="expression" priority="148" aboveAverage="0" equalAverage="0" bottom="0" percent="0" rank="0" text="" dxfId="902">
      <formula>MOD(ROW(),2)=1</formula>
    </cfRule>
  </conditionalFormatting>
  <conditionalFormatting sqref="B89:E89 B90:B91">
    <cfRule type="expression" priority="149" aboveAverage="0" equalAverage="0" bottom="0" percent="0" rank="0" text="" dxfId="903">
      <formula>MOD(ROW(),2)=1</formula>
    </cfRule>
  </conditionalFormatting>
  <conditionalFormatting sqref="H102">
    <cfRule type="expression" priority="150" aboveAverage="0" equalAverage="0" bottom="0" percent="0" rank="0" text="" dxfId="904">
      <formula>MOD(ROW(),2)=1</formula>
    </cfRule>
  </conditionalFormatting>
  <conditionalFormatting sqref="B102:G102">
    <cfRule type="expression" priority="151" aboveAverage="0" equalAverage="0" bottom="0" percent="0" rank="0" text="" dxfId="905">
      <formula>MOD(ROW(),2)=1</formula>
    </cfRule>
  </conditionalFormatting>
  <conditionalFormatting sqref="F102:G102">
    <cfRule type="cellIs" priority="152" operator="lessThan" aboveAverage="0" equalAverage="0" bottom="0" percent="0" rank="0" text="" dxfId="906">
      <formula>TODAY()</formula>
    </cfRule>
    <cfRule type="timePeriod" priority="153" timePeriod="last7Days" dxfId="907"/>
    <cfRule type="timePeriod" priority="154" timePeriod="yesterday" dxfId="908"/>
    <cfRule type="timePeriod" priority="155" timePeriod="lastMonth" dxfId="909"/>
    <cfRule type="timePeriod" priority="156" timePeriod="yesterday" dxfId="910"/>
    <cfRule type="timePeriod" priority="157" timePeriod="today" dxfId="911"/>
  </conditionalFormatting>
  <conditionalFormatting sqref="B69:D72">
    <cfRule type="expression" priority="158" aboveAverage="0" equalAverage="0" bottom="0" percent="0" rank="0" text="" dxfId="912">
      <formula>MOD(ROW(),2)=1</formula>
    </cfRule>
  </conditionalFormatting>
  <conditionalFormatting sqref="B74:D75">
    <cfRule type="expression" priority="159" aboveAverage="0" equalAverage="0" bottom="0" percent="0" rank="0" text="" dxfId="913">
      <formula>MOD(ROW(),2)=1</formula>
    </cfRule>
  </conditionalFormatting>
  <conditionalFormatting sqref="B69:B71">
    <cfRule type="expression" priority="160" aboveAverage="0" equalAverage="0" bottom="0" percent="0" rank="0" text="" dxfId="914">
      <formula>MOD(ROW(),2)=1</formula>
    </cfRule>
  </conditionalFormatting>
  <conditionalFormatting sqref="B73:E73">
    <cfRule type="expression" priority="161" aboveAverage="0" equalAverage="0" bottom="0" percent="0" rank="0" text="" dxfId="915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271913D7-8976-403B-AF3C-4B96D17EA38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I14:I32</xm:sqref>
        </x14:conditionalFormatting>
        <x14:conditionalFormatting xmlns:xm="http://schemas.microsoft.com/office/excel/2006/main">
          <x14:cfRule type="iconSet" priority="55" id="{61482FE0-256D-4A6C-A100-79EF4673E04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I74:I75</xm:sqref>
        </x14:conditionalFormatting>
        <x14:conditionalFormatting xmlns:xm="http://schemas.microsoft.com/office/excel/2006/main">
          <x14:cfRule type="iconSet" priority="60" id="{ECA994C8-BED3-43BA-BFF4-C75AE4BFADC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I33:I35</xm:sqref>
        </x14:conditionalFormatting>
        <x14:conditionalFormatting xmlns:xm="http://schemas.microsoft.com/office/excel/2006/main">
          <x14:cfRule type="iconSet" priority="62" id="{4886B37C-8E3F-4124-8072-816C441F2F1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08" id="{C27A2741-C11A-4E7E-8F55-FE754B80DB5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112" id="{65EE81CD-7EED-4E48-8E60-2810A02C797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I62</xm:sqref>
        </x14:conditionalFormatting>
        <x14:conditionalFormatting xmlns:xm="http://schemas.microsoft.com/office/excel/2006/main">
          <x14:cfRule type="iconSet" priority="162" id="{F5CD5265-A898-4187-AEE9-2EFAE33840B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63" id="{1FA81D5A-F086-46AC-B4CA-4B331DA9ADE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I83</xm:sqref>
        </x14:conditionalFormatting>
        <x14:conditionalFormatting xmlns:xm="http://schemas.microsoft.com/office/excel/2006/main">
          <x14:cfRule type="iconSet" priority="164" id="{8FEC4AF4-4EAF-4B6F-9E12-5F1B1E51EEC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A76 A37 A2</xm:sqref>
        </x14:conditionalFormatting>
        <x14:conditionalFormatting xmlns:xm="http://schemas.microsoft.com/office/excel/2006/main">
          <x14:cfRule type="iconSet" priority="165" id="{EE742F56-D2B6-4213-88AB-204F59E9553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66" id="{17B771E9-DFC2-4D17-9C85-4CDD9D8B91D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67" id="{BF30C0DC-4A4E-4031-B5F9-E82838CC4D7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68" id="{D93A5D54-CA7D-4F89-BC63-E1F64154BDC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69" id="{1776A09D-32E8-464D-84F8-BE93C45BCA6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70" id="{7310EC8A-3F2C-4A73-8AD8-3FA1A1925C3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I15:I23</xm:sqref>
        </x14:conditionalFormatting>
        <x14:conditionalFormatting xmlns:xm="http://schemas.microsoft.com/office/excel/2006/main">
          <x14:cfRule type="iconSet" priority="171" id="{D87CAD19-651D-4919-8954-5E407176F88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I27</xm:sqref>
        </x14:conditionalFormatting>
        <x14:conditionalFormatting xmlns:xm="http://schemas.microsoft.com/office/excel/2006/main">
          <x14:cfRule type="iconSet" priority="172" id="{36D282DF-5CEA-4AA0-9646-80C274E59C2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73" id="{B0CEF3CB-8D80-419A-9E80-EBD0B9D5B0D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74" id="{96B03388-9B5C-4960-8DCA-EE57EC70533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I101 I41 I45 I48 I53 I55</xm:sqref>
        </x14:conditionalFormatting>
        <x14:conditionalFormatting xmlns:xm="http://schemas.microsoft.com/office/excel/2006/main">
          <x14:cfRule type="iconSet" priority="175" id="{FA97EED3-4159-4874-B2EE-BD44DFCF4D1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I89:I100 I84 I102:I106</xm:sqref>
        </x14:conditionalFormatting>
        <x14:conditionalFormatting xmlns:xm="http://schemas.microsoft.com/office/excel/2006/main">
          <x14:cfRule type="iconSet" priority="176" id="{00723E24-126E-4AEF-8049-A8474D61E68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I77:I83</xm:sqref>
        </x14:conditionalFormatting>
        <x14:conditionalFormatting xmlns:xm="http://schemas.microsoft.com/office/excel/2006/main">
          <x14:cfRule type="iconSet" priority="177" id="{35A898F3-83FC-4590-8F41-703925AAD2A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I71:I72</xm:sqref>
        </x14:conditionalFormatting>
        <x14:conditionalFormatting xmlns:xm="http://schemas.microsoft.com/office/excel/2006/main">
          <x14:cfRule type="iconSet" priority="178" id="{28B5BB79-96D6-46E1-9DC3-2FF0BB463B5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 I51 I49 I38 I42 I46 I59 I63</xm:sqref>
        </x14:conditionalFormatting>
        <x14:conditionalFormatting xmlns:xm="http://schemas.microsoft.com/office/excel/2006/main">
          <x14:cfRule type="iconSet" priority="179" id="{F39AABA5-B790-4CD0-8310-B8C1D8BCCB7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I85:I88</xm:sqref>
        </x14:conditionalFormatting>
        <x14:conditionalFormatting xmlns:xm="http://schemas.microsoft.com/office/excel/2006/main">
          <x14:cfRule type="iconSet" priority="180" id="{D06ADE80-D8FA-4125-95BF-C35EF168A56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I57:I58 I54 I52 I50 I37 I39:I40 I43:I44 I47 I60:I61 I64:I67</xm:sqref>
        </x14:conditionalFormatting>
      </x14:conditionalFormattings>
    </ext>
  </extLst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AWxSU++akG6kAAAA9QAAABIAHABDb25maWcvUGFja2FnZS54bWwgohgAKKAUAAAAAAAAAAAAAAAAAAAAAAAAAAAAe797v419RW6OQllqUXFmfp6tkqGegZJCal5yfkpmXrqtUmlJmq6Fkr2dTUBicnZieqoCUHFesVVFcaatUkZJSYGVvn55ebleubFeflG6vpGBgaF+hK9PcHJGam6ibmZecUliXnKqElxXCmFdSnY2YRDH2BnpWZrrGRsBnWSjDxOz8c3MQ8iD5ECySII2zqU5JaVFqXZpRbpuQTb6MK6NPtQLdgBQSwMEFAACAAgAAWxS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AFsUlMoike4DgAAABEAAAATABwARm9ybXVsYXMvU2VjdGlvbjEubSCiGAAooBQAAAAAAAAAAAAAAAAAAAAAAAAAAAArTk0uyczPUwiG0IbWAFBLAQItABQAAgAIAAFsUlPvmpBupAAAAPUAAAASAAAAAAAAAAAAAAAAAAAAAABDb25maWcvUGFja2FnZS54bWxQSwECLQAUAAIACAABbFJTD8rpq6QAAADpAAAAEwAAAAAAAAAAAAAAAADwAAAAW0NvbnRlbnRfVHlwZXNdLnhtbFBLAQItABQAAgAIAAFsUlMoike4DgAAABEAAAATAAAAAAAAAAAAAAAAAOEBAABGb3JtdWxhcy9TZWN0aW9uMS5tUEsFBgAAAAADAAMAwgAAADw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CZzkyFMqdHQLYZ+MKWomeMAAAAAAIAAAAAAANmAADAAAAAEAAAALTuk/JA6nWWYaMEqGaim/kAAAAABIAAAKAAAAAQAAAAp2p+pkBoDIl2fm1s1Dt1NlAAAAA1Y+q0ZFZ0cSY5dZ4xh8nj+dqu/c5jEQpwdk+IXwsAn/LIuVPpn/1zTfu6c+dO1Arxb3591TdWnvhxrk7PnDoIin+6zN9NHjPpFJ1sXx2tABQAAAD+FqVf1y5nNu6/qXoL8C1DF3z0pQ==</DataMashup>
</file>

<file path=customXml/itemProps1.xml><?xml version="1.0" encoding="utf-8"?>
<ds:datastoreItem xmlns:ds="http://schemas.openxmlformats.org/officeDocument/2006/customXml" ds:itemID="{7A0F57D2-04CB-4313-9FEF-806494BD95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2021-03-11T09:02:49Z</dcterms:created>
  <dc:creator>Randa Ben Saada</dc:creator>
  <dc:description/>
  <dc:language>fr-FR</dc:language>
  <cp:lastModifiedBy/>
  <cp:lastPrinted>2022-06-13T08:57:13Z</cp:lastPrinted>
  <dcterms:modified xsi:type="dcterms:W3CDTF">2022-07-27T16:33:13Z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