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ersonal Documents\Rushabh's Documents\Stevens\Engineering Management\EM 600 Eng. Eco &amp; Cost Analysis\Midterm\"/>
    </mc:Choice>
  </mc:AlternateContent>
  <bookViews>
    <workbookView xWindow="0" yWindow="0" windowWidth="17268" windowHeight="5430" activeTab="9"/>
  </bookViews>
  <sheets>
    <sheet name="Question 1" sheetId="1" r:id="rId1"/>
    <sheet name="Question 2" sheetId="2" r:id="rId2"/>
    <sheet name="Question 3" sheetId="3" r:id="rId3"/>
    <sheet name="Question 4" sheetId="4" r:id="rId4"/>
    <sheet name="Question 5" sheetId="5" r:id="rId5"/>
    <sheet name="Question 6" sheetId="6" r:id="rId6"/>
    <sheet name="Question 7" sheetId="7" r:id="rId7"/>
    <sheet name="Question 8" sheetId="8" r:id="rId8"/>
    <sheet name="Question 9" sheetId="9" r:id="rId9"/>
    <sheet name="Question 10" sheetId="10"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2" i="10" l="1"/>
  <c r="E87" i="10" l="1"/>
  <c r="G86" i="10"/>
  <c r="F86" i="10"/>
  <c r="E86" i="10"/>
  <c r="F82" i="10"/>
  <c r="G82" i="10"/>
  <c r="E82" i="10"/>
  <c r="E78" i="10"/>
  <c r="G81" i="10"/>
  <c r="F81" i="10"/>
  <c r="G77" i="10"/>
  <c r="E80" i="10"/>
  <c r="D48" i="10"/>
  <c r="G76" i="10"/>
  <c r="G73" i="10"/>
  <c r="F73" i="10"/>
  <c r="G72" i="10"/>
  <c r="F72" i="10"/>
  <c r="F67" i="10"/>
  <c r="E67" i="10"/>
  <c r="F66" i="10"/>
  <c r="E66" i="10"/>
  <c r="F65" i="10"/>
  <c r="E65" i="10"/>
  <c r="E64" i="10"/>
  <c r="F63" i="10"/>
  <c r="E63" i="10"/>
  <c r="F62" i="10"/>
  <c r="E62" i="10"/>
  <c r="F60" i="10"/>
  <c r="E60" i="10"/>
  <c r="D46" i="10"/>
  <c r="D39" i="10"/>
  <c r="C39" i="10"/>
  <c r="D38" i="10"/>
  <c r="C38" i="10"/>
  <c r="D37" i="10"/>
  <c r="B30" i="10"/>
  <c r="E29" i="10"/>
  <c r="D29" i="10"/>
  <c r="C29" i="10"/>
  <c r="B29" i="10"/>
  <c r="C25" i="10"/>
  <c r="D32" i="9"/>
  <c r="D31" i="9"/>
  <c r="D30" i="9"/>
  <c r="D29" i="9"/>
  <c r="D28" i="9"/>
  <c r="E28" i="9"/>
  <c r="E27" i="9"/>
  <c r="C30" i="10" l="1"/>
  <c r="E29" i="9"/>
  <c r="F64" i="10" l="1"/>
  <c r="D30" i="10"/>
  <c r="E30" i="10" s="1"/>
  <c r="E30" i="9"/>
  <c r="E31" i="9" s="1"/>
  <c r="C24" i="9"/>
  <c r="D19" i="9"/>
  <c r="D18" i="9"/>
  <c r="D17" i="9"/>
  <c r="D16" i="9"/>
  <c r="C16" i="9"/>
  <c r="C17" i="9"/>
  <c r="C18" i="9"/>
  <c r="C19" i="9"/>
  <c r="D15" i="9"/>
  <c r="C15" i="9"/>
  <c r="C45" i="8"/>
  <c r="D34" i="8"/>
  <c r="C34" i="8"/>
  <c r="D33" i="8"/>
  <c r="C33" i="8"/>
  <c r="D31" i="8"/>
  <c r="C31" i="8"/>
  <c r="D27" i="8"/>
  <c r="C27" i="8"/>
  <c r="D26" i="8"/>
  <c r="C26" i="8"/>
  <c r="D22" i="8"/>
  <c r="D28" i="8" s="1"/>
  <c r="C22" i="8"/>
  <c r="C28" i="8" s="1"/>
  <c r="D20" i="8"/>
  <c r="D21" i="8"/>
  <c r="C21" i="8"/>
  <c r="C20" i="8"/>
  <c r="C20" i="7"/>
  <c r="C14" i="7"/>
  <c r="E32" i="9" l="1"/>
  <c r="B17" i="6"/>
  <c r="B16" i="6"/>
  <c r="B15" i="6"/>
  <c r="B9" i="6"/>
  <c r="D11" i="5" l="1"/>
  <c r="C11" i="5"/>
  <c r="E14" i="4"/>
  <c r="C14" i="4"/>
  <c r="E12" i="4"/>
  <c r="C12" i="4"/>
  <c r="B8" i="4"/>
  <c r="A13" i="3"/>
  <c r="A11" i="3"/>
  <c r="C9" i="3"/>
  <c r="B14" i="2"/>
  <c r="C12" i="2"/>
  <c r="B12" i="2"/>
  <c r="B8" i="2"/>
  <c r="B7" i="2"/>
</calcChain>
</file>

<file path=xl/sharedStrings.xml><?xml version="1.0" encoding="utf-8"?>
<sst xmlns="http://schemas.openxmlformats.org/spreadsheetml/2006/main" count="247" uniqueCount="193">
  <si>
    <t>DARPA is planning to purchase a new machine. The initial investment required for this
is $60,000. The machine will yield $1500 in revenue annually for 6 years while an O &amp; M
expense of $500 is required every year of the machine’s life. The machine is resold for
$17,000 at the end of 6 years. Draw the cash flow diagram. Assume the EOP discrete
cash flows. [5 points]</t>
  </si>
  <si>
    <t>Investment</t>
  </si>
  <si>
    <t>Revenue</t>
  </si>
  <si>
    <t>O &amp; M</t>
  </si>
  <si>
    <t>Salvage</t>
  </si>
  <si>
    <t>O &amp; M = $500/Year</t>
  </si>
  <si>
    <t>Revenue = $1,500/Year</t>
  </si>
  <si>
    <t>S = $17,000</t>
  </si>
  <si>
    <t>You plan to buy $500,000 home with a 15% down payment. The bank you want to</t>
  </si>
  <si>
    <t>finance the loan suggests two options: a 25-year mortgage at 10% APR and a 35 year</t>
  </si>
  <si>
    <t>mortgage at 11% APR. What is the difference in monthly payments (for the first 20</t>
  </si>
  <si>
    <t>years) between these two options? [3 points]</t>
  </si>
  <si>
    <t>Price</t>
  </si>
  <si>
    <t>DP</t>
  </si>
  <si>
    <t>Pending</t>
  </si>
  <si>
    <t>APR</t>
  </si>
  <si>
    <t>N</t>
  </si>
  <si>
    <t>Payment</t>
  </si>
  <si>
    <t>Difference</t>
  </si>
  <si>
    <t>APR with 10% is a better option then 11% for this loan</t>
  </si>
  <si>
    <t>Mario Batali borrowed $90,000 from a bank at an interest rate of 12% compounded</t>
  </si>
  <si>
    <t>monthly. The loan will be repaid in 48 monthly installments over four years. Immediately</t>
  </si>
  <si>
    <t>after his 20th payment, Mario desires to pay the remainder of the loan in a single</t>
  </si>
  <si>
    <t>payment. Compute the amount he must pay in a single payment amount after his 20th</t>
  </si>
  <si>
    <t>payment. [2 points]</t>
  </si>
  <si>
    <t>P</t>
  </si>
  <si>
    <t>I</t>
  </si>
  <si>
    <t>(Monthly)</t>
  </si>
  <si>
    <t>Monthly Payments</t>
  </si>
  <si>
    <t>Amount to be paid after 20th Installment</t>
  </si>
  <si>
    <t>Money is rather tight this month (student life!), and so you decide to borrow $1,900</t>
  </si>
  <si>
    <t>from YoLoS (Your Loan Shark Inc). They are willing to lend you $1,900 if you repay</t>
  </si>
  <si>
    <t>them $2,100 a month later.</t>
  </si>
  <si>
    <t>a. What is the nominal annual interest rate that you are being charged? [3 points]</t>
  </si>
  <si>
    <t>b. What is the effective annual interest rate that you are being charged? Assume</t>
  </si>
  <si>
    <t>monthly compounding. [2 points]</t>
  </si>
  <si>
    <t>Interest</t>
  </si>
  <si>
    <t>PV</t>
  </si>
  <si>
    <t>FV</t>
  </si>
  <si>
    <t>Nominal</t>
  </si>
  <si>
    <t>r=</t>
  </si>
  <si>
    <t>OR</t>
  </si>
  <si>
    <t>Effective</t>
  </si>
  <si>
    <t>Ia=</t>
  </si>
  <si>
    <t>Springhedd Inc. is planning to purchase a new data server for their data</t>
  </si>
  <si>
    <t>management. They are toying between two alternative servers – IBM and Sun. Listed</t>
  </si>
  <si>
    <t>below are the economic details of the alternatives,</t>
  </si>
  <si>
    <t>Initial Investment</t>
  </si>
  <si>
    <t>Annual Revenue</t>
  </si>
  <si>
    <t>Annual Expenses</t>
  </si>
  <si>
    <t>Salvage Value</t>
  </si>
  <si>
    <t>Interest Rate</t>
  </si>
  <si>
    <t>Alternative B</t>
  </si>
  <si>
    <t>Alternative A</t>
  </si>
  <si>
    <t>a. For the two locations,</t>
  </si>
  <si>
    <t>Calculate the PW (DO NOT use the AW or FW values); [2 points]</t>
  </si>
  <si>
    <t>Calculate the AW (DO NOT use the PW or FW values); [2 points]</t>
  </si>
  <si>
    <t>Calculate the FW (DO NOT use the PW or AW values) [2 points]</t>
  </si>
  <si>
    <t>b. Which alternative should they choose? Why? [1 point]</t>
  </si>
  <si>
    <t>PW</t>
  </si>
  <si>
    <t>=-P+A(P/A,I,N)+F(P/F,I,N)</t>
  </si>
  <si>
    <t>=-460000+48000(P/A,10,7)+115000(P/F,10,7)</t>
  </si>
  <si>
    <t>AE</t>
  </si>
  <si>
    <t>=-P(A/P,i,N)+A+F(A/F,i,N)</t>
  </si>
  <si>
    <t>=-460000(A/P,10,7)+48000+115000(A/F,10,7)</t>
  </si>
  <si>
    <t>FW</t>
  </si>
  <si>
    <t>=-P(F/P,I,N)+A(F/A,I,N)+F</t>
  </si>
  <si>
    <t>ALTERNATIVE B</t>
  </si>
  <si>
    <t>=-460000(F/P,10,7)+48000(F/A,10,7)+115000</t>
  </si>
  <si>
    <t>=-480000+35000(P/A,10,7)+160000(P/F,10,7)</t>
  </si>
  <si>
    <t>=-480000(A/P,10,7)+35000+160000(A/F,10,7)</t>
  </si>
  <si>
    <t>=-480000(F/P,10,7)+35000(F/A,10,7)+160000</t>
  </si>
  <si>
    <t>Find the EUAC for a machine whose initial investment is $70,000, the annual expense</t>
  </si>
  <si>
    <t>incurred is $40,000 The annual revenue generated from the machine is $60,000and the</t>
  </si>
  <si>
    <t>salvage value is $9,000. Use MARR of 20% and the useful life of the machine to be 12</t>
  </si>
  <si>
    <t>years [2 points]</t>
  </si>
  <si>
    <t>Expense</t>
  </si>
  <si>
    <t>A</t>
  </si>
  <si>
    <t>MARR</t>
  </si>
  <si>
    <t>CR</t>
  </si>
  <si>
    <t>OM</t>
  </si>
  <si>
    <t>EUAC</t>
  </si>
  <si>
    <t>Jack's Warehouse is looking into automating their storage system, and they will need</t>
  </si>
  <si>
    <t>fewer workers as a result. The details are noted below:</t>
  </si>
  <si>
    <t>Initial Cost</t>
  </si>
  <si>
    <t>Yearly Savings</t>
  </si>
  <si>
    <t>Service Life</t>
  </si>
  <si>
    <t>What is the IRR for this new machine? [5 points]</t>
  </si>
  <si>
    <t>Note: Please use interpolation (and NOT Excel®) to find the solution.</t>
  </si>
  <si>
    <t>GUESS 1 - 20%</t>
  </si>
  <si>
    <t>PW =</t>
  </si>
  <si>
    <t xml:space="preserve">- P + A(P|A, i, N) </t>
  </si>
  <si>
    <t>- 700000 + [190000 * 4.1925]</t>
  </si>
  <si>
    <t>GUESS 2 - 25%</t>
  </si>
  <si>
    <t>- 700000 + [190000 * 3.5705]</t>
  </si>
  <si>
    <t>Interpolation</t>
  </si>
  <si>
    <t>y = y1 + [(x - x1) (y2 - y1)] / (x2 - x1)</t>
  </si>
  <si>
    <t>IRR</t>
  </si>
  <si>
    <t>The NY State Govt. is planning a hydraulic project for a levee. In addition to producing</t>
  </si>
  <si>
    <t>electric power, this project will provide flood control, irrigation and recreational benefits.</t>
  </si>
  <si>
    <t>The estimated benefits and costs expected to be derived from the two alternatives are as</t>
  </si>
  <si>
    <t>follows:</t>
  </si>
  <si>
    <t>Annual Flood Control Savings</t>
  </si>
  <si>
    <t>Annual Irrigation Benefits</t>
  </si>
  <si>
    <t>Annual Recreation Benefits</t>
  </si>
  <si>
    <t>Annual Additional Benefits</t>
  </si>
  <si>
    <t>The interest rate is 12% and the lives of the projects are estimated to be 50 years.</t>
  </si>
  <si>
    <t>a. Calculate the benefit-cost ratio (BCR) for each alternative. [2 + 2 points]</t>
  </si>
  <si>
    <t>b. Select the best alternative on the basis of BCR [3 points]</t>
  </si>
  <si>
    <t>i</t>
  </si>
  <si>
    <t>Benefits (B)</t>
  </si>
  <si>
    <t>= A*8.3045</t>
  </si>
  <si>
    <t>PW of B =</t>
  </si>
  <si>
    <t>PW of I =</t>
  </si>
  <si>
    <t>PW of C' =</t>
  </si>
  <si>
    <t>BCR = B/(I+C')</t>
  </si>
  <si>
    <t>IF BCR &gt; 1 - Accept, Else Reject</t>
  </si>
  <si>
    <t>I + C' of Alternative B is higher</t>
  </si>
  <si>
    <r>
      <t xml:space="preserve">BCR(i) </t>
    </r>
    <r>
      <rPr>
        <sz val="8"/>
        <color theme="1"/>
        <rFont val="Calibri"/>
        <family val="2"/>
        <scheme val="minor"/>
      </rPr>
      <t>B-A</t>
    </r>
    <r>
      <rPr>
        <sz val="11"/>
        <color theme="1"/>
        <rFont val="Calibri"/>
        <family val="2"/>
        <scheme val="minor"/>
      </rPr>
      <t xml:space="preserve"> = (B</t>
    </r>
    <r>
      <rPr>
        <sz val="9"/>
        <color theme="1"/>
        <rFont val="Calibri"/>
        <family val="2"/>
        <scheme val="minor"/>
      </rPr>
      <t>B</t>
    </r>
    <r>
      <rPr>
        <sz val="11"/>
        <color theme="1"/>
        <rFont val="Calibri"/>
        <family val="2"/>
        <scheme val="minor"/>
      </rPr>
      <t xml:space="preserve"> - B</t>
    </r>
    <r>
      <rPr>
        <sz val="9"/>
        <color theme="1"/>
        <rFont val="Calibri"/>
        <family val="2"/>
        <scheme val="minor"/>
      </rPr>
      <t>A</t>
    </r>
    <r>
      <rPr>
        <sz val="11"/>
        <color theme="1"/>
        <rFont val="Calibri"/>
        <family val="2"/>
        <scheme val="minor"/>
      </rPr>
      <t>) / (C</t>
    </r>
    <r>
      <rPr>
        <sz val="9"/>
        <color theme="1"/>
        <rFont val="Calibri"/>
        <family val="2"/>
        <scheme val="minor"/>
      </rPr>
      <t>B</t>
    </r>
    <r>
      <rPr>
        <sz val="11"/>
        <color theme="1"/>
        <rFont val="Calibri"/>
        <family val="2"/>
        <scheme val="minor"/>
      </rPr>
      <t xml:space="preserve"> - C</t>
    </r>
    <r>
      <rPr>
        <sz val="8"/>
        <color theme="1"/>
        <rFont val="Calibri"/>
        <family val="2"/>
        <scheme val="minor"/>
      </rPr>
      <t>A</t>
    </r>
    <r>
      <rPr>
        <sz val="11"/>
        <color theme="1"/>
        <rFont val="Calibri"/>
        <family val="2"/>
        <scheme val="minor"/>
      </rPr>
      <t>)</t>
    </r>
  </si>
  <si>
    <t>PWc = I + C' = C</t>
  </si>
  <si>
    <r>
      <t>Since BCR</t>
    </r>
    <r>
      <rPr>
        <sz val="9"/>
        <color theme="1"/>
        <rFont val="Calibri"/>
        <family val="2"/>
        <scheme val="minor"/>
      </rPr>
      <t xml:space="preserve">B-A </t>
    </r>
    <r>
      <rPr>
        <sz val="11"/>
        <color theme="1"/>
        <rFont val="Calibri"/>
        <family val="2"/>
        <scheme val="minor"/>
      </rPr>
      <t>is &gt; 1; choose Alternative B</t>
    </r>
  </si>
  <si>
    <t>A CO2 laser cutter acquired in the beginning of the fiscal year at a cost of $ 32,000 has</t>
  </si>
  <si>
    <t>an estimated salvage value of $ 6,500 and an estimated useful life of 5 years. Determine:</t>
  </si>
  <si>
    <t>a. The amount of annual depreciation by straight line method [2 points]</t>
  </si>
  <si>
    <t>b. The amount of annual depreciation using the DDB method [2 points]</t>
  </si>
  <si>
    <t>C'</t>
  </si>
  <si>
    <t>PW of B = A(P|A, 12%, 50)</t>
  </si>
  <si>
    <t>S</t>
  </si>
  <si>
    <t>n</t>
  </si>
  <si>
    <t>BVn</t>
  </si>
  <si>
    <t>Dn</t>
  </si>
  <si>
    <t>Dn = (I-S)/N</t>
  </si>
  <si>
    <t>α</t>
  </si>
  <si>
    <t>DDB</t>
  </si>
  <si>
    <t>Dn for DDB =</t>
  </si>
  <si>
    <t>α * I * [(1 - α)^(n-1)]</t>
  </si>
  <si>
    <t>A machine is to be purchased for $50,000. The entire amount is to be borrowed with</t>
  </si>
  <si>
    <t>the stipulation that it has to be repaid at the end of two years, which is the life of the</t>
  </si>
  <si>
    <t>project, at 13% compounded annually. The machine is expected to provide an annual</t>
  </si>
  <si>
    <t>revenue of $5,000 for three years and is to be depreciated using a MACRS rate of 0.4500</t>
  </si>
  <si>
    <t>in year 1 and 0.5500 in year 2. The working capital required is $13,000 and is fully</t>
  </si>
  <si>
    <t>recovered at the end of year 2. The cash expense for the machine is $300 per year. The</t>
  </si>
  <si>
    <t>salvage value of the machine at the end of the second year is expected to be $9,000.</t>
  </si>
  <si>
    <t>Assume a income tax rate of 30% and a MARR of 18%. Based on the data provided</t>
  </si>
  <si>
    <t>above, determine the following:</t>
  </si>
  <si>
    <t>the annual payment. [2 points]</t>
  </si>
  <si>
    <t>a. A loan amortization table determining the principal payment, the interest expenses and</t>
  </si>
  <si>
    <t>Working Capital</t>
  </si>
  <si>
    <t>for 3 years</t>
  </si>
  <si>
    <t>per year</t>
  </si>
  <si>
    <t>Income Tax</t>
  </si>
  <si>
    <t>Year</t>
  </si>
  <si>
    <t>Beginning Balance</t>
  </si>
  <si>
    <t>Interest Payment</t>
  </si>
  <si>
    <t>Principle Payment</t>
  </si>
  <si>
    <t>Ending Balance</t>
  </si>
  <si>
    <t>LOAN Payment Calculation</t>
  </si>
  <si>
    <t>b. A depreciation table using the depreciation rate provided in the problem. [1 points]</t>
  </si>
  <si>
    <t>Depreciation Table</t>
  </si>
  <si>
    <t>MACRS</t>
  </si>
  <si>
    <t>c. The capital gain / loss of the machine at the end of year 2 [3 points]</t>
  </si>
  <si>
    <t>S &gt; BV2</t>
  </si>
  <si>
    <t>Taxable gain</t>
  </si>
  <si>
    <t>= S - BV</t>
  </si>
  <si>
    <t>Tax Rate = 30%</t>
  </si>
  <si>
    <t>Therefore Taxable Gain</t>
  </si>
  <si>
    <t>d. Using the information given and the calculated values in parts a, b and c, determine</t>
  </si>
  <si>
    <t>the after tax cash flow for the project: [3 points]</t>
  </si>
  <si>
    <t>Develop the Income Statement</t>
  </si>
  <si>
    <t>Develop the Cash flow Statement</t>
  </si>
  <si>
    <t>Is this project justifiable at a MARR of 18%?</t>
  </si>
  <si>
    <t>Calculate the NPV of the Project.</t>
  </si>
  <si>
    <t>Calculate the IRR of the Project. If an error is returned in Excel, Why?</t>
  </si>
  <si>
    <t>Expenses:</t>
  </si>
  <si>
    <t>Cash</t>
  </si>
  <si>
    <t>Depreciation</t>
  </si>
  <si>
    <t>Net Income</t>
  </si>
  <si>
    <t>Income Statement</t>
  </si>
  <si>
    <t>Taxable Income</t>
  </si>
  <si>
    <t>Operating Activities</t>
  </si>
  <si>
    <t>Deperecitaion</t>
  </si>
  <si>
    <t>Investment Activities</t>
  </si>
  <si>
    <t>Gains Tax</t>
  </si>
  <si>
    <t>Financing Activities</t>
  </si>
  <si>
    <t>Borrowed Funds</t>
  </si>
  <si>
    <t>Net Cash Flow</t>
  </si>
  <si>
    <t>Cash Flow Statement</t>
  </si>
  <si>
    <t>Principle Payement</t>
  </si>
  <si>
    <t>The PW &lt; 0; therefore this project is not justifiable</t>
  </si>
  <si>
    <t>I = $60,000</t>
  </si>
  <si>
    <t>IRR shows the an error. It could either be because of the number is too small or negative value of Principle amount. OR as per microsoft help, it could be because of $ sign. But I checked for it &amp; it wasn't the issue.</t>
  </si>
  <si>
    <t>ALTERNATIVE A
(PICK)</t>
  </si>
  <si>
    <t>Alternative A's PW is greater then B's, A is a better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</si>
</sst>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8" formatCode="&quot;$&quot;#,##0.00_);[Red]\(&quot;$&quot;#,##0.00\)"/>
    <numFmt numFmtId="44" formatCode="_(&quot;$&quot;* #,##0.00_);_(&quot;$&quot;* \(#,##0.00\);_(&quot;$&quot;* &quot;-&quot;??_);_(@_)"/>
    <numFmt numFmtId="43" formatCode="_(* #,##0.00_);_(* \(#,##0.00\);_(* &quot;-&quot;??_);_(@_)"/>
    <numFmt numFmtId="164" formatCode="_(* #,##0_);_(* \(#,##0\);_(*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9"/>
      <color theme="1"/>
      <name val="Calibri"/>
      <family val="2"/>
      <scheme val="minor"/>
    </font>
    <font>
      <sz val="8"/>
      <color theme="1"/>
      <name val="Calibri"/>
      <family val="2"/>
      <scheme val="minor"/>
    </font>
    <font>
      <sz val="11"/>
      <color theme="1"/>
      <name val="Calibri"/>
      <family val="2"/>
    </font>
    <font>
      <b/>
      <sz val="14"/>
      <color theme="1"/>
      <name val="Calibri"/>
      <family val="2"/>
      <scheme val="minor"/>
    </font>
    <font>
      <sz val="14"/>
      <color theme="1"/>
      <name val="Calibri"/>
      <family val="2"/>
      <scheme val="minor"/>
    </font>
    <font>
      <sz val="20"/>
      <color theme="1"/>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4" tint="0.79998168889431442"/>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22">
    <xf numFmtId="0" fontId="0" fillId="0" borderId="0" xfId="0"/>
    <xf numFmtId="0" fontId="0" fillId="0" borderId="0" xfId="0" applyAlignment="1"/>
    <xf numFmtId="164" fontId="0" fillId="0" borderId="0" xfId="1" applyNumberFormat="1" applyFont="1"/>
    <xf numFmtId="9" fontId="0" fillId="0" borderId="0" xfId="3" applyFont="1"/>
    <xf numFmtId="8" fontId="0" fillId="0" borderId="0" xfId="0" applyNumberFormat="1"/>
    <xf numFmtId="44" fontId="0" fillId="0" borderId="0" xfId="2" applyFont="1"/>
    <xf numFmtId="10" fontId="0" fillId="0" borderId="0" xfId="3" applyNumberFormat="1" applyFont="1"/>
    <xf numFmtId="38" fontId="0" fillId="0" borderId="0" xfId="0" applyNumberFormat="1"/>
    <xf numFmtId="0" fontId="0" fillId="0" borderId="0" xfId="0" quotePrefix="1"/>
    <xf numFmtId="0" fontId="0" fillId="0" borderId="0" xfId="0" applyFill="1"/>
    <xf numFmtId="0" fontId="0" fillId="0" borderId="0" xfId="0" quotePrefix="1" applyFill="1"/>
    <xf numFmtId="0" fontId="0" fillId="0" borderId="0" xfId="0" applyFill="1" applyAlignment="1">
      <alignment horizontal="center" vertical="center" textRotation="90"/>
    </xf>
    <xf numFmtId="9" fontId="0" fillId="0" borderId="0" xfId="0" applyNumberFormat="1"/>
    <xf numFmtId="0" fontId="0" fillId="6" borderId="0" xfId="0" applyFill="1"/>
    <xf numFmtId="10" fontId="0" fillId="6" borderId="0" xfId="0" applyNumberFormat="1" applyFill="1"/>
    <xf numFmtId="2" fontId="0" fillId="0" borderId="0" xfId="0" applyNumberFormat="1"/>
    <xf numFmtId="0" fontId="0" fillId="0" borderId="0" xfId="0" applyBorder="1"/>
    <xf numFmtId="0" fontId="0" fillId="0" borderId="1" xfId="0" applyBorder="1"/>
    <xf numFmtId="0" fontId="0" fillId="0" borderId="4" xfId="0" applyBorder="1"/>
    <xf numFmtId="0" fontId="0" fillId="0" borderId="6" xfId="0" applyBorder="1"/>
    <xf numFmtId="0" fontId="0" fillId="0" borderId="7" xfId="0" applyBorder="1"/>
    <xf numFmtId="0" fontId="0" fillId="0" borderId="4" xfId="0" applyFont="1" applyBorder="1"/>
    <xf numFmtId="0" fontId="0" fillId="0" borderId="2" xfId="0" applyBorder="1"/>
    <xf numFmtId="0" fontId="0" fillId="0" borderId="3" xfId="0" applyBorder="1"/>
    <xf numFmtId="0" fontId="0" fillId="0" borderId="5" xfId="0" applyBorder="1"/>
    <xf numFmtId="0" fontId="0" fillId="0" borderId="4" xfId="0" quotePrefix="1" applyBorder="1"/>
    <xf numFmtId="0" fontId="0" fillId="6" borderId="6" xfId="0" applyFill="1" applyBorder="1"/>
    <xf numFmtId="0" fontId="0" fillId="6" borderId="7" xfId="0" applyFill="1" applyBorder="1"/>
    <xf numFmtId="0" fontId="0" fillId="6" borderId="8" xfId="0" applyFill="1" applyBorder="1"/>
    <xf numFmtId="0" fontId="0" fillId="0" borderId="0" xfId="0" applyAlignment="1">
      <alignment horizontal="center" vertical="center"/>
    </xf>
    <xf numFmtId="0" fontId="5" fillId="0" borderId="0" xfId="0" applyFont="1"/>
    <xf numFmtId="0" fontId="5" fillId="0" borderId="2" xfId="0" applyFont="1" applyBorder="1"/>
    <xf numFmtId="0" fontId="5" fillId="0" borderId="0" xfId="0" applyFont="1" applyBorder="1"/>
    <xf numFmtId="0" fontId="0" fillId="2" borderId="0" xfId="0" applyFill="1"/>
    <xf numFmtId="0" fontId="0" fillId="0" borderId="4" xfId="0" applyFill="1" applyBorder="1"/>
    <xf numFmtId="0" fontId="0" fillId="0" borderId="0" xfId="0" applyFill="1" applyBorder="1" applyAlignment="1">
      <alignment wrapText="1"/>
    </xf>
    <xf numFmtId="0" fontId="0" fillId="0" borderId="5" xfId="0" applyFill="1" applyBorder="1" applyAlignment="1">
      <alignment wrapText="1"/>
    </xf>
    <xf numFmtId="0" fontId="0" fillId="0" borderId="6" xfId="0" applyFill="1" applyBorder="1"/>
    <xf numFmtId="0" fontId="0" fillId="4" borderId="0" xfId="0" applyFill="1"/>
    <xf numFmtId="0" fontId="0" fillId="0" borderId="0" xfId="0" applyBorder="1" applyAlignment="1">
      <alignment horizontal="left" indent="1"/>
    </xf>
    <xf numFmtId="0" fontId="2" fillId="0" borderId="0" xfId="0" applyFont="1" applyBorder="1" applyAlignment="1">
      <alignment horizontal="left"/>
    </xf>
    <xf numFmtId="0" fontId="2" fillId="0" borderId="7" xfId="0" applyFont="1" applyBorder="1"/>
    <xf numFmtId="0" fontId="2" fillId="0" borderId="2" xfId="0" applyFont="1" applyBorder="1"/>
    <xf numFmtId="0" fontId="2" fillId="0" borderId="0" xfId="0" applyFont="1" applyBorder="1"/>
    <xf numFmtId="0" fontId="2" fillId="3" borderId="10" xfId="0" applyFont="1" applyFill="1" applyBorder="1"/>
    <xf numFmtId="0" fontId="8" fillId="2" borderId="9" xfId="0" applyFont="1" applyFill="1" applyBorder="1"/>
    <xf numFmtId="9" fontId="8" fillId="2" borderId="11" xfId="0" applyNumberFormat="1" applyFont="1" applyFill="1" applyBorder="1"/>
    <xf numFmtId="0" fontId="0" fillId="0" borderId="2" xfId="0" quotePrefix="1" applyBorder="1"/>
    <xf numFmtId="0" fontId="0" fillId="0" borderId="0" xfId="0" quotePrefix="1" applyBorder="1"/>
    <xf numFmtId="44" fontId="0" fillId="2" borderId="0" xfId="2" applyFont="1" applyFill="1"/>
    <xf numFmtId="44" fontId="0" fillId="0" borderId="0" xfId="2" applyFont="1" applyFill="1" applyBorder="1"/>
    <xf numFmtId="44" fontId="0" fillId="0" borderId="5" xfId="2" applyFont="1" applyFill="1" applyBorder="1"/>
    <xf numFmtId="44" fontId="0" fillId="0" borderId="7" xfId="2" applyFont="1" applyFill="1" applyBorder="1"/>
    <xf numFmtId="44" fontId="0" fillId="0" borderId="8" xfId="2" applyFont="1" applyFill="1" applyBorder="1"/>
    <xf numFmtId="44" fontId="0" fillId="0" borderId="0" xfId="2" applyFont="1" applyBorder="1"/>
    <xf numFmtId="44" fontId="0" fillId="0" borderId="5" xfId="2" applyFont="1" applyBorder="1"/>
    <xf numFmtId="44" fontId="0" fillId="0" borderId="7" xfId="2" applyFont="1" applyBorder="1"/>
    <xf numFmtId="44" fontId="0" fillId="0" borderId="8" xfId="2" applyFont="1" applyBorder="1"/>
    <xf numFmtId="44" fontId="0" fillId="4" borderId="0" xfId="2" applyFont="1" applyFill="1"/>
    <xf numFmtId="44" fontId="9" fillId="0" borderId="0" xfId="2" applyFont="1"/>
    <xf numFmtId="44" fontId="2" fillId="3" borderId="10" xfId="2" applyFont="1" applyFill="1" applyBorder="1"/>
    <xf numFmtId="44" fontId="9" fillId="0" borderId="0" xfId="2" applyFont="1" applyBorder="1"/>
    <xf numFmtId="44" fontId="9" fillId="0" borderId="5" xfId="2" applyFont="1" applyBorder="1"/>
    <xf numFmtId="44" fontId="10" fillId="3" borderId="10" xfId="2" applyFont="1" applyFill="1" applyBorder="1"/>
    <xf numFmtId="44" fontId="10" fillId="3" borderId="11" xfId="2" applyFont="1" applyFill="1" applyBorder="1"/>
    <xf numFmtId="44" fontId="10" fillId="0" borderId="0" xfId="2" applyFont="1" applyBorder="1"/>
    <xf numFmtId="44" fontId="10" fillId="0" borderId="5" xfId="2" applyFont="1" applyBorder="1"/>
    <xf numFmtId="44" fontId="10" fillId="0" borderId="7" xfId="2" applyFont="1" applyBorder="1"/>
    <xf numFmtId="44" fontId="10" fillId="0" borderId="8" xfId="2" applyFont="1" applyBorder="1"/>
    <xf numFmtId="44" fontId="0" fillId="0" borderId="2" xfId="2" applyFont="1" applyBorder="1"/>
    <xf numFmtId="44" fontId="0" fillId="0" borderId="3" xfId="2" applyFont="1" applyBorder="1"/>
    <xf numFmtId="44" fontId="0" fillId="3" borderId="0" xfId="2" applyFont="1" applyFill="1" applyAlignment="1"/>
    <xf numFmtId="44" fontId="0" fillId="0" borderId="0" xfId="2" applyFont="1" applyFill="1" applyAlignment="1"/>
    <xf numFmtId="44" fontId="9" fillId="3" borderId="0" xfId="2" applyFont="1" applyFill="1" applyAlignment="1"/>
    <xf numFmtId="44" fontId="9" fillId="0" borderId="0" xfId="2" applyFont="1" applyFill="1" applyAlignment="1"/>
    <xf numFmtId="44" fontId="9" fillId="4" borderId="0" xfId="2" quotePrefix="1" applyFont="1" applyFill="1" applyBorder="1"/>
    <xf numFmtId="44" fontId="9" fillId="4" borderId="7" xfId="2" quotePrefix="1" applyFont="1" applyFill="1" applyBorder="1"/>
    <xf numFmtId="44" fontId="11" fillId="4" borderId="0" xfId="2" quotePrefix="1" applyFont="1" applyFill="1" applyBorder="1"/>
    <xf numFmtId="0" fontId="0" fillId="0" borderId="0" xfId="0" applyAlignment="1">
      <alignment horizontal="center" wrapText="1"/>
    </xf>
    <xf numFmtId="0" fontId="0" fillId="3" borderId="0" xfId="0" applyFill="1" applyAlignment="1">
      <alignment horizontal="center" vertical="center"/>
    </xf>
    <xf numFmtId="0" fontId="0" fillId="2" borderId="0" xfId="0" applyFill="1" applyAlignment="1">
      <alignment horizontal="center" vertical="center"/>
    </xf>
    <xf numFmtId="0" fontId="0" fillId="4" borderId="0" xfId="0" applyFill="1" applyAlignment="1">
      <alignment horizontal="center"/>
    </xf>
    <xf numFmtId="0" fontId="0" fillId="4" borderId="3" xfId="0" applyFill="1" applyBorder="1" applyAlignment="1">
      <alignment horizontal="center" vertical="center" textRotation="90" wrapText="1"/>
    </xf>
    <xf numFmtId="0" fontId="0" fillId="4" borderId="5" xfId="0" applyFill="1" applyBorder="1" applyAlignment="1">
      <alignment horizontal="center" vertical="center" textRotation="90"/>
    </xf>
    <xf numFmtId="0" fontId="0" fillId="4" borderId="8" xfId="0" applyFill="1" applyBorder="1" applyAlignment="1">
      <alignment horizontal="center" vertical="center" textRotation="90"/>
    </xf>
    <xf numFmtId="0" fontId="0" fillId="4" borderId="3" xfId="0" applyFill="1" applyBorder="1" applyAlignment="1">
      <alignment horizontal="center" vertical="center" textRotation="90"/>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0" fillId="0" borderId="0" xfId="0" quotePrefix="1" applyAlignment="1">
      <alignment horizontal="center"/>
    </xf>
    <xf numFmtId="0" fontId="0" fillId="0" borderId="0" xfId="0" applyAlignment="1">
      <alignment horizontal="center"/>
    </xf>
    <xf numFmtId="0" fontId="0" fillId="5" borderId="0" xfId="0" applyFill="1" applyAlignment="1">
      <alignment horizontal="center"/>
    </xf>
    <xf numFmtId="0" fontId="0" fillId="2" borderId="0" xfId="0" applyFill="1" applyAlignment="1">
      <alignment horizont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7" fillId="4" borderId="9" xfId="0" applyFont="1" applyFill="1" applyBorder="1" applyAlignment="1">
      <alignment horizontal="center"/>
    </xf>
    <xf numFmtId="0" fontId="7" fillId="4" borderId="10" xfId="0" applyFont="1" applyFill="1" applyBorder="1" applyAlignment="1">
      <alignment horizontal="center"/>
    </xf>
    <xf numFmtId="0" fontId="7" fillId="4" borderId="11" xfId="0" applyFont="1" applyFill="1" applyBorder="1" applyAlignment="1">
      <alignment horizontal="center"/>
    </xf>
    <xf numFmtId="0" fontId="0" fillId="7" borderId="1" xfId="0" applyFill="1" applyBorder="1" applyAlignment="1">
      <alignment horizontal="center"/>
    </xf>
    <xf numFmtId="0" fontId="0" fillId="7" borderId="2" xfId="0" applyFill="1" applyBorder="1" applyAlignment="1">
      <alignment horizontal="center"/>
    </xf>
    <xf numFmtId="0" fontId="0" fillId="7" borderId="3" xfId="0" applyFill="1" applyBorder="1" applyAlignment="1">
      <alignment horizontal="center"/>
    </xf>
    <xf numFmtId="0" fontId="6" fillId="4" borderId="12" xfId="0" applyFont="1" applyFill="1" applyBorder="1" applyAlignment="1">
      <alignment horizontal="center" textRotation="90"/>
    </xf>
    <xf numFmtId="0" fontId="6" fillId="4" borderId="13" xfId="0" applyFont="1" applyFill="1" applyBorder="1" applyAlignment="1">
      <alignment horizontal="center" textRotation="90"/>
    </xf>
    <xf numFmtId="0" fontId="6" fillId="4" borderId="14" xfId="0" applyFont="1" applyFill="1" applyBorder="1" applyAlignment="1">
      <alignment horizontal="center" textRotation="90"/>
    </xf>
    <xf numFmtId="9" fontId="0" fillId="0" borderId="0" xfId="3" applyFont="1" applyBorder="1"/>
    <xf numFmtId="9" fontId="0" fillId="0" borderId="7" xfId="3" applyFont="1" applyBorder="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15</xdr:row>
      <xdr:rowOff>0</xdr:rowOff>
    </xdr:from>
    <xdr:to>
      <xdr:col>2</xdr:col>
      <xdr:colOff>0</xdr:colOff>
      <xdr:row>19</xdr:row>
      <xdr:rowOff>80010</xdr:rowOff>
    </xdr:to>
    <xdr:cxnSp macro="">
      <xdr:nvCxnSpPr>
        <xdr:cNvPr id="3" name="Straight Arrow Connector 2"/>
        <xdr:cNvCxnSpPr/>
      </xdr:nvCxnSpPr>
      <xdr:spPr>
        <a:xfrm>
          <a:off x="1470660" y="2743200"/>
          <a:ext cx="0" cy="8115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777240</xdr:colOff>
      <xdr:row>15</xdr:row>
      <xdr:rowOff>3810</xdr:rowOff>
    </xdr:from>
    <xdr:to>
      <xdr:col>8</xdr:col>
      <xdr:colOff>7620</xdr:colOff>
      <xdr:row>15</xdr:row>
      <xdr:rowOff>3810</xdr:rowOff>
    </xdr:to>
    <xdr:cxnSp macro="">
      <xdr:nvCxnSpPr>
        <xdr:cNvPr id="5" name="Straight Connector 4"/>
        <xdr:cNvCxnSpPr/>
      </xdr:nvCxnSpPr>
      <xdr:spPr>
        <a:xfrm>
          <a:off x="1466850" y="2747010"/>
          <a:ext cx="385191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xdr:colOff>
      <xdr:row>10</xdr:row>
      <xdr:rowOff>110490</xdr:rowOff>
    </xdr:from>
    <xdr:to>
      <xdr:col>8</xdr:col>
      <xdr:colOff>3810</xdr:colOff>
      <xdr:row>14</xdr:row>
      <xdr:rowOff>179070</xdr:rowOff>
    </xdr:to>
    <xdr:cxnSp macro="">
      <xdr:nvCxnSpPr>
        <xdr:cNvPr id="6" name="Straight Arrow Connector 5"/>
        <xdr:cNvCxnSpPr/>
      </xdr:nvCxnSpPr>
      <xdr:spPr>
        <a:xfrm flipV="1">
          <a:off x="5314950" y="1939290"/>
          <a:ext cx="0" cy="800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B21" sqref="B21"/>
    </sheetView>
  </sheetViews>
  <sheetFormatPr defaultRowHeight="14.4" x14ac:dyDescent="0.55000000000000004"/>
  <cols>
    <col min="1" max="1" width="9.5234375" bestFit="1" customWidth="1"/>
    <col min="2" max="2" width="10.7890625" bestFit="1" customWidth="1"/>
    <col min="9" max="9" width="9.83984375" bestFit="1" customWidth="1"/>
  </cols>
  <sheetData>
    <row r="1" spans="1:9" x14ac:dyDescent="0.55000000000000004">
      <c r="A1" s="78" t="s">
        <v>0</v>
      </c>
      <c r="B1" s="78"/>
      <c r="C1" s="78"/>
      <c r="D1" s="78"/>
      <c r="E1" s="78"/>
      <c r="F1" s="78"/>
      <c r="G1" s="78"/>
      <c r="H1" s="78"/>
    </row>
    <row r="2" spans="1:9" x14ac:dyDescent="0.55000000000000004">
      <c r="A2" s="78"/>
      <c r="B2" s="78"/>
      <c r="C2" s="78"/>
      <c r="D2" s="78"/>
      <c r="E2" s="78"/>
      <c r="F2" s="78"/>
      <c r="G2" s="78"/>
      <c r="H2" s="78"/>
    </row>
    <row r="3" spans="1:9" x14ac:dyDescent="0.55000000000000004">
      <c r="A3" s="78"/>
      <c r="B3" s="78"/>
      <c r="C3" s="78"/>
      <c r="D3" s="78"/>
      <c r="E3" s="78"/>
      <c r="F3" s="78"/>
      <c r="G3" s="78"/>
      <c r="H3" s="78"/>
    </row>
    <row r="4" spans="1:9" x14ac:dyDescent="0.55000000000000004">
      <c r="A4" s="78"/>
      <c r="B4" s="78"/>
      <c r="C4" s="78"/>
      <c r="D4" s="78"/>
      <c r="E4" s="78"/>
      <c r="F4" s="78"/>
      <c r="G4" s="78"/>
      <c r="H4" s="78"/>
    </row>
    <row r="5" spans="1:9" x14ac:dyDescent="0.55000000000000004">
      <c r="A5" s="78"/>
      <c r="B5" s="78"/>
      <c r="C5" s="78"/>
      <c r="D5" s="78"/>
      <c r="E5" s="78"/>
      <c r="F5" s="78"/>
      <c r="G5" s="78"/>
      <c r="H5" s="78"/>
    </row>
    <row r="8" spans="1:9" x14ac:dyDescent="0.55000000000000004">
      <c r="A8" t="s">
        <v>1</v>
      </c>
      <c r="B8" s="5">
        <v>60000</v>
      </c>
    </row>
    <row r="9" spans="1:9" x14ac:dyDescent="0.55000000000000004">
      <c r="A9" t="s">
        <v>2</v>
      </c>
      <c r="B9" s="5">
        <v>1500</v>
      </c>
    </row>
    <row r="10" spans="1:9" x14ac:dyDescent="0.55000000000000004">
      <c r="A10" t="s">
        <v>3</v>
      </c>
      <c r="B10" s="5">
        <v>500</v>
      </c>
    </row>
    <row r="11" spans="1:9" x14ac:dyDescent="0.55000000000000004">
      <c r="A11" t="s">
        <v>16</v>
      </c>
      <c r="B11" s="2">
        <v>6</v>
      </c>
    </row>
    <row r="12" spans="1:9" x14ac:dyDescent="0.55000000000000004">
      <c r="A12" t="s">
        <v>4</v>
      </c>
      <c r="B12" s="5">
        <v>17000</v>
      </c>
      <c r="I12" t="s">
        <v>7</v>
      </c>
    </row>
    <row r="14" spans="1:9" x14ac:dyDescent="0.55000000000000004">
      <c r="C14" s="79" t="s">
        <v>6</v>
      </c>
      <c r="D14" s="79"/>
      <c r="E14" s="79"/>
      <c r="F14" s="79"/>
      <c r="G14" s="79"/>
      <c r="H14" s="79"/>
    </row>
    <row r="15" spans="1:9" x14ac:dyDescent="0.55000000000000004">
      <c r="C15" s="79"/>
      <c r="D15" s="79"/>
      <c r="E15" s="79"/>
      <c r="F15" s="79"/>
      <c r="G15" s="79"/>
      <c r="H15" s="79"/>
    </row>
    <row r="16" spans="1:9" x14ac:dyDescent="0.55000000000000004">
      <c r="C16">
        <v>1</v>
      </c>
      <c r="D16">
        <v>2</v>
      </c>
      <c r="E16">
        <v>3</v>
      </c>
      <c r="F16">
        <v>4</v>
      </c>
      <c r="G16">
        <v>5</v>
      </c>
      <c r="H16">
        <v>6</v>
      </c>
    </row>
    <row r="17" spans="2:8" x14ac:dyDescent="0.55000000000000004">
      <c r="C17" s="80" t="s">
        <v>5</v>
      </c>
      <c r="D17" s="80"/>
      <c r="E17" s="80"/>
      <c r="F17" s="80"/>
      <c r="G17" s="80"/>
      <c r="H17" s="80"/>
    </row>
    <row r="18" spans="2:8" x14ac:dyDescent="0.55000000000000004">
      <c r="C18" s="80"/>
      <c r="D18" s="80"/>
      <c r="E18" s="80"/>
      <c r="F18" s="80"/>
      <c r="G18" s="80"/>
      <c r="H18" s="80"/>
    </row>
    <row r="20" spans="2:8" x14ac:dyDescent="0.55000000000000004">
      <c r="B20" t="s">
        <v>189</v>
      </c>
    </row>
  </sheetData>
  <mergeCells count="3">
    <mergeCell ref="A1:H5"/>
    <mergeCell ref="C14:H15"/>
    <mergeCell ref="C17:H18"/>
  </mergeCells>
  <pageMargins left="0.7" right="0.7" top="0.75" bottom="0.75" header="0.3" footer="0.3"/>
  <pageSetup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
  <sheetViews>
    <sheetView tabSelected="1" topLeftCell="A76" workbookViewId="0">
      <selection activeCell="F38" sqref="F38"/>
    </sheetView>
  </sheetViews>
  <sheetFormatPr defaultRowHeight="14.4" x14ac:dyDescent="0.55000000000000004"/>
  <cols>
    <col min="2" max="3" width="13.578125" customWidth="1"/>
    <col min="4" max="4" width="15.47265625" bestFit="1" customWidth="1"/>
    <col min="5" max="7" width="13.578125" customWidth="1"/>
    <col min="10" max="10" width="10.7890625" bestFit="1" customWidth="1"/>
  </cols>
  <sheetData>
    <row r="1" spans="1:4" x14ac:dyDescent="0.55000000000000004">
      <c r="A1" t="s">
        <v>136</v>
      </c>
    </row>
    <row r="2" spans="1:4" x14ac:dyDescent="0.55000000000000004">
      <c r="A2" t="s">
        <v>137</v>
      </c>
    </row>
    <row r="3" spans="1:4" x14ac:dyDescent="0.55000000000000004">
      <c r="A3" t="s">
        <v>138</v>
      </c>
    </row>
    <row r="4" spans="1:4" x14ac:dyDescent="0.55000000000000004">
      <c r="A4" t="s">
        <v>139</v>
      </c>
    </row>
    <row r="5" spans="1:4" x14ac:dyDescent="0.55000000000000004">
      <c r="A5" t="s">
        <v>140</v>
      </c>
    </row>
    <row r="6" spans="1:4" x14ac:dyDescent="0.55000000000000004">
      <c r="A6" t="s">
        <v>141</v>
      </c>
    </row>
    <row r="7" spans="1:4" x14ac:dyDescent="0.55000000000000004">
      <c r="A7" t="s">
        <v>142</v>
      </c>
    </row>
    <row r="8" spans="1:4" x14ac:dyDescent="0.55000000000000004">
      <c r="A8" t="s">
        <v>143</v>
      </c>
    </row>
    <row r="9" spans="1:4" x14ac:dyDescent="0.55000000000000004">
      <c r="A9" t="s">
        <v>144</v>
      </c>
    </row>
    <row r="11" spans="1:4" x14ac:dyDescent="0.55000000000000004">
      <c r="B11" t="s">
        <v>1</v>
      </c>
      <c r="C11" s="5">
        <v>50000</v>
      </c>
    </row>
    <row r="12" spans="1:4" x14ac:dyDescent="0.55000000000000004">
      <c r="B12" t="s">
        <v>109</v>
      </c>
      <c r="C12" s="3">
        <v>0.13</v>
      </c>
    </row>
    <row r="13" spans="1:4" x14ac:dyDescent="0.55000000000000004">
      <c r="B13" t="s">
        <v>16</v>
      </c>
      <c r="C13">
        <v>2</v>
      </c>
    </row>
    <row r="14" spans="1:4" x14ac:dyDescent="0.55000000000000004">
      <c r="B14" t="s">
        <v>2</v>
      </c>
      <c r="C14" s="5">
        <v>5000</v>
      </c>
      <c r="D14" t="s">
        <v>148</v>
      </c>
    </row>
    <row r="15" spans="1:4" x14ac:dyDescent="0.55000000000000004">
      <c r="B15" t="s">
        <v>147</v>
      </c>
      <c r="C15" s="5">
        <v>13000</v>
      </c>
    </row>
    <row r="16" spans="1:4" x14ac:dyDescent="0.55000000000000004">
      <c r="B16" t="s">
        <v>76</v>
      </c>
      <c r="C16" s="5">
        <v>300</v>
      </c>
      <c r="D16" t="s">
        <v>149</v>
      </c>
    </row>
    <row r="17" spans="1:5" x14ac:dyDescent="0.55000000000000004">
      <c r="B17" t="s">
        <v>4</v>
      </c>
      <c r="C17" s="5">
        <v>9000</v>
      </c>
    </row>
    <row r="18" spans="1:5" x14ac:dyDescent="0.55000000000000004">
      <c r="B18" t="s">
        <v>150</v>
      </c>
      <c r="C18" s="3">
        <v>0.3</v>
      </c>
    </row>
    <row r="19" spans="1:5" x14ac:dyDescent="0.55000000000000004">
      <c r="B19" t="s">
        <v>78</v>
      </c>
      <c r="C19" s="3">
        <v>0.18</v>
      </c>
    </row>
    <row r="22" spans="1:5" x14ac:dyDescent="0.55000000000000004">
      <c r="A22" t="s">
        <v>146</v>
      </c>
    </row>
    <row r="23" spans="1:5" x14ac:dyDescent="0.55000000000000004">
      <c r="A23" t="s">
        <v>145</v>
      </c>
    </row>
    <row r="25" spans="1:5" x14ac:dyDescent="0.55000000000000004">
      <c r="B25" s="33" t="s">
        <v>62</v>
      </c>
      <c r="C25" s="49">
        <f>PMT(C12,C13,-C11)</f>
        <v>29974.178403755865</v>
      </c>
    </row>
    <row r="26" spans="1:5" ht="14.7" thickBot="1" x14ac:dyDescent="0.6"/>
    <row r="27" spans="1:5" x14ac:dyDescent="0.55000000000000004">
      <c r="A27" s="114" t="s">
        <v>156</v>
      </c>
      <c r="B27" s="115"/>
      <c r="C27" s="115"/>
      <c r="D27" s="115"/>
      <c r="E27" s="116"/>
    </row>
    <row r="28" spans="1:5" ht="28.8" x14ac:dyDescent="0.55000000000000004">
      <c r="A28" s="34" t="s">
        <v>151</v>
      </c>
      <c r="B28" s="35" t="s">
        <v>152</v>
      </c>
      <c r="C28" s="35" t="s">
        <v>153</v>
      </c>
      <c r="D28" s="35" t="s">
        <v>154</v>
      </c>
      <c r="E28" s="36" t="s">
        <v>155</v>
      </c>
    </row>
    <row r="29" spans="1:5" x14ac:dyDescent="0.55000000000000004">
      <c r="A29" s="34">
        <v>1</v>
      </c>
      <c r="B29" s="50">
        <f>C11</f>
        <v>50000</v>
      </c>
      <c r="C29" s="50">
        <f>B29*$C$12</f>
        <v>6500</v>
      </c>
      <c r="D29" s="50">
        <f>$C$25-C29</f>
        <v>23474.178403755865</v>
      </c>
      <c r="E29" s="51">
        <f>B29-D29</f>
        <v>26525.821596244135</v>
      </c>
    </row>
    <row r="30" spans="1:5" ht="14.7" thickBot="1" x14ac:dyDescent="0.6">
      <c r="A30" s="37">
        <v>2</v>
      </c>
      <c r="B30" s="52">
        <f>E29</f>
        <v>26525.821596244135</v>
      </c>
      <c r="C30" s="52">
        <f>B30*$C$12</f>
        <v>3448.3568075117378</v>
      </c>
      <c r="D30" s="52">
        <f>$C$25-C30</f>
        <v>26525.821596244128</v>
      </c>
      <c r="E30" s="53">
        <f>B30-D30</f>
        <v>0</v>
      </c>
    </row>
    <row r="33" spans="1:4" x14ac:dyDescent="0.55000000000000004">
      <c r="A33" t="s">
        <v>157</v>
      </c>
    </row>
    <row r="34" spans="1:4" ht="14.7" thickBot="1" x14ac:dyDescent="0.6"/>
    <row r="35" spans="1:4" x14ac:dyDescent="0.55000000000000004">
      <c r="A35" s="114" t="s">
        <v>158</v>
      </c>
      <c r="B35" s="115"/>
      <c r="C35" s="115"/>
      <c r="D35" s="116"/>
    </row>
    <row r="36" spans="1:4" x14ac:dyDescent="0.55000000000000004">
      <c r="A36" s="18" t="s">
        <v>128</v>
      </c>
      <c r="B36" s="16" t="s">
        <v>159</v>
      </c>
      <c r="C36" s="16" t="s">
        <v>130</v>
      </c>
      <c r="D36" s="24" t="s">
        <v>129</v>
      </c>
    </row>
    <row r="37" spans="1:4" x14ac:dyDescent="0.55000000000000004">
      <c r="A37" s="18">
        <v>0</v>
      </c>
      <c r="B37" s="54"/>
      <c r="C37" s="54"/>
      <c r="D37" s="55">
        <f>C11</f>
        <v>50000</v>
      </c>
    </row>
    <row r="38" spans="1:4" x14ac:dyDescent="0.55000000000000004">
      <c r="A38" s="18">
        <v>1</v>
      </c>
      <c r="B38" s="120">
        <v>0.45</v>
      </c>
      <c r="C38" s="54">
        <f>$D$37*B38</f>
        <v>22500</v>
      </c>
      <c r="D38" s="55">
        <f>D37-C38</f>
        <v>27500</v>
      </c>
    </row>
    <row r="39" spans="1:4" ht="14.7" thickBot="1" x14ac:dyDescent="0.6">
      <c r="A39" s="19">
        <v>2</v>
      </c>
      <c r="B39" s="121">
        <v>0.55000000000000004</v>
      </c>
      <c r="C39" s="56">
        <f>$D$37*B39</f>
        <v>27500.000000000004</v>
      </c>
      <c r="D39" s="57">
        <f>D38-C39</f>
        <v>0</v>
      </c>
    </row>
    <row r="40" spans="1:4" x14ac:dyDescent="0.55000000000000004">
      <c r="A40" s="16"/>
      <c r="B40" s="16"/>
      <c r="C40" s="16"/>
      <c r="D40" s="16"/>
    </row>
    <row r="43" spans="1:4" x14ac:dyDescent="0.55000000000000004">
      <c r="A43" t="s">
        <v>160</v>
      </c>
    </row>
    <row r="45" spans="1:4" x14ac:dyDescent="0.55000000000000004">
      <c r="B45" t="s">
        <v>161</v>
      </c>
    </row>
    <row r="46" spans="1:4" x14ac:dyDescent="0.55000000000000004">
      <c r="B46" t="s">
        <v>162</v>
      </c>
      <c r="C46" s="8" t="s">
        <v>163</v>
      </c>
      <c r="D46" s="5">
        <f>C17-D39</f>
        <v>9000</v>
      </c>
    </row>
    <row r="47" spans="1:4" x14ac:dyDescent="0.55000000000000004">
      <c r="B47" t="s">
        <v>164</v>
      </c>
    </row>
    <row r="48" spans="1:4" x14ac:dyDescent="0.55000000000000004">
      <c r="B48" s="38" t="s">
        <v>165</v>
      </c>
      <c r="C48" s="38"/>
      <c r="D48" s="58">
        <f>D46*C18</f>
        <v>2700</v>
      </c>
    </row>
    <row r="51" spans="1:6" x14ac:dyDescent="0.55000000000000004">
      <c r="A51" t="s">
        <v>166</v>
      </c>
    </row>
    <row r="52" spans="1:6" x14ac:dyDescent="0.55000000000000004">
      <c r="A52" t="s">
        <v>167</v>
      </c>
    </row>
    <row r="53" spans="1:6" x14ac:dyDescent="0.55000000000000004">
      <c r="A53" t="s">
        <v>168</v>
      </c>
    </row>
    <row r="54" spans="1:6" x14ac:dyDescent="0.55000000000000004">
      <c r="A54" t="s">
        <v>169</v>
      </c>
    </row>
    <row r="55" spans="1:6" x14ac:dyDescent="0.55000000000000004">
      <c r="A55" t="s">
        <v>170</v>
      </c>
    </row>
    <row r="56" spans="1:6" x14ac:dyDescent="0.55000000000000004">
      <c r="A56" t="s">
        <v>171</v>
      </c>
    </row>
    <row r="57" spans="1:6" x14ac:dyDescent="0.55000000000000004">
      <c r="A57" t="s">
        <v>172</v>
      </c>
    </row>
    <row r="58" spans="1:6" ht="14.7" thickBot="1" x14ac:dyDescent="0.6"/>
    <row r="59" spans="1:6" ht="14.4" customHeight="1" x14ac:dyDescent="0.55000000000000004">
      <c r="C59" s="117" t="s">
        <v>177</v>
      </c>
      <c r="D59" s="22" t="s">
        <v>151</v>
      </c>
      <c r="E59" s="22">
        <v>1</v>
      </c>
      <c r="F59" s="23">
        <v>2</v>
      </c>
    </row>
    <row r="60" spans="1:6" x14ac:dyDescent="0.55000000000000004">
      <c r="C60" s="118"/>
      <c r="D60" s="16" t="s">
        <v>2</v>
      </c>
      <c r="E60" s="54">
        <f>C14</f>
        <v>5000</v>
      </c>
      <c r="F60" s="55">
        <f>C14</f>
        <v>5000</v>
      </c>
    </row>
    <row r="61" spans="1:6" x14ac:dyDescent="0.55000000000000004">
      <c r="C61" s="118"/>
      <c r="D61" s="16" t="s">
        <v>173</v>
      </c>
      <c r="E61" s="54"/>
      <c r="F61" s="55"/>
    </row>
    <row r="62" spans="1:6" x14ac:dyDescent="0.55000000000000004">
      <c r="C62" s="118"/>
      <c r="D62" s="39" t="s">
        <v>174</v>
      </c>
      <c r="E62" s="54">
        <f>C16</f>
        <v>300</v>
      </c>
      <c r="F62" s="55">
        <f>C16</f>
        <v>300</v>
      </c>
    </row>
    <row r="63" spans="1:6" x14ac:dyDescent="0.55000000000000004">
      <c r="C63" s="118"/>
      <c r="D63" s="39" t="s">
        <v>175</v>
      </c>
      <c r="E63" s="54">
        <f>C38</f>
        <v>22500</v>
      </c>
      <c r="F63" s="55">
        <f>C39</f>
        <v>27500.000000000004</v>
      </c>
    </row>
    <row r="64" spans="1:6" x14ac:dyDescent="0.55000000000000004">
      <c r="C64" s="118"/>
      <c r="D64" s="39" t="s">
        <v>153</v>
      </c>
      <c r="E64" s="54">
        <f>C29</f>
        <v>6500</v>
      </c>
      <c r="F64" s="55">
        <f>C30</f>
        <v>3448.3568075117378</v>
      </c>
    </row>
    <row r="65" spans="3:7" x14ac:dyDescent="0.55000000000000004">
      <c r="C65" s="118"/>
      <c r="D65" s="40" t="s">
        <v>178</v>
      </c>
      <c r="E65" s="65">
        <f>E60-E62-E63-E64</f>
        <v>-24300</v>
      </c>
      <c r="F65" s="66">
        <f>F60-F62-F63-F64</f>
        <v>-26248.35680751174</v>
      </c>
    </row>
    <row r="66" spans="3:7" x14ac:dyDescent="0.55000000000000004">
      <c r="C66" s="118"/>
      <c r="D66" s="16" t="s">
        <v>150</v>
      </c>
      <c r="E66" s="61">
        <f>E65*$C$18</f>
        <v>-7290</v>
      </c>
      <c r="F66" s="62">
        <f>F65*$C$18</f>
        <v>-7874.5070422535218</v>
      </c>
    </row>
    <row r="67" spans="3:7" ht="14.7" thickBot="1" x14ac:dyDescent="0.6">
      <c r="C67" s="119"/>
      <c r="D67" s="41" t="s">
        <v>176</v>
      </c>
      <c r="E67" s="67">
        <f>E65-E66</f>
        <v>-17010</v>
      </c>
      <c r="F67" s="68">
        <f>F65-F66</f>
        <v>-18373.849765258219</v>
      </c>
    </row>
    <row r="69" spans="3:7" ht="14.7" thickBot="1" x14ac:dyDescent="0.6"/>
    <row r="70" spans="3:7" ht="14.4" customHeight="1" x14ac:dyDescent="0.55000000000000004">
      <c r="C70" s="117" t="s">
        <v>186</v>
      </c>
      <c r="D70" s="42" t="s">
        <v>151</v>
      </c>
      <c r="E70" s="22">
        <v>0</v>
      </c>
      <c r="F70" s="22">
        <v>1</v>
      </c>
      <c r="G70" s="23">
        <v>2</v>
      </c>
    </row>
    <row r="71" spans="3:7" x14ac:dyDescent="0.55000000000000004">
      <c r="C71" s="118"/>
      <c r="D71" s="43" t="s">
        <v>179</v>
      </c>
      <c r="E71" s="16"/>
      <c r="F71" s="16"/>
      <c r="G71" s="24"/>
    </row>
    <row r="72" spans="3:7" x14ac:dyDescent="0.55000000000000004">
      <c r="C72" s="118"/>
      <c r="D72" s="39" t="s">
        <v>176</v>
      </c>
      <c r="E72" s="54"/>
      <c r="F72" s="61">
        <f>E67</f>
        <v>-17010</v>
      </c>
      <c r="G72" s="62">
        <f>F67</f>
        <v>-18373.849765258219</v>
      </c>
    </row>
    <row r="73" spans="3:7" x14ac:dyDescent="0.55000000000000004">
      <c r="C73" s="118"/>
      <c r="D73" s="39" t="s">
        <v>180</v>
      </c>
      <c r="E73" s="54"/>
      <c r="F73" s="54">
        <f>C38</f>
        <v>22500</v>
      </c>
      <c r="G73" s="55">
        <f>C39</f>
        <v>27500.000000000004</v>
      </c>
    </row>
    <row r="74" spans="3:7" x14ac:dyDescent="0.55000000000000004">
      <c r="C74" s="118"/>
      <c r="D74" s="43" t="s">
        <v>181</v>
      </c>
      <c r="E74" s="54"/>
      <c r="F74" s="54"/>
      <c r="G74" s="55"/>
    </row>
    <row r="75" spans="3:7" x14ac:dyDescent="0.55000000000000004">
      <c r="C75" s="118"/>
      <c r="D75" s="39" t="s">
        <v>1</v>
      </c>
      <c r="E75" s="54">
        <v>0</v>
      </c>
      <c r="F75" s="54"/>
      <c r="G75" s="55"/>
    </row>
    <row r="76" spans="3:7" x14ac:dyDescent="0.55000000000000004">
      <c r="C76" s="118"/>
      <c r="D76" s="39" t="s">
        <v>4</v>
      </c>
      <c r="E76" s="54"/>
      <c r="F76" s="54"/>
      <c r="G76" s="55">
        <f>C17</f>
        <v>9000</v>
      </c>
    </row>
    <row r="77" spans="3:7" x14ac:dyDescent="0.55000000000000004">
      <c r="C77" s="118"/>
      <c r="D77" s="39" t="s">
        <v>182</v>
      </c>
      <c r="E77" s="54"/>
      <c r="F77" s="54"/>
      <c r="G77" s="62">
        <f>-D48</f>
        <v>-2700</v>
      </c>
    </row>
    <row r="78" spans="3:7" x14ac:dyDescent="0.55000000000000004">
      <c r="C78" s="118"/>
      <c r="D78" s="39" t="s">
        <v>147</v>
      </c>
      <c r="E78" s="61">
        <f>-C15</f>
        <v>-13000</v>
      </c>
      <c r="F78" s="54"/>
      <c r="G78" s="55"/>
    </row>
    <row r="79" spans="3:7" x14ac:dyDescent="0.55000000000000004">
      <c r="C79" s="118"/>
      <c r="D79" s="43" t="s">
        <v>183</v>
      </c>
      <c r="E79" s="54"/>
      <c r="F79" s="54"/>
      <c r="G79" s="55"/>
    </row>
    <row r="80" spans="3:7" x14ac:dyDescent="0.55000000000000004">
      <c r="C80" s="118"/>
      <c r="D80" s="39" t="s">
        <v>184</v>
      </c>
      <c r="E80" s="54">
        <f>C11</f>
        <v>50000</v>
      </c>
      <c r="F80" s="54"/>
      <c r="G80" s="55"/>
    </row>
    <row r="81" spans="3:14" ht="14.7" thickBot="1" x14ac:dyDescent="0.6">
      <c r="C81" s="118"/>
      <c r="D81" s="39" t="s">
        <v>187</v>
      </c>
      <c r="E81" s="54"/>
      <c r="F81" s="61">
        <f>-D29</f>
        <v>-23474.178403755865</v>
      </c>
      <c r="G81" s="62">
        <f>-D30</f>
        <v>-26525.821596244128</v>
      </c>
    </row>
    <row r="82" spans="3:14" ht="14.7" thickBot="1" x14ac:dyDescent="0.6">
      <c r="C82" s="119"/>
      <c r="D82" s="44" t="s">
        <v>185</v>
      </c>
      <c r="E82" s="60">
        <f>SUM(E71:E81)</f>
        <v>37000</v>
      </c>
      <c r="F82" s="63">
        <f t="shared" ref="F82:G82" si="0">SUM(F71:F81)</f>
        <v>-17984.178403755865</v>
      </c>
      <c r="G82" s="64">
        <f t="shared" si="0"/>
        <v>-11099.671361502344</v>
      </c>
    </row>
    <row r="86" spans="3:14" x14ac:dyDescent="0.55000000000000004">
      <c r="D86" t="s">
        <v>59</v>
      </c>
      <c r="E86" s="59">
        <f>-E82</f>
        <v>-37000</v>
      </c>
      <c r="F86" s="59">
        <f>PV(C19,1,-F82)</f>
        <v>-15240.829155725303</v>
      </c>
      <c r="G86" s="59">
        <f>PV(C19,2,-G82)</f>
        <v>-17378.112301116853</v>
      </c>
    </row>
    <row r="87" spans="3:14" x14ac:dyDescent="0.55000000000000004">
      <c r="D87" t="s">
        <v>90</v>
      </c>
      <c r="E87" s="59">
        <f>E86+F86+G86</f>
        <v>-69618.941456842149</v>
      </c>
      <c r="F87" s="59"/>
      <c r="G87" s="59"/>
      <c r="J87" s="4"/>
    </row>
    <row r="88" spans="3:14" ht="14.7" thickBot="1" x14ac:dyDescent="0.6"/>
    <row r="89" spans="3:14" ht="18.600000000000001" thickBot="1" x14ac:dyDescent="0.75">
      <c r="D89" s="111" t="s">
        <v>188</v>
      </c>
      <c r="E89" s="112"/>
      <c r="F89" s="112"/>
      <c r="G89" s="113"/>
    </row>
    <row r="91" spans="3:14" ht="14.7" thickBot="1" x14ac:dyDescent="0.6">
      <c r="C91" s="12"/>
    </row>
    <row r="92" spans="3:14" ht="50.4" customHeight="1" thickBot="1" x14ac:dyDescent="1">
      <c r="D92" s="45" t="s">
        <v>97</v>
      </c>
      <c r="E92" s="46" t="e">
        <f>IRR(E86:G86)</f>
        <v>#NUM!</v>
      </c>
      <c r="G92" s="108" t="s">
        <v>190</v>
      </c>
      <c r="H92" s="109"/>
      <c r="I92" s="109"/>
      <c r="J92" s="109"/>
      <c r="K92" s="109"/>
      <c r="L92" s="109"/>
      <c r="M92" s="109"/>
      <c r="N92" s="110"/>
    </row>
  </sheetData>
  <mergeCells count="6">
    <mergeCell ref="G92:N92"/>
    <mergeCell ref="D89:G89"/>
    <mergeCell ref="A27:E27"/>
    <mergeCell ref="A35:D35"/>
    <mergeCell ref="C59:C67"/>
    <mergeCell ref="C70:C8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14" sqref="B14"/>
    </sheetView>
  </sheetViews>
  <sheetFormatPr defaultRowHeight="14.4" x14ac:dyDescent="0.55000000000000004"/>
  <cols>
    <col min="2" max="2" width="11.83984375" bestFit="1" customWidth="1"/>
    <col min="3" max="3" width="10.3671875" bestFit="1" customWidth="1"/>
  </cols>
  <sheetData>
    <row r="1" spans="1:8" x14ac:dyDescent="0.55000000000000004">
      <c r="A1" s="1" t="s">
        <v>8</v>
      </c>
      <c r="B1" s="1"/>
      <c r="C1" s="1"/>
      <c r="D1" s="1"/>
      <c r="E1" s="1"/>
      <c r="F1" s="1"/>
      <c r="G1" s="1"/>
      <c r="H1" s="1"/>
    </row>
    <row r="2" spans="1:8" x14ac:dyDescent="0.55000000000000004">
      <c r="A2" s="1" t="s">
        <v>9</v>
      </c>
      <c r="B2" s="1"/>
      <c r="C2" s="1"/>
      <c r="D2" s="1"/>
      <c r="E2" s="1"/>
      <c r="F2" s="1"/>
      <c r="G2" s="1"/>
      <c r="H2" s="1"/>
    </row>
    <row r="3" spans="1:8" x14ac:dyDescent="0.55000000000000004">
      <c r="A3" s="1" t="s">
        <v>10</v>
      </c>
      <c r="B3" s="1"/>
      <c r="C3" s="1"/>
      <c r="D3" s="1"/>
      <c r="E3" s="1"/>
      <c r="F3" s="1"/>
      <c r="G3" s="1"/>
      <c r="H3" s="1"/>
    </row>
    <row r="4" spans="1:8" x14ac:dyDescent="0.55000000000000004">
      <c r="A4" s="1" t="s">
        <v>11</v>
      </c>
      <c r="B4" s="1"/>
      <c r="C4" s="1"/>
      <c r="D4" s="1"/>
      <c r="E4" s="1"/>
      <c r="F4" s="1"/>
      <c r="G4" s="1"/>
      <c r="H4" s="1"/>
    </row>
    <row r="5" spans="1:8" x14ac:dyDescent="0.55000000000000004">
      <c r="A5" s="1"/>
      <c r="B5" s="1"/>
      <c r="C5" s="1"/>
      <c r="D5" s="1"/>
      <c r="E5" s="1"/>
      <c r="F5" s="1"/>
      <c r="G5" s="1"/>
      <c r="H5" s="1"/>
    </row>
    <row r="6" spans="1:8" x14ac:dyDescent="0.55000000000000004">
      <c r="A6" s="1" t="s">
        <v>12</v>
      </c>
      <c r="B6" s="5">
        <v>500000</v>
      </c>
    </row>
    <row r="7" spans="1:8" x14ac:dyDescent="0.55000000000000004">
      <c r="A7" s="1" t="s">
        <v>13</v>
      </c>
      <c r="B7" s="5">
        <f>0.15*B6</f>
        <v>75000</v>
      </c>
    </row>
    <row r="8" spans="1:8" x14ac:dyDescent="0.55000000000000004">
      <c r="A8" s="1" t="s">
        <v>14</v>
      </c>
      <c r="B8" s="5">
        <f>B6-B7</f>
        <v>425000</v>
      </c>
    </row>
    <row r="10" spans="1:8" x14ac:dyDescent="0.55000000000000004">
      <c r="A10" t="s">
        <v>15</v>
      </c>
      <c r="B10" s="3">
        <v>0.1</v>
      </c>
      <c r="C10" s="3">
        <v>0.11</v>
      </c>
    </row>
    <row r="11" spans="1:8" x14ac:dyDescent="0.55000000000000004">
      <c r="A11" t="s">
        <v>16</v>
      </c>
      <c r="B11">
        <v>25</v>
      </c>
      <c r="C11">
        <v>35</v>
      </c>
    </row>
    <row r="12" spans="1:8" x14ac:dyDescent="0.55000000000000004">
      <c r="A12" t="s">
        <v>17</v>
      </c>
      <c r="B12" s="59">
        <f>PMT(B10/12,B11*12,B8)</f>
        <v>-3861.9781685452572</v>
      </c>
      <c r="C12" s="59">
        <f>PMT(C10/12,C11*12,B8)</f>
        <v>-3982.0700302027362</v>
      </c>
    </row>
    <row r="14" spans="1:8" x14ac:dyDescent="0.55000000000000004">
      <c r="A14" t="s">
        <v>18</v>
      </c>
      <c r="B14" s="59">
        <f>C12-B12</f>
        <v>-120.09186165747906</v>
      </c>
    </row>
    <row r="16" spans="1:8" x14ac:dyDescent="0.55000000000000004">
      <c r="A16" s="81" t="s">
        <v>19</v>
      </c>
      <c r="B16" s="81"/>
      <c r="C16" s="81"/>
      <c r="D16" s="81"/>
      <c r="E16" s="81"/>
      <c r="F16" s="81"/>
      <c r="G16" s="81"/>
    </row>
  </sheetData>
  <mergeCells count="1">
    <mergeCell ref="A16:G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13" sqref="A13"/>
    </sheetView>
  </sheetViews>
  <sheetFormatPr defaultRowHeight="14.4" x14ac:dyDescent="0.55000000000000004"/>
  <cols>
    <col min="1" max="2" width="10.7890625" bestFit="1" customWidth="1"/>
  </cols>
  <sheetData>
    <row r="1" spans="1:4" x14ac:dyDescent="0.55000000000000004">
      <c r="A1" t="s">
        <v>20</v>
      </c>
    </row>
    <row r="2" spans="1:4" x14ac:dyDescent="0.55000000000000004">
      <c r="A2" t="s">
        <v>21</v>
      </c>
    </row>
    <row r="3" spans="1:4" x14ac:dyDescent="0.55000000000000004">
      <c r="A3" t="s">
        <v>22</v>
      </c>
    </row>
    <row r="4" spans="1:4" x14ac:dyDescent="0.55000000000000004">
      <c r="A4" t="s">
        <v>23</v>
      </c>
    </row>
    <row r="5" spans="1:4" x14ac:dyDescent="0.55000000000000004">
      <c r="A5" t="s">
        <v>24</v>
      </c>
    </row>
    <row r="7" spans="1:4" x14ac:dyDescent="0.55000000000000004">
      <c r="A7" t="s">
        <v>25</v>
      </c>
      <c r="B7" s="5">
        <v>90000</v>
      </c>
    </row>
    <row r="8" spans="1:4" x14ac:dyDescent="0.55000000000000004">
      <c r="A8" t="s">
        <v>16</v>
      </c>
      <c r="B8">
        <v>48</v>
      </c>
    </row>
    <row r="9" spans="1:4" x14ac:dyDescent="0.55000000000000004">
      <c r="A9" t="s">
        <v>26</v>
      </c>
      <c r="B9" s="3">
        <v>0.12</v>
      </c>
      <c r="C9" s="3">
        <f>B9/12</f>
        <v>0.01</v>
      </c>
      <c r="D9" t="s">
        <v>27</v>
      </c>
    </row>
    <row r="11" spans="1:4" x14ac:dyDescent="0.55000000000000004">
      <c r="A11" s="59">
        <f>PMT(C9,B8,B7)</f>
        <v>-2370.0451888734988</v>
      </c>
      <c r="B11" t="s">
        <v>28</v>
      </c>
    </row>
    <row r="13" spans="1:4" x14ac:dyDescent="0.55000000000000004">
      <c r="A13" s="5">
        <f>PV(C9,28,A11)</f>
        <v>57631.069113662801</v>
      </c>
      <c r="B13" t="s">
        <v>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B9" sqref="B9:B10"/>
    </sheetView>
  </sheetViews>
  <sheetFormatPr defaultRowHeight="14.4" x14ac:dyDescent="0.55000000000000004"/>
  <cols>
    <col min="2" max="2" width="9.7890625" bestFit="1" customWidth="1"/>
  </cols>
  <sheetData>
    <row r="1" spans="1:5" x14ac:dyDescent="0.55000000000000004">
      <c r="A1" t="s">
        <v>30</v>
      </c>
    </row>
    <row r="2" spans="1:5" x14ac:dyDescent="0.55000000000000004">
      <c r="A2" t="s">
        <v>31</v>
      </c>
    </row>
    <row r="3" spans="1:5" x14ac:dyDescent="0.55000000000000004">
      <c r="A3" t="s">
        <v>32</v>
      </c>
    </row>
    <row r="4" spans="1:5" x14ac:dyDescent="0.55000000000000004">
      <c r="A4" t="s">
        <v>33</v>
      </c>
    </row>
    <row r="5" spans="1:5" x14ac:dyDescent="0.55000000000000004">
      <c r="A5" t="s">
        <v>34</v>
      </c>
    </row>
    <row r="6" spans="1:5" x14ac:dyDescent="0.55000000000000004">
      <c r="A6" t="s">
        <v>35</v>
      </c>
    </row>
    <row r="8" spans="1:5" x14ac:dyDescent="0.55000000000000004">
      <c r="A8" t="s">
        <v>36</v>
      </c>
      <c r="B8" s="6">
        <f>200/1900</f>
        <v>0.10526315789473684</v>
      </c>
    </row>
    <row r="9" spans="1:5" x14ac:dyDescent="0.55000000000000004">
      <c r="A9" t="s">
        <v>37</v>
      </c>
      <c r="B9" s="5">
        <v>1900</v>
      </c>
    </row>
    <row r="10" spans="1:5" x14ac:dyDescent="0.55000000000000004">
      <c r="A10" t="s">
        <v>38</v>
      </c>
      <c r="B10" s="5">
        <v>2100</v>
      </c>
    </row>
    <row r="12" spans="1:5" x14ac:dyDescent="0.55000000000000004">
      <c r="A12" t="s">
        <v>39</v>
      </c>
      <c r="B12" t="s">
        <v>40</v>
      </c>
      <c r="C12">
        <f>$B$8*12</f>
        <v>1.263157894736842</v>
      </c>
      <c r="D12" t="s">
        <v>41</v>
      </c>
      <c r="E12" s="3">
        <f>$B$8*12</f>
        <v>1.263157894736842</v>
      </c>
    </row>
    <row r="14" spans="1:5" x14ac:dyDescent="0.55000000000000004">
      <c r="A14" t="s">
        <v>42</v>
      </c>
      <c r="B14" t="s">
        <v>43</v>
      </c>
      <c r="C14">
        <f>((1+($C$12/12))^12)-1</f>
        <v>2.3234436943524464</v>
      </c>
      <c r="D14" t="s">
        <v>41</v>
      </c>
      <c r="E14" s="3">
        <f>((1+($C$12/12))^12)-1</f>
        <v>2.3234436943524464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topLeftCell="A21" workbookViewId="0">
      <selection activeCell="F42" sqref="F42"/>
    </sheetView>
  </sheetViews>
  <sheetFormatPr defaultRowHeight="14.4" x14ac:dyDescent="0.55000000000000004"/>
  <cols>
    <col min="2" max="2" width="14.3125" bestFit="1" customWidth="1"/>
    <col min="3" max="4" width="12.3671875" bestFit="1" customWidth="1"/>
  </cols>
  <sheetData>
    <row r="1" spans="1:4" x14ac:dyDescent="0.55000000000000004">
      <c r="A1" t="s">
        <v>44</v>
      </c>
    </row>
    <row r="2" spans="1:4" x14ac:dyDescent="0.55000000000000004">
      <c r="A2" t="s">
        <v>45</v>
      </c>
    </row>
    <row r="3" spans="1:4" x14ac:dyDescent="0.55000000000000004">
      <c r="A3" t="s">
        <v>46</v>
      </c>
    </row>
    <row r="4" spans="1:4" x14ac:dyDescent="0.55000000000000004">
      <c r="C4" t="s">
        <v>53</v>
      </c>
      <c r="D4" t="s">
        <v>52</v>
      </c>
    </row>
    <row r="5" spans="1:4" x14ac:dyDescent="0.55000000000000004">
      <c r="B5" t="s">
        <v>47</v>
      </c>
      <c r="C5" s="59">
        <v>-460000</v>
      </c>
      <c r="D5" s="59">
        <v>-480000</v>
      </c>
    </row>
    <row r="6" spans="1:4" x14ac:dyDescent="0.55000000000000004">
      <c r="B6" t="s">
        <v>48</v>
      </c>
      <c r="C6" s="5">
        <v>140000</v>
      </c>
      <c r="D6" s="5">
        <v>150000</v>
      </c>
    </row>
    <row r="7" spans="1:4" x14ac:dyDescent="0.55000000000000004">
      <c r="B7" t="s">
        <v>49</v>
      </c>
      <c r="C7" s="59">
        <v>-92000</v>
      </c>
      <c r="D7" s="59">
        <v>-115000</v>
      </c>
    </row>
    <row r="8" spans="1:4" x14ac:dyDescent="0.55000000000000004">
      <c r="B8" t="s">
        <v>50</v>
      </c>
      <c r="C8" s="5">
        <v>115000</v>
      </c>
      <c r="D8" s="5">
        <v>160000</v>
      </c>
    </row>
    <row r="9" spans="1:4" x14ac:dyDescent="0.55000000000000004">
      <c r="B9" t="s">
        <v>51</v>
      </c>
      <c r="C9" s="3">
        <v>0.1</v>
      </c>
      <c r="D9" s="3">
        <v>0.1</v>
      </c>
    </row>
    <row r="10" spans="1:4" x14ac:dyDescent="0.55000000000000004">
      <c r="B10" t="s">
        <v>16</v>
      </c>
      <c r="C10" s="7">
        <v>7</v>
      </c>
      <c r="D10" s="7">
        <v>7</v>
      </c>
    </row>
    <row r="11" spans="1:4" x14ac:dyDescent="0.55000000000000004">
      <c r="B11" t="s">
        <v>42</v>
      </c>
      <c r="C11" s="5">
        <f>C6+C7</f>
        <v>48000</v>
      </c>
      <c r="D11" s="5">
        <f>D6+D7</f>
        <v>35000</v>
      </c>
    </row>
    <row r="13" spans="1:4" x14ac:dyDescent="0.55000000000000004">
      <c r="A13" t="s">
        <v>54</v>
      </c>
    </row>
    <row r="14" spans="1:4" x14ac:dyDescent="0.55000000000000004">
      <c r="A14" t="s">
        <v>55</v>
      </c>
    </row>
    <row r="15" spans="1:4" x14ac:dyDescent="0.55000000000000004">
      <c r="A15" t="s">
        <v>56</v>
      </c>
    </row>
    <row r="16" spans="1:4" x14ac:dyDescent="0.55000000000000004">
      <c r="A16" t="s">
        <v>57</v>
      </c>
    </row>
    <row r="17" spans="1:5" x14ac:dyDescent="0.55000000000000004">
      <c r="A17" t="s">
        <v>58</v>
      </c>
    </row>
    <row r="18" spans="1:5" ht="14.7" thickBot="1" x14ac:dyDescent="0.6"/>
    <row r="19" spans="1:5" x14ac:dyDescent="0.55000000000000004">
      <c r="A19" s="17" t="s">
        <v>59</v>
      </c>
      <c r="B19" s="47" t="s">
        <v>60</v>
      </c>
      <c r="C19" s="22"/>
      <c r="D19" s="22"/>
      <c r="E19" s="82" t="s">
        <v>191</v>
      </c>
    </row>
    <row r="20" spans="1:5" x14ac:dyDescent="0.55000000000000004">
      <c r="A20" s="18"/>
      <c r="B20" s="48" t="s">
        <v>61</v>
      </c>
      <c r="C20" s="16"/>
      <c r="D20" s="16"/>
      <c r="E20" s="83"/>
    </row>
    <row r="21" spans="1:5" x14ac:dyDescent="0.55000000000000004">
      <c r="A21" s="18"/>
      <c r="B21" s="77">
        <v>167298.79999999999</v>
      </c>
      <c r="C21" s="16"/>
      <c r="D21" s="16"/>
      <c r="E21" s="83"/>
    </row>
    <row r="22" spans="1:5" x14ac:dyDescent="0.55000000000000004">
      <c r="A22" s="18"/>
      <c r="B22" s="16"/>
      <c r="C22" s="16"/>
      <c r="D22" s="16"/>
      <c r="E22" s="83"/>
    </row>
    <row r="23" spans="1:5" x14ac:dyDescent="0.55000000000000004">
      <c r="A23" s="18" t="s">
        <v>62</v>
      </c>
      <c r="B23" s="48" t="s">
        <v>63</v>
      </c>
      <c r="C23" s="16"/>
      <c r="D23" s="16"/>
      <c r="E23" s="83"/>
    </row>
    <row r="24" spans="1:5" x14ac:dyDescent="0.55000000000000004">
      <c r="A24" s="18"/>
      <c r="B24" s="48" t="s">
        <v>64</v>
      </c>
      <c r="C24" s="16"/>
      <c r="D24" s="16"/>
      <c r="E24" s="83"/>
    </row>
    <row r="25" spans="1:5" x14ac:dyDescent="0.55000000000000004">
      <c r="A25" s="18"/>
      <c r="B25" s="75">
        <v>-34363</v>
      </c>
      <c r="C25" s="16"/>
      <c r="D25" s="16"/>
      <c r="E25" s="83"/>
    </row>
    <row r="26" spans="1:5" x14ac:dyDescent="0.55000000000000004">
      <c r="A26" s="18"/>
      <c r="B26" s="16"/>
      <c r="C26" s="16"/>
      <c r="D26" s="16"/>
      <c r="E26" s="83"/>
    </row>
    <row r="27" spans="1:5" x14ac:dyDescent="0.55000000000000004">
      <c r="A27" s="18" t="s">
        <v>65</v>
      </c>
      <c r="B27" s="48" t="s">
        <v>66</v>
      </c>
      <c r="C27" s="16"/>
      <c r="D27" s="16"/>
      <c r="E27" s="83"/>
    </row>
    <row r="28" spans="1:5" x14ac:dyDescent="0.55000000000000004">
      <c r="A28" s="18"/>
      <c r="B28" s="48" t="s">
        <v>68</v>
      </c>
      <c r="C28" s="16"/>
      <c r="D28" s="16"/>
      <c r="E28" s="83"/>
    </row>
    <row r="29" spans="1:5" ht="14.7" thickBot="1" x14ac:dyDescent="0.6">
      <c r="A29" s="19"/>
      <c r="B29" s="76">
        <v>-326016.40000000002</v>
      </c>
      <c r="C29" s="20"/>
      <c r="D29" s="20"/>
      <c r="E29" s="84"/>
    </row>
    <row r="30" spans="1:5" s="9" customFormat="1" x14ac:dyDescent="0.55000000000000004">
      <c r="B30" s="10"/>
      <c r="E30" s="11"/>
    </row>
    <row r="31" spans="1:5" ht="14.7" thickBot="1" x14ac:dyDescent="0.6"/>
    <row r="32" spans="1:5" x14ac:dyDescent="0.55000000000000004">
      <c r="A32" s="17" t="s">
        <v>59</v>
      </c>
      <c r="B32" s="47" t="s">
        <v>60</v>
      </c>
      <c r="C32" s="22"/>
      <c r="D32" s="22"/>
      <c r="E32" s="85" t="s">
        <v>67</v>
      </c>
    </row>
    <row r="33" spans="1:5" x14ac:dyDescent="0.55000000000000004">
      <c r="A33" s="18"/>
      <c r="B33" s="48" t="s">
        <v>69</v>
      </c>
      <c r="C33" s="16"/>
      <c r="D33" s="16"/>
      <c r="E33" s="83"/>
    </row>
    <row r="34" spans="1:5" x14ac:dyDescent="0.55000000000000004">
      <c r="A34" s="18"/>
      <c r="B34" s="75">
        <v>-227494</v>
      </c>
      <c r="C34" s="16"/>
      <c r="D34" s="16"/>
      <c r="E34" s="83"/>
    </row>
    <row r="35" spans="1:5" x14ac:dyDescent="0.55000000000000004">
      <c r="A35" s="18"/>
      <c r="B35" s="16"/>
      <c r="C35" s="16"/>
      <c r="D35" s="16"/>
      <c r="E35" s="83"/>
    </row>
    <row r="36" spans="1:5" x14ac:dyDescent="0.55000000000000004">
      <c r="A36" s="18" t="s">
        <v>62</v>
      </c>
      <c r="B36" s="48" t="s">
        <v>63</v>
      </c>
      <c r="C36" s="16"/>
      <c r="D36" s="16"/>
      <c r="E36" s="83"/>
    </row>
    <row r="37" spans="1:5" x14ac:dyDescent="0.55000000000000004">
      <c r="A37" s="18"/>
      <c r="B37" s="48" t="s">
        <v>70</v>
      </c>
      <c r="C37" s="16"/>
      <c r="D37" s="16"/>
      <c r="E37" s="83"/>
    </row>
    <row r="38" spans="1:5" x14ac:dyDescent="0.55000000000000004">
      <c r="A38" s="18"/>
      <c r="B38" s="75">
        <v>-42620</v>
      </c>
      <c r="C38" s="16"/>
      <c r="D38" s="16"/>
      <c r="E38" s="83"/>
    </row>
    <row r="39" spans="1:5" x14ac:dyDescent="0.55000000000000004">
      <c r="A39" s="18"/>
      <c r="B39" s="16"/>
      <c r="C39" s="16"/>
      <c r="D39" s="16"/>
      <c r="E39" s="83"/>
    </row>
    <row r="40" spans="1:5" x14ac:dyDescent="0.55000000000000004">
      <c r="A40" s="18" t="s">
        <v>65</v>
      </c>
      <c r="B40" s="48" t="s">
        <v>66</v>
      </c>
      <c r="C40" s="16"/>
      <c r="D40" s="16"/>
      <c r="E40" s="83"/>
    </row>
    <row r="41" spans="1:5" x14ac:dyDescent="0.55000000000000004">
      <c r="A41" s="18"/>
      <c r="B41" s="48" t="s">
        <v>71</v>
      </c>
      <c r="C41" s="16"/>
      <c r="D41" s="16"/>
      <c r="E41" s="83"/>
    </row>
    <row r="42" spans="1:5" ht="14.7" thickBot="1" x14ac:dyDescent="0.6">
      <c r="A42" s="19"/>
      <c r="B42" s="76">
        <v>-443324</v>
      </c>
      <c r="C42" s="20"/>
      <c r="D42" s="20"/>
      <c r="E42" s="84"/>
    </row>
    <row r="43" spans="1:5" ht="14.7" thickBot="1" x14ac:dyDescent="0.6"/>
    <row r="44" spans="1:5" x14ac:dyDescent="0.55000000000000004">
      <c r="A44" s="86" t="s">
        <v>192</v>
      </c>
      <c r="B44" s="87"/>
      <c r="C44" s="87"/>
      <c r="D44" s="87"/>
      <c r="E44" s="88"/>
    </row>
    <row r="45" spans="1:5" x14ac:dyDescent="0.55000000000000004">
      <c r="A45" s="89"/>
      <c r="B45" s="90"/>
      <c r="C45" s="90"/>
      <c r="D45" s="90"/>
      <c r="E45" s="91"/>
    </row>
    <row r="46" spans="1:5" ht="14.7" thickBot="1" x14ac:dyDescent="0.6">
      <c r="A46" s="92"/>
      <c r="B46" s="93"/>
      <c r="C46" s="93"/>
      <c r="D46" s="93"/>
      <c r="E46" s="94"/>
    </row>
  </sheetData>
  <mergeCells count="3">
    <mergeCell ref="E19:E29"/>
    <mergeCell ref="E32:E42"/>
    <mergeCell ref="A44:E46"/>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B15" activeCellId="1" sqref="B17 B15"/>
    </sheetView>
  </sheetViews>
  <sheetFormatPr defaultRowHeight="14.4" x14ac:dyDescent="0.55000000000000004"/>
  <cols>
    <col min="1" max="1" width="9.89453125" customWidth="1"/>
    <col min="2" max="2" width="11.3671875" bestFit="1" customWidth="1"/>
  </cols>
  <sheetData>
    <row r="1" spans="1:2" x14ac:dyDescent="0.55000000000000004">
      <c r="A1" t="s">
        <v>72</v>
      </c>
    </row>
    <row r="2" spans="1:2" x14ac:dyDescent="0.55000000000000004">
      <c r="A2" t="s">
        <v>73</v>
      </c>
    </row>
    <row r="3" spans="1:2" x14ac:dyDescent="0.55000000000000004">
      <c r="A3" t="s">
        <v>74</v>
      </c>
    </row>
    <row r="4" spans="1:2" x14ac:dyDescent="0.55000000000000004">
      <c r="A4" t="s">
        <v>75</v>
      </c>
    </row>
    <row r="6" spans="1:2" x14ac:dyDescent="0.55000000000000004">
      <c r="A6" t="s">
        <v>1</v>
      </c>
      <c r="B6" s="59">
        <v>-70000</v>
      </c>
    </row>
    <row r="7" spans="1:2" x14ac:dyDescent="0.55000000000000004">
      <c r="A7" t="s">
        <v>76</v>
      </c>
      <c r="B7" s="59">
        <v>-40000</v>
      </c>
    </row>
    <row r="8" spans="1:2" x14ac:dyDescent="0.55000000000000004">
      <c r="A8" t="s">
        <v>2</v>
      </c>
      <c r="B8" s="5">
        <v>60000</v>
      </c>
    </row>
    <row r="9" spans="1:2" x14ac:dyDescent="0.55000000000000004">
      <c r="A9" t="s">
        <v>77</v>
      </c>
      <c r="B9" s="5">
        <f>B8+B7</f>
        <v>20000</v>
      </c>
    </row>
    <row r="10" spans="1:2" x14ac:dyDescent="0.55000000000000004">
      <c r="A10" t="s">
        <v>16</v>
      </c>
      <c r="B10">
        <v>12</v>
      </c>
    </row>
    <row r="11" spans="1:2" x14ac:dyDescent="0.55000000000000004">
      <c r="A11" t="s">
        <v>78</v>
      </c>
      <c r="B11" s="3">
        <v>0.2</v>
      </c>
    </row>
    <row r="12" spans="1:2" x14ac:dyDescent="0.55000000000000004">
      <c r="A12" t="s">
        <v>4</v>
      </c>
      <c r="B12" s="5">
        <v>9000</v>
      </c>
    </row>
    <row r="15" spans="1:2" x14ac:dyDescent="0.55000000000000004">
      <c r="A15" t="s">
        <v>79</v>
      </c>
      <c r="B15" s="59">
        <f>((B6-B12)*0.2253)+B6</f>
        <v>-87798.7</v>
      </c>
    </row>
    <row r="16" spans="1:2" x14ac:dyDescent="0.55000000000000004">
      <c r="A16" t="s">
        <v>80</v>
      </c>
      <c r="B16" s="5">
        <f>B9</f>
        <v>20000</v>
      </c>
    </row>
    <row r="17" spans="1:2" x14ac:dyDescent="0.55000000000000004">
      <c r="A17" t="s">
        <v>81</v>
      </c>
      <c r="B17" s="59">
        <f>B15+B16</f>
        <v>-67798.7</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E20" sqref="E20"/>
    </sheetView>
  </sheetViews>
  <sheetFormatPr defaultRowHeight="14.4" x14ac:dyDescent="0.55000000000000004"/>
  <cols>
    <col min="2" max="2" width="11.734375" bestFit="1" customWidth="1"/>
    <col min="3" max="3" width="12.3671875" bestFit="1" customWidth="1"/>
  </cols>
  <sheetData>
    <row r="1" spans="1:5" x14ac:dyDescent="0.55000000000000004">
      <c r="A1" t="s">
        <v>82</v>
      </c>
    </row>
    <row r="2" spans="1:5" x14ac:dyDescent="0.55000000000000004">
      <c r="A2" t="s">
        <v>83</v>
      </c>
    </row>
    <row r="4" spans="1:5" x14ac:dyDescent="0.55000000000000004">
      <c r="B4" t="s">
        <v>84</v>
      </c>
      <c r="C4" s="59">
        <v>-700000</v>
      </c>
    </row>
    <row r="5" spans="1:5" x14ac:dyDescent="0.55000000000000004">
      <c r="B5" t="s">
        <v>85</v>
      </c>
      <c r="C5" s="5">
        <v>190000</v>
      </c>
    </row>
    <row r="6" spans="1:5" x14ac:dyDescent="0.55000000000000004">
      <c r="B6" t="s">
        <v>86</v>
      </c>
      <c r="C6">
        <v>10</v>
      </c>
    </row>
    <row r="8" spans="1:5" x14ac:dyDescent="0.55000000000000004">
      <c r="A8" t="s">
        <v>87</v>
      </c>
    </row>
    <row r="9" spans="1:5" x14ac:dyDescent="0.55000000000000004">
      <c r="A9" t="s">
        <v>88</v>
      </c>
    </row>
    <row r="11" spans="1:5" x14ac:dyDescent="0.55000000000000004">
      <c r="A11" s="98" t="s">
        <v>89</v>
      </c>
      <c r="B11" s="98"/>
      <c r="C11" s="98"/>
      <c r="D11" s="98"/>
      <c r="E11" s="98"/>
    </row>
    <row r="12" spans="1:5" x14ac:dyDescent="0.55000000000000004">
      <c r="A12" t="s">
        <v>90</v>
      </c>
      <c r="B12" s="95" t="s">
        <v>91</v>
      </c>
      <c r="C12" s="96"/>
      <c r="D12" s="96"/>
      <c r="E12" s="96"/>
    </row>
    <row r="13" spans="1:5" x14ac:dyDescent="0.55000000000000004">
      <c r="A13" s="8"/>
      <c r="B13" s="95" t="s">
        <v>92</v>
      </c>
      <c r="C13" s="96"/>
      <c r="D13" s="96"/>
      <c r="E13" s="96"/>
    </row>
    <row r="14" spans="1:5" x14ac:dyDescent="0.55000000000000004">
      <c r="C14" s="71">
        <f>-700000+(190000*4.1925)</f>
        <v>96575</v>
      </c>
      <c r="E14" s="72"/>
    </row>
    <row r="17" spans="1:5" x14ac:dyDescent="0.55000000000000004">
      <c r="A17" s="98" t="s">
        <v>93</v>
      </c>
      <c r="B17" s="98"/>
      <c r="C17" s="98"/>
      <c r="D17" s="98"/>
      <c r="E17" s="98"/>
    </row>
    <row r="18" spans="1:5" x14ac:dyDescent="0.55000000000000004">
      <c r="A18" t="s">
        <v>90</v>
      </c>
      <c r="B18" s="95" t="s">
        <v>91</v>
      </c>
      <c r="C18" s="96"/>
      <c r="D18" s="96"/>
      <c r="E18" s="96"/>
    </row>
    <row r="19" spans="1:5" x14ac:dyDescent="0.55000000000000004">
      <c r="A19" s="8"/>
      <c r="B19" s="95" t="s">
        <v>94</v>
      </c>
      <c r="C19" s="96"/>
      <c r="D19" s="96"/>
      <c r="E19" s="96"/>
    </row>
    <row r="20" spans="1:5" x14ac:dyDescent="0.55000000000000004">
      <c r="C20" s="73">
        <f>-700000+(190000*3.5705)</f>
        <v>-21605</v>
      </c>
      <c r="E20" s="74"/>
    </row>
    <row r="22" spans="1:5" x14ac:dyDescent="0.55000000000000004">
      <c r="A22" s="97" t="s">
        <v>95</v>
      </c>
      <c r="B22" s="97"/>
      <c r="C22" s="97"/>
      <c r="D22" s="97"/>
      <c r="E22" s="97"/>
    </row>
    <row r="23" spans="1:5" x14ac:dyDescent="0.55000000000000004">
      <c r="A23" s="96" t="s">
        <v>96</v>
      </c>
      <c r="B23" s="96"/>
      <c r="C23" s="96"/>
      <c r="D23" s="96"/>
      <c r="E23" s="96"/>
    </row>
    <row r="24" spans="1:5" x14ac:dyDescent="0.55000000000000004">
      <c r="A24" s="96"/>
      <c r="B24" s="96"/>
      <c r="C24" s="96"/>
      <c r="D24" s="96"/>
      <c r="E24" s="96"/>
    </row>
    <row r="26" spans="1:5" x14ac:dyDescent="0.55000000000000004">
      <c r="B26" s="13" t="s">
        <v>97</v>
      </c>
      <c r="C26" s="14">
        <v>0.2409</v>
      </c>
    </row>
  </sheetData>
  <mergeCells count="8">
    <mergeCell ref="B19:E19"/>
    <mergeCell ref="A22:E22"/>
    <mergeCell ref="A23:E24"/>
    <mergeCell ref="A11:E11"/>
    <mergeCell ref="B12:E12"/>
    <mergeCell ref="B13:E13"/>
    <mergeCell ref="A17:E17"/>
    <mergeCell ref="B18:E18"/>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27" workbookViewId="0">
      <selection activeCell="F22" sqref="F22"/>
    </sheetView>
  </sheetViews>
  <sheetFormatPr defaultRowHeight="14.4" x14ac:dyDescent="0.55000000000000004"/>
  <cols>
    <col min="2" max="2" width="24.3125" customWidth="1"/>
    <col min="3" max="3" width="15.734375" bestFit="1" customWidth="1"/>
    <col min="4" max="4" width="15.47265625" customWidth="1"/>
    <col min="6" max="6" width="14.3125" bestFit="1" customWidth="1"/>
  </cols>
  <sheetData>
    <row r="1" spans="1:4" x14ac:dyDescent="0.55000000000000004">
      <c r="A1" t="s">
        <v>98</v>
      </c>
    </row>
    <row r="2" spans="1:4" x14ac:dyDescent="0.55000000000000004">
      <c r="A2" t="s">
        <v>99</v>
      </c>
    </row>
    <row r="3" spans="1:4" x14ac:dyDescent="0.55000000000000004">
      <c r="A3" t="s">
        <v>100</v>
      </c>
    </row>
    <row r="4" spans="1:4" x14ac:dyDescent="0.55000000000000004">
      <c r="A4" t="s">
        <v>101</v>
      </c>
    </row>
    <row r="6" spans="1:4" x14ac:dyDescent="0.55000000000000004">
      <c r="C6" t="s">
        <v>53</v>
      </c>
      <c r="D6" t="s">
        <v>52</v>
      </c>
    </row>
    <row r="7" spans="1:4" x14ac:dyDescent="0.55000000000000004">
      <c r="B7" t="s">
        <v>84</v>
      </c>
      <c r="C7" s="5">
        <v>15000000</v>
      </c>
      <c r="D7" s="5">
        <v>22000000</v>
      </c>
    </row>
    <row r="8" spans="1:4" x14ac:dyDescent="0.55000000000000004">
      <c r="B8" t="s">
        <v>102</v>
      </c>
      <c r="C8" s="5">
        <v>500000</v>
      </c>
      <c r="D8" s="5">
        <v>750000</v>
      </c>
    </row>
    <row r="9" spans="1:4" x14ac:dyDescent="0.55000000000000004">
      <c r="B9" t="s">
        <v>103</v>
      </c>
      <c r="C9" s="5">
        <v>650000</v>
      </c>
      <c r="D9" s="5">
        <v>900000</v>
      </c>
    </row>
    <row r="10" spans="1:4" x14ac:dyDescent="0.55000000000000004">
      <c r="B10" t="s">
        <v>104</v>
      </c>
      <c r="C10" s="5">
        <v>300000</v>
      </c>
      <c r="D10" s="5">
        <v>500000</v>
      </c>
    </row>
    <row r="11" spans="1:4" x14ac:dyDescent="0.55000000000000004">
      <c r="B11" t="s">
        <v>105</v>
      </c>
      <c r="C11" s="5">
        <v>1800000</v>
      </c>
      <c r="D11" s="5">
        <v>2700000</v>
      </c>
    </row>
    <row r="12" spans="1:4" x14ac:dyDescent="0.55000000000000004">
      <c r="B12" t="s">
        <v>3</v>
      </c>
      <c r="C12" s="5">
        <v>400000</v>
      </c>
      <c r="D12" s="5">
        <v>550000</v>
      </c>
    </row>
    <row r="13" spans="1:4" x14ac:dyDescent="0.55000000000000004">
      <c r="B13" t="s">
        <v>109</v>
      </c>
      <c r="C13" s="3">
        <v>0.12</v>
      </c>
      <c r="D13" s="3">
        <v>0.12</v>
      </c>
    </row>
    <row r="14" spans="1:4" x14ac:dyDescent="0.55000000000000004">
      <c r="B14" t="s">
        <v>16</v>
      </c>
      <c r="C14" s="2">
        <v>50</v>
      </c>
      <c r="D14" s="2">
        <v>50</v>
      </c>
    </row>
    <row r="16" spans="1:4" x14ac:dyDescent="0.55000000000000004">
      <c r="A16" t="s">
        <v>106</v>
      </c>
    </row>
    <row r="17" spans="1:6" x14ac:dyDescent="0.55000000000000004">
      <c r="A17" t="s">
        <v>107</v>
      </c>
    </row>
    <row r="18" spans="1:6" ht="14.7" thickBot="1" x14ac:dyDescent="0.6"/>
    <row r="19" spans="1:6" x14ac:dyDescent="0.55000000000000004">
      <c r="B19" s="17"/>
      <c r="C19" s="22" t="s">
        <v>53</v>
      </c>
      <c r="D19" s="23" t="s">
        <v>52</v>
      </c>
    </row>
    <row r="20" spans="1:6" x14ac:dyDescent="0.55000000000000004">
      <c r="B20" s="18" t="s">
        <v>110</v>
      </c>
      <c r="C20" s="54">
        <f>SUM(C8:C11)</f>
        <v>3250000</v>
      </c>
      <c r="D20" s="55">
        <f>SUM(D8:D11)</f>
        <v>4850000</v>
      </c>
    </row>
    <row r="21" spans="1:6" x14ac:dyDescent="0.55000000000000004">
      <c r="B21" s="18" t="s">
        <v>125</v>
      </c>
      <c r="C21" s="54">
        <f>C12</f>
        <v>400000</v>
      </c>
      <c r="D21" s="55">
        <f>D12</f>
        <v>550000</v>
      </c>
    </row>
    <row r="22" spans="1:6" x14ac:dyDescent="0.55000000000000004">
      <c r="B22" s="18" t="s">
        <v>26</v>
      </c>
      <c r="C22" s="54">
        <f>C7</f>
        <v>15000000</v>
      </c>
      <c r="D22" s="55">
        <f>D7</f>
        <v>22000000</v>
      </c>
    </row>
    <row r="23" spans="1:6" x14ac:dyDescent="0.55000000000000004">
      <c r="B23" s="18"/>
      <c r="C23" s="54"/>
      <c r="D23" s="55"/>
    </row>
    <row r="24" spans="1:6" x14ac:dyDescent="0.55000000000000004">
      <c r="B24" s="18" t="s">
        <v>126</v>
      </c>
      <c r="C24" s="54"/>
      <c r="D24" s="55"/>
    </row>
    <row r="25" spans="1:6" ht="14.7" thickBot="1" x14ac:dyDescent="0.6">
      <c r="B25" s="25" t="s">
        <v>111</v>
      </c>
      <c r="C25" s="54"/>
      <c r="D25" s="55"/>
    </row>
    <row r="26" spans="1:6" x14ac:dyDescent="0.55000000000000004">
      <c r="B26" s="17" t="s">
        <v>112</v>
      </c>
      <c r="C26" s="69">
        <f>PV(C13,C14,-C20)</f>
        <v>26989620.087252866</v>
      </c>
      <c r="D26" s="70">
        <f>PV(D13,D14,-D20)</f>
        <v>40276817.668669663</v>
      </c>
      <c r="F26" s="4"/>
    </row>
    <row r="27" spans="1:6" x14ac:dyDescent="0.55000000000000004">
      <c r="B27" s="21" t="s">
        <v>114</v>
      </c>
      <c r="C27" s="54">
        <f>PV(C13,C14,-C21)</f>
        <v>3321799.3953541992</v>
      </c>
      <c r="D27" s="55">
        <f>PV(D13,D14,-D21)</f>
        <v>4567474.1686120238</v>
      </c>
    </row>
    <row r="28" spans="1:6" ht="14.7" thickBot="1" x14ac:dyDescent="0.6">
      <c r="B28" s="19" t="s">
        <v>113</v>
      </c>
      <c r="C28" s="56">
        <f>C22</f>
        <v>15000000</v>
      </c>
      <c r="D28" s="57">
        <f>D22</f>
        <v>22000000</v>
      </c>
    </row>
    <row r="29" spans="1:6" x14ac:dyDescent="0.55000000000000004">
      <c r="B29" s="18"/>
      <c r="C29" s="54"/>
      <c r="D29" s="55"/>
    </row>
    <row r="30" spans="1:6" x14ac:dyDescent="0.55000000000000004">
      <c r="B30" s="18"/>
      <c r="C30" s="54"/>
      <c r="D30" s="55"/>
    </row>
    <row r="31" spans="1:6" x14ac:dyDescent="0.55000000000000004">
      <c r="B31" s="18" t="s">
        <v>119</v>
      </c>
      <c r="C31" s="54">
        <f>C28+C27</f>
        <v>18321799.3953542</v>
      </c>
      <c r="D31" s="55">
        <f>D28+D27</f>
        <v>26567474.168612026</v>
      </c>
    </row>
    <row r="32" spans="1:6" x14ac:dyDescent="0.55000000000000004">
      <c r="B32" s="18"/>
      <c r="C32" s="54"/>
      <c r="D32" s="55"/>
    </row>
    <row r="33" spans="1:5" ht="14.7" thickBot="1" x14ac:dyDescent="0.6">
      <c r="B33" s="26" t="s">
        <v>115</v>
      </c>
      <c r="C33" s="27">
        <f>C26/C31</f>
        <v>1.4730878504267728</v>
      </c>
      <c r="D33" s="28">
        <f>D26/D31</f>
        <v>1.5160198298509857</v>
      </c>
    </row>
    <row r="34" spans="1:5" x14ac:dyDescent="0.55000000000000004">
      <c r="B34" t="s">
        <v>116</v>
      </c>
      <c r="C34" s="29" t="str">
        <f>IF(C33&gt;1,"Accept","Reject")</f>
        <v>Accept</v>
      </c>
      <c r="D34" s="29" t="str">
        <f>IF(D33&gt;1,"Accept","Reject")</f>
        <v>Accept</v>
      </c>
    </row>
    <row r="40" spans="1:5" x14ac:dyDescent="0.55000000000000004">
      <c r="A40" t="s">
        <v>108</v>
      </c>
    </row>
    <row r="42" spans="1:5" x14ac:dyDescent="0.55000000000000004">
      <c r="B42" t="s">
        <v>117</v>
      </c>
    </row>
    <row r="45" spans="1:5" x14ac:dyDescent="0.55000000000000004">
      <c r="B45" t="s">
        <v>118</v>
      </c>
      <c r="C45" s="15">
        <f>(D26-C26)/(D31-C31)</f>
        <v>1.6114142197930867</v>
      </c>
    </row>
    <row r="46" spans="1:5" ht="14.7" thickBot="1" x14ac:dyDescent="0.6"/>
    <row r="47" spans="1:5" x14ac:dyDescent="0.55000000000000004">
      <c r="A47" s="99" t="s">
        <v>120</v>
      </c>
      <c r="B47" s="100"/>
      <c r="C47" s="100"/>
      <c r="D47" s="100"/>
      <c r="E47" s="101"/>
    </row>
    <row r="48" spans="1:5" x14ac:dyDescent="0.55000000000000004">
      <c r="A48" s="102"/>
      <c r="B48" s="103"/>
      <c r="C48" s="103"/>
      <c r="D48" s="103"/>
      <c r="E48" s="104"/>
    </row>
    <row r="49" spans="1:5" ht="14.7" thickBot="1" x14ac:dyDescent="0.6">
      <c r="A49" s="105"/>
      <c r="B49" s="106"/>
      <c r="C49" s="106"/>
      <c r="D49" s="106"/>
      <c r="E49" s="107"/>
    </row>
  </sheetData>
  <mergeCells count="1">
    <mergeCell ref="A47:E49"/>
  </mergeCells>
  <pageMargins left="0.7" right="0.7" top="0.75" bottom="0.75" header="0.3" footer="0.3"/>
  <ignoredErrors>
    <ignoredError sqref="C20:D20" formulaRang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E32" sqref="D27:E32"/>
    </sheetView>
  </sheetViews>
  <sheetFormatPr defaultRowHeight="14.4" x14ac:dyDescent="0.55000000000000004"/>
  <cols>
    <col min="3" max="4" width="10.83984375" bestFit="1" customWidth="1"/>
    <col min="5" max="5" width="10.7890625" bestFit="1" customWidth="1"/>
    <col min="7" max="7" width="9.578125" customWidth="1"/>
  </cols>
  <sheetData>
    <row r="1" spans="1:7" x14ac:dyDescent="0.55000000000000004">
      <c r="A1" t="s">
        <v>121</v>
      </c>
    </row>
    <row r="2" spans="1:7" x14ac:dyDescent="0.55000000000000004">
      <c r="A2" t="s">
        <v>122</v>
      </c>
    </row>
    <row r="6" spans="1:7" x14ac:dyDescent="0.55000000000000004">
      <c r="B6" t="s">
        <v>26</v>
      </c>
      <c r="C6" s="5">
        <v>32000</v>
      </c>
    </row>
    <row r="7" spans="1:7" x14ac:dyDescent="0.55000000000000004">
      <c r="B7" t="s">
        <v>127</v>
      </c>
      <c r="C7" s="5">
        <v>6500</v>
      </c>
    </row>
    <row r="8" spans="1:7" x14ac:dyDescent="0.55000000000000004">
      <c r="B8" t="s">
        <v>16</v>
      </c>
      <c r="C8">
        <v>5</v>
      </c>
    </row>
    <row r="11" spans="1:7" x14ac:dyDescent="0.55000000000000004">
      <c r="A11" t="s">
        <v>123</v>
      </c>
    </row>
    <row r="12" spans="1:7" ht="14.7" thickBot="1" x14ac:dyDescent="0.6"/>
    <row r="13" spans="1:7" x14ac:dyDescent="0.55000000000000004">
      <c r="B13" s="17" t="s">
        <v>128</v>
      </c>
      <c r="C13" s="22" t="s">
        <v>130</v>
      </c>
      <c r="D13" s="23" t="s">
        <v>129</v>
      </c>
    </row>
    <row r="14" spans="1:7" x14ac:dyDescent="0.55000000000000004">
      <c r="B14" s="18">
        <v>0</v>
      </c>
      <c r="C14" s="54"/>
      <c r="D14" s="55">
        <v>32000</v>
      </c>
      <c r="G14" t="s">
        <v>131</v>
      </c>
    </row>
    <row r="15" spans="1:7" x14ac:dyDescent="0.55000000000000004">
      <c r="B15" s="18">
        <v>1</v>
      </c>
      <c r="C15" s="54">
        <f>($C$6-$C$7)/$C$8</f>
        <v>5100</v>
      </c>
      <c r="D15" s="55">
        <f>D14-C15</f>
        <v>26900</v>
      </c>
    </row>
    <row r="16" spans="1:7" x14ac:dyDescent="0.55000000000000004">
      <c r="B16" s="18">
        <v>2</v>
      </c>
      <c r="C16" s="54">
        <f t="shared" ref="C16:C19" si="0">($C$6-$C$7)/$C$8</f>
        <v>5100</v>
      </c>
      <c r="D16" s="55">
        <f>D15-C16</f>
        <v>21800</v>
      </c>
    </row>
    <row r="17" spans="1:9" x14ac:dyDescent="0.55000000000000004">
      <c r="B17" s="18">
        <v>3</v>
      </c>
      <c r="C17" s="54">
        <f t="shared" si="0"/>
        <v>5100</v>
      </c>
      <c r="D17" s="55">
        <f>D16-C17</f>
        <v>16700</v>
      </c>
    </row>
    <row r="18" spans="1:9" x14ac:dyDescent="0.55000000000000004">
      <c r="B18" s="18">
        <v>4</v>
      </c>
      <c r="C18" s="54">
        <f t="shared" si="0"/>
        <v>5100</v>
      </c>
      <c r="D18" s="55">
        <f>D17-C18</f>
        <v>11600</v>
      </c>
    </row>
    <row r="19" spans="1:9" ht="14.7" thickBot="1" x14ac:dyDescent="0.6">
      <c r="B19" s="19">
        <v>5</v>
      </c>
      <c r="C19" s="56">
        <f t="shared" si="0"/>
        <v>5100</v>
      </c>
      <c r="D19" s="57">
        <f>D18-C19</f>
        <v>6500</v>
      </c>
    </row>
    <row r="22" spans="1:9" x14ac:dyDescent="0.55000000000000004">
      <c r="A22" t="s">
        <v>124</v>
      </c>
    </row>
    <row r="24" spans="1:9" x14ac:dyDescent="0.55000000000000004">
      <c r="B24" s="30" t="s">
        <v>132</v>
      </c>
      <c r="C24">
        <f>(1/C8)*2</f>
        <v>0.4</v>
      </c>
      <c r="D24" t="s">
        <v>133</v>
      </c>
    </row>
    <row r="25" spans="1:9" ht="14.7" thickBot="1" x14ac:dyDescent="0.6"/>
    <row r="26" spans="1:9" x14ac:dyDescent="0.55000000000000004">
      <c r="B26" s="17" t="s">
        <v>128</v>
      </c>
      <c r="C26" s="31" t="s">
        <v>132</v>
      </c>
      <c r="D26" s="22" t="s">
        <v>130</v>
      </c>
      <c r="E26" s="23" t="s">
        <v>129</v>
      </c>
      <c r="G26" t="s">
        <v>134</v>
      </c>
      <c r="I26" s="32"/>
    </row>
    <row r="27" spans="1:9" x14ac:dyDescent="0.55000000000000004">
      <c r="B27" s="18">
        <v>0</v>
      </c>
      <c r="C27" s="16"/>
      <c r="D27" s="54"/>
      <c r="E27" s="55">
        <f>C6</f>
        <v>32000</v>
      </c>
      <c r="G27" s="30" t="s">
        <v>135</v>
      </c>
    </row>
    <row r="28" spans="1:9" x14ac:dyDescent="0.55000000000000004">
      <c r="B28" s="18">
        <v>1</v>
      </c>
      <c r="C28" s="16">
        <v>0.4</v>
      </c>
      <c r="D28" s="54">
        <f>C28*$E$27*((1-C28)^(B28-1))</f>
        <v>12800</v>
      </c>
      <c r="E28" s="55">
        <f>E27-D28</f>
        <v>19200</v>
      </c>
    </row>
    <row r="29" spans="1:9" x14ac:dyDescent="0.55000000000000004">
      <c r="B29" s="18">
        <v>2</v>
      </c>
      <c r="C29" s="16">
        <v>0.4</v>
      </c>
      <c r="D29" s="54">
        <f>C29*$E$27*((1-C29)^(B29-1))</f>
        <v>7680</v>
      </c>
      <c r="E29" s="55">
        <f t="shared" ref="E29:E32" si="1">E28-D29</f>
        <v>11520</v>
      </c>
    </row>
    <row r="30" spans="1:9" x14ac:dyDescent="0.55000000000000004">
      <c r="B30" s="18">
        <v>3</v>
      </c>
      <c r="C30" s="16">
        <v>0.4</v>
      </c>
      <c r="D30" s="54">
        <f>C30*$E$27*((1-C30)^(B30-1))</f>
        <v>4608</v>
      </c>
      <c r="E30" s="55">
        <f t="shared" si="1"/>
        <v>6912</v>
      </c>
    </row>
    <row r="31" spans="1:9" x14ac:dyDescent="0.55000000000000004">
      <c r="B31" s="18">
        <v>4</v>
      </c>
      <c r="C31" s="16">
        <v>0.4</v>
      </c>
      <c r="D31" s="54">
        <f>C31*$E$27*((1-C31)^(B31-1))</f>
        <v>2764.8</v>
      </c>
      <c r="E31" s="55">
        <f t="shared" si="1"/>
        <v>4147.2</v>
      </c>
    </row>
    <row r="32" spans="1:9" ht="14.7" thickBot="1" x14ac:dyDescent="0.6">
      <c r="B32" s="19">
        <v>5</v>
      </c>
      <c r="C32" s="20">
        <v>0.4</v>
      </c>
      <c r="D32" s="56">
        <f>C32*$E$27*((1-C32)^(B32-1))</f>
        <v>1658.8799999999999</v>
      </c>
      <c r="E32" s="57">
        <f t="shared" si="1"/>
        <v>2488.3199999999997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Question 1</vt:lpstr>
      <vt:lpstr>Question 2</vt:lpstr>
      <vt:lpstr>Question 3</vt:lpstr>
      <vt:lpstr>Question 4</vt:lpstr>
      <vt:lpstr>Question 5</vt:lpstr>
      <vt:lpstr>Question 6</vt:lpstr>
      <vt:lpstr>Question 7</vt:lpstr>
      <vt:lpstr>Question 8</vt:lpstr>
      <vt:lpstr>Question 9</vt:lpstr>
      <vt:lpstr>Question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Rushabh Barbhaya</dc:creator>
  <cp:lastModifiedBy>Rushabh Barbhaya</cp:lastModifiedBy>
  <dcterms:created xsi:type="dcterms:W3CDTF">2018-03-18T20:30:57Z</dcterms:created>
  <dcterms:modified xsi:type="dcterms:W3CDTF">2018-03-22T16:37:11Z</dcterms:modified>
</cp:coreProperties>
</file>