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defaultThemeVersion="164011"/>
  <mc:AlternateContent xmlns:mc="http://schemas.openxmlformats.org/markup-compatibility/2006">
    <mc:Choice Requires="x15">
      <x15ac:absPath xmlns:x15ac="http://schemas.microsoft.com/office/spreadsheetml/2010/11/ac" url="D:\Stevens Work\EM 600\Midterm\"/>
    </mc:Choice>
  </mc:AlternateContent>
  <bookViews>
    <workbookView xWindow="0" yWindow="0" windowWidth="20490" windowHeight="7530" activeTab="9"/>
  </bookViews>
  <sheets>
    <sheet name="Q8" sheetId="1" r:id="rId1"/>
    <sheet name="Q9" sheetId="2" r:id="rId2"/>
    <sheet name="Q6" sheetId="3" r:id="rId3"/>
    <sheet name="Q4" sheetId="4" r:id="rId4"/>
    <sheet name="Q5" sheetId="5" r:id="rId5"/>
    <sheet name="Q1" sheetId="6" r:id="rId6"/>
    <sheet name="Q7" sheetId="10" r:id="rId7"/>
    <sheet name="Q2" sheetId="7" r:id="rId8"/>
    <sheet name="Q3" sheetId="8" r:id="rId9"/>
    <sheet name="Q10" sheetId="9" r:id="rId10"/>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2" i="8" l="1"/>
  <c r="F9" i="8"/>
  <c r="E18" i="7"/>
  <c r="E15" i="7"/>
  <c r="E11" i="7"/>
  <c r="D19" i="3" l="1"/>
  <c r="C92" i="9"/>
  <c r="C90" i="9"/>
  <c r="C89" i="9"/>
  <c r="C88" i="9"/>
  <c r="C83" i="9" l="1"/>
  <c r="C78" i="9"/>
  <c r="C77" i="9"/>
  <c r="C75" i="9"/>
  <c r="E71" i="9"/>
  <c r="D71" i="9"/>
  <c r="C71" i="9"/>
  <c r="E70" i="9"/>
  <c r="D70" i="9"/>
  <c r="C69" i="9"/>
  <c r="E65" i="9"/>
  <c r="E62" i="9"/>
  <c r="E52" i="9"/>
  <c r="E51" i="9"/>
  <c r="D49" i="9"/>
  <c r="E49" i="9" s="1"/>
  <c r="E41" i="9"/>
  <c r="E66" i="9" s="1"/>
  <c r="F27" i="9"/>
  <c r="F26" i="9"/>
  <c r="G26" i="9" s="1"/>
  <c r="D27" i="9" s="1"/>
  <c r="G27" i="9" s="1"/>
  <c r="E13" i="9"/>
  <c r="D53" i="9" s="1"/>
  <c r="D13" i="9"/>
  <c r="F13" i="9" s="1"/>
  <c r="D14" i="9" s="1"/>
  <c r="G8" i="9"/>
  <c r="E11" i="6"/>
  <c r="G10" i="5"/>
  <c r="F10" i="5"/>
  <c r="E11" i="4"/>
  <c r="C26" i="2"/>
  <c r="C25" i="2"/>
  <c r="C24" i="2"/>
  <c r="C23" i="2"/>
  <c r="D6" i="2"/>
  <c r="E14" i="9" l="1"/>
  <c r="E53" i="9" s="1"/>
  <c r="E54" i="9" s="1"/>
  <c r="E55" i="9" s="1"/>
  <c r="D52" i="9"/>
  <c r="D54" i="9" s="1"/>
  <c r="D62" i="9"/>
  <c r="G13" i="9"/>
  <c r="D55" i="9"/>
  <c r="D56" i="9" s="1"/>
  <c r="D61" i="9" s="1"/>
  <c r="F14" i="9" l="1"/>
  <c r="G14" i="9"/>
  <c r="E56" i="9"/>
  <c r="E61" i="9" s="1"/>
  <c r="G23" i="1" l="1"/>
  <c r="F23" i="1"/>
  <c r="G22" i="1"/>
  <c r="F22" i="1"/>
  <c r="G21" i="1"/>
  <c r="F21" i="1"/>
  <c r="G20" i="1" l="1"/>
  <c r="F20" i="1"/>
  <c r="G19" i="1"/>
  <c r="F19" i="1"/>
  <c r="G15" i="1"/>
  <c r="G14" i="1"/>
  <c r="F15" i="1"/>
</calcChain>
</file>

<file path=xl/sharedStrings.xml><?xml version="1.0" encoding="utf-8"?>
<sst xmlns="http://schemas.openxmlformats.org/spreadsheetml/2006/main" count="252" uniqueCount="190">
  <si>
    <t>Question 8</t>
  </si>
  <si>
    <t>The Federal Govt. is planning a hydraulic project for a river basin. In addition to producing electric power, this project will provide flood control, irrigation and recreational benefits. The estimated benefits and costs expected to be derived from the two alternatives are as follows:</t>
  </si>
  <si>
    <t>Initial Cost</t>
  </si>
  <si>
    <t>Annual Irrigation Benefits</t>
  </si>
  <si>
    <t>Annual Recreation Benefits</t>
  </si>
  <si>
    <t>Flood Control Savings</t>
  </si>
  <si>
    <t>Annual Additional Benefits</t>
  </si>
  <si>
    <t>Annual O &amp;M</t>
  </si>
  <si>
    <t>Alternative A</t>
  </si>
  <si>
    <t>Alternative B</t>
  </si>
  <si>
    <t>N</t>
  </si>
  <si>
    <t>i</t>
  </si>
  <si>
    <t xml:space="preserve">(P/A,10%,50)= </t>
  </si>
  <si>
    <t>B</t>
  </si>
  <si>
    <t>C'</t>
  </si>
  <si>
    <t>I</t>
  </si>
  <si>
    <t>I+C'</t>
  </si>
  <si>
    <t>BCR</t>
  </si>
  <si>
    <t>Accept</t>
  </si>
  <si>
    <t>&gt;1</t>
  </si>
  <si>
    <t>b. Select the best alternative on the basis of BCR</t>
  </si>
  <si>
    <t>a.</t>
  </si>
  <si>
    <t>J</t>
  </si>
  <si>
    <t>K</t>
  </si>
  <si>
    <r>
      <t>BCR(i)</t>
    </r>
    <r>
      <rPr>
        <vertAlign val="subscript"/>
        <sz val="11"/>
        <color theme="1"/>
        <rFont val="Calibri"/>
        <family val="2"/>
        <scheme val="minor"/>
      </rPr>
      <t>B−A</t>
    </r>
    <r>
      <rPr>
        <sz val="11"/>
        <color theme="1"/>
        <rFont val="Calibri"/>
        <family val="2"/>
        <scheme val="minor"/>
      </rPr>
      <t>=(B</t>
    </r>
    <r>
      <rPr>
        <vertAlign val="subscript"/>
        <sz val="11"/>
        <color theme="1"/>
        <rFont val="Calibri"/>
        <family val="2"/>
        <scheme val="minor"/>
      </rPr>
      <t>B</t>
    </r>
    <r>
      <rPr>
        <sz val="11"/>
        <color theme="1"/>
        <rFont val="Calibri"/>
        <family val="2"/>
        <scheme val="minor"/>
      </rPr>
      <t>−B</t>
    </r>
    <r>
      <rPr>
        <vertAlign val="subscript"/>
        <sz val="11"/>
        <color theme="1"/>
        <rFont val="Calibri"/>
        <family val="2"/>
        <scheme val="minor"/>
      </rPr>
      <t>A</t>
    </r>
    <r>
      <rPr>
        <sz val="11"/>
        <color theme="1"/>
        <rFont val="Calibri"/>
        <family val="2"/>
        <scheme val="minor"/>
      </rPr>
      <t>)/(I+C')</t>
    </r>
    <r>
      <rPr>
        <vertAlign val="subscript"/>
        <sz val="11"/>
        <color theme="1"/>
        <rFont val="Calibri"/>
        <family val="2"/>
        <scheme val="minor"/>
      </rPr>
      <t>B</t>
    </r>
    <r>
      <rPr>
        <sz val="11"/>
        <color theme="1"/>
        <rFont val="Calibri"/>
        <family val="2"/>
        <scheme val="minor"/>
      </rPr>
      <t>−(I+C')</t>
    </r>
    <r>
      <rPr>
        <vertAlign val="subscript"/>
        <sz val="11"/>
        <color theme="1"/>
        <rFont val="Calibri"/>
        <family val="2"/>
        <scheme val="minor"/>
      </rPr>
      <t>A</t>
    </r>
  </si>
  <si>
    <t>=2.161</t>
  </si>
  <si>
    <r>
      <t>So choose Alternative B as its BCR</t>
    </r>
    <r>
      <rPr>
        <sz val="8"/>
        <color theme="1"/>
        <rFont val="Calibri"/>
        <family val="2"/>
        <scheme val="minor"/>
      </rPr>
      <t>B-A&gt;</t>
    </r>
    <r>
      <rPr>
        <sz val="11"/>
        <color theme="1"/>
        <rFont val="Calibri"/>
        <family val="2"/>
        <scheme val="minor"/>
      </rPr>
      <t>1</t>
    </r>
  </si>
  <si>
    <t>A capsule-filler acquired in the beginning of the fiscal year at a cost of $74,000 has an estimated salvage value of $5,500 and an estimated useful life of 5 years. Determine</t>
  </si>
  <si>
    <t>Question 9</t>
  </si>
  <si>
    <t>a)</t>
  </si>
  <si>
    <t>The amount of annual depreciation by straight line method</t>
  </si>
  <si>
    <t>S</t>
  </si>
  <si>
    <t>α</t>
  </si>
  <si>
    <r>
      <t>BV</t>
    </r>
    <r>
      <rPr>
        <sz val="8"/>
        <color theme="1"/>
        <rFont val="Calibri"/>
        <family val="2"/>
        <scheme val="minor"/>
      </rPr>
      <t>n-1</t>
    </r>
  </si>
  <si>
    <r>
      <t>D</t>
    </r>
    <r>
      <rPr>
        <sz val="8"/>
        <color theme="1"/>
        <rFont val="Calibri"/>
        <family val="2"/>
        <scheme val="minor"/>
      </rPr>
      <t>n</t>
    </r>
  </si>
  <si>
    <r>
      <t>BV</t>
    </r>
    <r>
      <rPr>
        <sz val="8"/>
        <color theme="1"/>
        <rFont val="Calibri"/>
        <family val="2"/>
        <scheme val="minor"/>
      </rPr>
      <t>n</t>
    </r>
  </si>
  <si>
    <t>n</t>
  </si>
  <si>
    <t>b)</t>
  </si>
  <si>
    <t>The amount of annual depreciation using the DDB method</t>
  </si>
  <si>
    <t>Find the EUAC for a chemical refining machine whose initial investment is $70,000, the annual expense incurred is $44,000 and the salvage value is $6,000. The annual revenue generated from the machine is $60,000. Use MARR of 20% and the useful life of the machine to be 10 years.</t>
  </si>
  <si>
    <t>Question 6</t>
  </si>
  <si>
    <t>A</t>
  </si>
  <si>
    <t>Revenue</t>
  </si>
  <si>
    <t>MARR</t>
  </si>
  <si>
    <t>EUAC=</t>
  </si>
  <si>
    <t>CR=</t>
  </si>
  <si>
    <t>Question 4</t>
  </si>
  <si>
    <t>Money is rather tight this month, and so you decide to borrow $500 from your local loan shark. He is willing to lend you the money if you repay him $550 a month later.</t>
  </si>
  <si>
    <t>PV</t>
  </si>
  <si>
    <t>FV</t>
  </si>
  <si>
    <t>What is the nominal annual interest rate that you are being charged?</t>
  </si>
  <si>
    <r>
      <t>i</t>
    </r>
    <r>
      <rPr>
        <sz val="8"/>
        <color theme="1"/>
        <rFont val="Calibri"/>
        <family val="2"/>
        <scheme val="minor"/>
      </rPr>
      <t>m</t>
    </r>
  </si>
  <si>
    <t>M</t>
  </si>
  <si>
    <t>Periodic Interest rate</t>
  </si>
  <si>
    <r>
      <t>i</t>
    </r>
    <r>
      <rPr>
        <sz val="8"/>
        <color theme="1"/>
        <rFont val="Calibri"/>
        <family val="2"/>
        <scheme val="minor"/>
      </rPr>
      <t>m=</t>
    </r>
    <r>
      <rPr>
        <sz val="11"/>
        <color theme="1"/>
        <rFont val="Calibri"/>
        <family val="2"/>
        <scheme val="minor"/>
      </rPr>
      <t>r/M</t>
    </r>
  </si>
  <si>
    <t>r=</t>
  </si>
  <si>
    <t>or 120%</t>
  </si>
  <si>
    <t>Nominal Interst rate</t>
  </si>
  <si>
    <t>What is the effective annual interest rate that you are being charged? Assume monthly compounding</t>
  </si>
  <si>
    <t>Effective Interest Rate</t>
  </si>
  <si>
    <r>
      <t>i</t>
    </r>
    <r>
      <rPr>
        <sz val="8"/>
        <color theme="1"/>
        <rFont val="Calibri"/>
        <family val="2"/>
        <scheme val="minor"/>
      </rPr>
      <t>a=</t>
    </r>
    <r>
      <rPr>
        <sz val="11"/>
        <color theme="1"/>
        <rFont val="Calibri"/>
        <family val="2"/>
        <scheme val="minor"/>
      </rPr>
      <t>(1+(r/M)^M)-1</t>
    </r>
  </si>
  <si>
    <r>
      <t>i</t>
    </r>
    <r>
      <rPr>
        <sz val="8"/>
        <color theme="1"/>
        <rFont val="Calibri"/>
        <family val="2"/>
        <scheme val="minor"/>
      </rPr>
      <t>a</t>
    </r>
  </si>
  <si>
    <t>or 213%</t>
  </si>
  <si>
    <t>Question 5</t>
  </si>
  <si>
    <t>Your company is planning to purchase a new machine for their drug development process. They are toying between two alternatives – A and B. Listed below are the economic details of the alternatives,</t>
  </si>
  <si>
    <t>Annual Revenue</t>
  </si>
  <si>
    <t>Annual Expenses</t>
  </si>
  <si>
    <t>Salvage Value</t>
  </si>
  <si>
    <t>Interest rate</t>
  </si>
  <si>
    <t>Time Period</t>
  </si>
  <si>
    <t>Initial Investment P</t>
  </si>
  <si>
    <t>Effective A</t>
  </si>
  <si>
    <t>PW</t>
  </si>
  <si>
    <t>AW</t>
  </si>
  <si>
    <t>FW</t>
  </si>
  <si>
    <t>Question 1</t>
  </si>
  <si>
    <t>Your company is planning to purchase a new machine for label manufacturing. The initial investment required for this is $45,000. The machine will yield $1,200 in revenue annually for 10 years while an O &amp; M expense of $400 is required every year of the machine’s life. The machine is resold for $12,000 at the end of 10 years.</t>
  </si>
  <si>
    <t>Draw the cash flow diagram. Assume the EOP discrete cash flows.</t>
  </si>
  <si>
    <t>P</t>
  </si>
  <si>
    <t>Revenue A</t>
  </si>
  <si>
    <t>Investment P</t>
  </si>
  <si>
    <t>O&amp;M</t>
  </si>
  <si>
    <t>Salvage S</t>
  </si>
  <si>
    <t>Question 2</t>
  </si>
  <si>
    <t>You plan to buy a $400,000 home with a 10% down payment. The bank you want to finance the loan suggests two options: a 20 year mortgage at 12% APR and a 30 year mortgage at 10% APR. What is the difference in monthly payments (for the first 20 years) between these two options?</t>
  </si>
  <si>
    <t>APR</t>
  </si>
  <si>
    <t>A1</t>
  </si>
  <si>
    <t>A2</t>
  </si>
  <si>
    <t>Option 1</t>
  </si>
  <si>
    <t>Option 2</t>
  </si>
  <si>
    <t>Question 3</t>
  </si>
  <si>
    <t>Bob Pearson borrowed $30,000 from a bank for a new pharmaceutical project at an interest rate of 10% compounded monthly. The loan will be repaid in 36 monthly installments over three years. Immediately after his 20th payment, Bob desires to pay the remainder of the loan in a single payment. Compute the single payment amount he must pay after his 20th payment</t>
  </si>
  <si>
    <t>Question 10</t>
  </si>
  <si>
    <t>A machine is to be purchased for $90,000. The entire amount is to be borrowed with the stipulation that it has to be repaid at the end of two years, which is the life of the project, at 15% compounded annually. The machine is expected to provide an annual revenue of $9,500 and is to be depreciated using a MACRS rate of 0.45 in year 1, 0.55 in year 2. The cash expense for the machine is $650 per year. The working capital required is $22,000 and is fully recovered at the end of year 2. The salvage value of the machine at the end of the second year is expected to be $6,500. Assume an income tax rate of 40% and a MARR of 20%. Based on the data provided above, determine the following</t>
  </si>
  <si>
    <t>A loan amortization table determining the principal payment, the interest expenses and the annual payment</t>
  </si>
  <si>
    <t>AE</t>
  </si>
  <si>
    <t>Year</t>
  </si>
  <si>
    <t>Beginning Balance</t>
  </si>
  <si>
    <t>Interest Payment</t>
  </si>
  <si>
    <t>Principal Payment</t>
  </si>
  <si>
    <t>Annual Payment</t>
  </si>
  <si>
    <t>A depreciation table using the depreciation rate provided in the problem.</t>
  </si>
  <si>
    <t>Starting Book Value</t>
  </si>
  <si>
    <t>MACRS</t>
  </si>
  <si>
    <t>2 Years MACRS</t>
  </si>
  <si>
    <t>c)</t>
  </si>
  <si>
    <t>The capital gain / loss of the machine at the end of year 2</t>
  </si>
  <si>
    <t>S&gt;BV</t>
  </si>
  <si>
    <t>So</t>
  </si>
  <si>
    <t>Taxable Gain = S - BV =</t>
  </si>
  <si>
    <t>Hence Gain</t>
  </si>
  <si>
    <t>at 40%</t>
  </si>
  <si>
    <t>d)</t>
  </si>
  <si>
    <t>Using the information given and the calculated values in parts a, b and c, determine the after tax cash flow for the project:</t>
  </si>
  <si>
    <t>Income statement</t>
  </si>
  <si>
    <t>Expenses:</t>
  </si>
  <si>
    <t>Cash expenses</t>
  </si>
  <si>
    <t>Depreciation</t>
  </si>
  <si>
    <t>Taxable Income</t>
  </si>
  <si>
    <t>Net Income</t>
  </si>
  <si>
    <t>Income Taxes  40%</t>
  </si>
  <si>
    <t>Operating Activities</t>
  </si>
  <si>
    <t>Investment Activities</t>
  </si>
  <si>
    <t>Investment</t>
  </si>
  <si>
    <t>Salvage</t>
  </si>
  <si>
    <t>Gains Tax</t>
  </si>
  <si>
    <t>Financing Activities</t>
  </si>
  <si>
    <t>Borrowed Funds</t>
  </si>
  <si>
    <t xml:space="preserve">Repayment </t>
  </si>
  <si>
    <t>Net Cash Flow</t>
  </si>
  <si>
    <t>Working Capital</t>
  </si>
  <si>
    <t>As PW&lt;0,  the Project is not a good investment and so is not justifiable at MARR=20%</t>
  </si>
  <si>
    <t>IRR</t>
  </si>
  <si>
    <t xml:space="preserve">As net cash flow or P is non negative value, the IRR function is showing an error </t>
  </si>
  <si>
    <t>BV5&gt;S means that the entire cost of asset has not been depreciated and will not fully benefit from the tax deferring benefits</t>
  </si>
  <si>
    <t>=-P+A(P/A,I,N)+F(P/F,I,N)</t>
  </si>
  <si>
    <t>=-400000+45000(P/A,12,10)+100000(P/F,12,10)</t>
  </si>
  <si>
    <t>=-113542</t>
  </si>
  <si>
    <t>=-P(A/P,i,N)+A+F(A/F,i,N)</t>
  </si>
  <si>
    <t>=-400000(A/P,12,10)+45000+100000(A/F,i12,10)</t>
  </si>
  <si>
    <t>=-20096</t>
  </si>
  <si>
    <t>=-P(F/P,I,N)+A(F/A,I,N)+F</t>
  </si>
  <si>
    <t>=-400000(F/P,12,10)+45000(F/A,12,10)+100000</t>
  </si>
  <si>
    <t>=-352632</t>
  </si>
  <si>
    <t>=-P+A(P/A,i,N)+F(P/F,i,N)</t>
  </si>
  <si>
    <t>=-420000+30000(P/A,12,10)+140000(P/F,12,10)</t>
  </si>
  <si>
    <t>=-205414</t>
  </si>
  <si>
    <t>=-420000(A/P,12,10)+30000+140000(A/F,12,10)</t>
  </si>
  <si>
    <t>=-36358</t>
  </si>
  <si>
    <t>=-420000(F/P,12,10)+30000(F/A,12,10)+140000</t>
  </si>
  <si>
    <t>As Alternative A's PW &lt; Alternative B's PW, so Alternative A is a better option</t>
  </si>
  <si>
    <t>=-637980</t>
  </si>
  <si>
    <t>Question 7</t>
  </si>
  <si>
    <t>Your company is looking into automating its payroll system, therefore needing fewer personnel as a result. The details are noted below:</t>
  </si>
  <si>
    <t>Yearly Savings</t>
  </si>
  <si>
    <t>Service Life</t>
  </si>
  <si>
    <t>180000/year</t>
  </si>
  <si>
    <t>Effective A = 800</t>
  </si>
  <si>
    <t>Guess 1</t>
  </si>
  <si>
    <t>-P+ A(P/A,I,N)+F(P/F,I,N)</t>
  </si>
  <si>
    <t>-650000+180000(P/A,20%,8)</t>
  </si>
  <si>
    <t>-650000+180000(P/A,25%,8)</t>
  </si>
  <si>
    <t>Guess 2</t>
  </si>
  <si>
    <t>=-50798</t>
  </si>
  <si>
    <t>y1=20%</t>
  </si>
  <si>
    <t>i*y</t>
  </si>
  <si>
    <t>x=0</t>
  </si>
  <si>
    <t>y=25%</t>
  </si>
  <si>
    <t>=40696</t>
  </si>
  <si>
    <t>x1= 40696</t>
  </si>
  <si>
    <t>x2= -50798</t>
  </si>
  <si>
    <t>y= y1 + [(x-x1) (y2-y1)]/(x2-x1)</t>
  </si>
  <si>
    <t>y= 20%+[(0-40696)(25%-20%)/(-50798-40696)</t>
  </si>
  <si>
    <t>y=20% + 2.224%</t>
  </si>
  <si>
    <t>IRR = 22.22%</t>
  </si>
  <si>
    <t>i=20%</t>
  </si>
  <si>
    <t>i=25%</t>
  </si>
  <si>
    <t>I-S)(A/P,i,N)+Is</t>
  </si>
  <si>
    <t>I-S</t>
  </si>
  <si>
    <t>(A/P,i,N)</t>
  </si>
  <si>
    <t>Is</t>
  </si>
  <si>
    <t>CR</t>
  </si>
  <si>
    <t>Price</t>
  </si>
  <si>
    <t>Monthly payment</t>
  </si>
  <si>
    <t>Monthly Payment</t>
  </si>
  <si>
    <t>Therefore, difference=</t>
  </si>
  <si>
    <t>10% Monthly Compounding</t>
  </si>
  <si>
    <t>Single amount to be paid after 20th payment</t>
  </si>
  <si>
    <t>S=12000</t>
  </si>
  <si>
    <t>I=45000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</si>
</sst>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6" formatCode="&quot;$&quot;#,##0_);[Red]\(&quot;$&quot;#,##0\)"/>
    <numFmt numFmtId="8" formatCode="&quot;$&quot;#,##0.00_);[Red]\(&quot;$&quot;#,##0.00\)"/>
    <numFmt numFmtId="43" formatCode="_(* #,##0.00_);_(* \(#,##0.00\);_(* &quot;-&quot;??_);_(@_)"/>
    <numFmt numFmtId="164" formatCode="0.000000000"/>
    <numFmt numFmtId="165" formatCode="0.0000000000"/>
    <numFmt numFmtId="166" formatCode="&quot;$&quot;#,##0.0_);[Red]\(&quot;$&quot;#,##0.0\)"/>
  </numFmts>
  <fonts count="7" x14ac:knownFonts="1">
    <font>
      <sz val="11"/>
      <color theme="1"/>
      <name val="Calibri"/>
      <family val="2"/>
      <scheme val="minor"/>
    </font>
    <font>
      <sz val="11"/>
      <color theme="1"/>
      <name val="Calibri"/>
      <family val="2"/>
      <scheme val="minor"/>
    </font>
    <font>
      <b/>
      <sz val="11"/>
      <color theme="1"/>
      <name val="Calibri"/>
      <family val="2"/>
      <scheme val="minor"/>
    </font>
    <font>
      <sz val="8"/>
      <color theme="1"/>
      <name val="Calibri"/>
      <family val="2"/>
      <scheme val="minor"/>
    </font>
    <font>
      <vertAlign val="subscript"/>
      <sz val="11"/>
      <color theme="1"/>
      <name val="Calibri"/>
      <family val="2"/>
      <scheme val="minor"/>
    </font>
    <font>
      <sz val="11"/>
      <name val="Calibri"/>
      <family val="2"/>
      <scheme val="minor"/>
    </font>
    <font>
      <sz val="12"/>
      <color theme="1"/>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theme="2" tint="-0.249977111117893"/>
        <bgColor indexed="64"/>
      </patternFill>
    </fill>
    <fill>
      <patternFill patternType="solid">
        <fgColor theme="9" tint="0.39997558519241921"/>
        <bgColor indexed="64"/>
      </patternFill>
    </fill>
    <fill>
      <patternFill patternType="solid">
        <fgColor theme="4" tint="-0.2499771111178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5">
    <xf numFmtId="0" fontId="0" fillId="0" borderId="0"/>
    <xf numFmtId="9" fontId="1" fillId="0" borderId="0" applyFont="0" applyFill="0" applyBorder="0" applyAlignment="0" applyProtection="0"/>
    <xf numFmtId="0" fontId="6" fillId="0" borderId="0"/>
    <xf numFmtId="9" fontId="6" fillId="0" borderId="0" applyFont="0" applyFill="0" applyBorder="0" applyAlignment="0" applyProtection="0"/>
    <xf numFmtId="43" fontId="6" fillId="0" borderId="0" applyFont="0" applyFill="0" applyBorder="0" applyAlignment="0" applyProtection="0"/>
  </cellStyleXfs>
  <cellXfs count="77">
    <xf numFmtId="0" fontId="0" fillId="0" borderId="0" xfId="0"/>
    <xf numFmtId="9" fontId="0" fillId="0" borderId="0" xfId="0" applyNumberFormat="1"/>
    <xf numFmtId="0" fontId="0" fillId="0" borderId="0" xfId="0" quotePrefix="1"/>
    <xf numFmtId="0" fontId="0" fillId="2" borderId="0" xfId="0" applyFill="1"/>
    <xf numFmtId="0" fontId="0" fillId="0" borderId="1" xfId="0" applyBorder="1" applyAlignment="1">
      <alignment horizontal="center"/>
    </xf>
    <xf numFmtId="0" fontId="0" fillId="2" borderId="1" xfId="0" applyFill="1" applyBorder="1" applyAlignment="1">
      <alignment horizontal="right"/>
    </xf>
    <xf numFmtId="0" fontId="0" fillId="0" borderId="1" xfId="0" applyBorder="1"/>
    <xf numFmtId="0" fontId="0" fillId="2" borderId="1" xfId="0" applyFill="1" applyBorder="1"/>
    <xf numFmtId="0" fontId="0" fillId="0" borderId="0" xfId="0" applyAlignment="1">
      <alignment horizontal="center"/>
    </xf>
    <xf numFmtId="9" fontId="0" fillId="0" borderId="1" xfId="0" applyNumberFormat="1" applyBorder="1"/>
    <xf numFmtId="0" fontId="0" fillId="2" borderId="0" xfId="0" applyFill="1" applyAlignment="1">
      <alignment horizontal="center"/>
    </xf>
    <xf numFmtId="0" fontId="0" fillId="2" borderId="0" xfId="0" quotePrefix="1" applyFill="1"/>
    <xf numFmtId="8" fontId="0" fillId="0" borderId="0" xfId="0" applyNumberFormat="1"/>
    <xf numFmtId="164" fontId="0" fillId="0" borderId="0" xfId="0" applyNumberFormat="1"/>
    <xf numFmtId="165" fontId="0" fillId="0" borderId="0" xfId="0" applyNumberFormat="1"/>
    <xf numFmtId="0" fontId="2" fillId="0" borderId="0" xfId="0" applyFont="1"/>
    <xf numFmtId="8" fontId="0" fillId="0" borderId="1" xfId="0" applyNumberFormat="1" applyBorder="1"/>
    <xf numFmtId="166" fontId="0" fillId="0" borderId="1" xfId="0" applyNumberFormat="1" applyBorder="1"/>
    <xf numFmtId="166" fontId="0" fillId="2" borderId="1" xfId="0" applyNumberFormat="1" applyFill="1" applyBorder="1"/>
    <xf numFmtId="8" fontId="0" fillId="2" borderId="1" xfId="0" applyNumberFormat="1" applyFill="1" applyBorder="1"/>
    <xf numFmtId="0" fontId="0" fillId="0" borderId="1" xfId="0" applyFont="1" applyFill="1" applyBorder="1"/>
    <xf numFmtId="0" fontId="0" fillId="0" borderId="1" xfId="0" applyFont="1" applyFill="1" applyBorder="1" applyAlignment="1">
      <alignment horizontal="center"/>
    </xf>
    <xf numFmtId="6" fontId="0" fillId="0" borderId="1" xfId="0" applyNumberFormat="1" applyFont="1" applyFill="1" applyBorder="1"/>
    <xf numFmtId="8" fontId="0" fillId="0" borderId="1" xfId="0" applyNumberFormat="1" applyFont="1" applyFill="1" applyBorder="1"/>
    <xf numFmtId="166" fontId="0" fillId="0" borderId="1" xfId="0" applyNumberFormat="1" applyFont="1" applyFill="1" applyBorder="1"/>
    <xf numFmtId="8" fontId="2" fillId="0" borderId="0" xfId="0" applyNumberFormat="1" applyFont="1"/>
    <xf numFmtId="0" fontId="0" fillId="3" borderId="1" xfId="0" applyFill="1" applyBorder="1"/>
    <xf numFmtId="0" fontId="2" fillId="2" borderId="1" xfId="0" applyFont="1" applyFill="1" applyBorder="1"/>
    <xf numFmtId="166" fontId="0" fillId="0" borderId="1" xfId="0" applyNumberFormat="1" applyFill="1" applyBorder="1"/>
    <xf numFmtId="0" fontId="5" fillId="0" borderId="1" xfId="0" applyFont="1" applyBorder="1"/>
    <xf numFmtId="9" fontId="2" fillId="2" borderId="1" xfId="0" applyNumberFormat="1" applyFont="1" applyFill="1" applyBorder="1"/>
    <xf numFmtId="166" fontId="0" fillId="0" borderId="0" xfId="0" applyNumberFormat="1" applyBorder="1"/>
    <xf numFmtId="8" fontId="0" fillId="0" borderId="0" xfId="0" applyNumberFormat="1" applyBorder="1"/>
    <xf numFmtId="0" fontId="0" fillId="0" borderId="1" xfId="0" quotePrefix="1" applyBorder="1"/>
    <xf numFmtId="9" fontId="0" fillId="0" borderId="1" xfId="1" applyFont="1" applyBorder="1"/>
    <xf numFmtId="1" fontId="0" fillId="0" borderId="1" xfId="1" applyNumberFormat="1" applyFont="1" applyBorder="1"/>
    <xf numFmtId="0" fontId="0" fillId="0" borderId="0" xfId="0" applyBorder="1"/>
    <xf numFmtId="0" fontId="1" fillId="0" borderId="0" xfId="2" applyFont="1"/>
    <xf numFmtId="1" fontId="1" fillId="0" borderId="0" xfId="2" quotePrefix="1" applyNumberFormat="1" applyFont="1"/>
    <xf numFmtId="0" fontId="1" fillId="0" borderId="0" xfId="0" applyFont="1"/>
    <xf numFmtId="1" fontId="1" fillId="0" borderId="0" xfId="2" quotePrefix="1" applyNumberFormat="1" applyFont="1" applyBorder="1"/>
    <xf numFmtId="0" fontId="1" fillId="0" borderId="0" xfId="2" applyFont="1" applyBorder="1"/>
    <xf numFmtId="0" fontId="1" fillId="0" borderId="0" xfId="0" applyFont="1" applyBorder="1"/>
    <xf numFmtId="1" fontId="1" fillId="0" borderId="0" xfId="2" quotePrefix="1" applyNumberFormat="1" applyFont="1" applyFill="1" applyBorder="1"/>
    <xf numFmtId="0" fontId="2" fillId="0" borderId="0" xfId="2" applyFont="1" applyFill="1" applyBorder="1"/>
    <xf numFmtId="0" fontId="1" fillId="0" borderId="0" xfId="0" applyFont="1" applyFill="1" applyBorder="1"/>
    <xf numFmtId="0" fontId="0" fillId="0" borderId="0" xfId="2" applyFont="1" applyAlignment="1">
      <alignment horizontal="left"/>
    </xf>
    <xf numFmtId="0" fontId="1" fillId="0" borderId="0" xfId="2" applyFont="1" applyFill="1" applyBorder="1" applyAlignment="1">
      <alignment horizontal="left"/>
    </xf>
    <xf numFmtId="0" fontId="1" fillId="0" borderId="1" xfId="2" applyFont="1" applyBorder="1" applyAlignment="1">
      <alignment horizontal="left"/>
    </xf>
    <xf numFmtId="0" fontId="0" fillId="0" borderId="1" xfId="2" applyFont="1" applyBorder="1" applyAlignment="1">
      <alignment horizontal="left"/>
    </xf>
    <xf numFmtId="0" fontId="1" fillId="0" borderId="0" xfId="2" applyFont="1" applyAlignment="1">
      <alignment horizontal="left"/>
    </xf>
    <xf numFmtId="0" fontId="1" fillId="2" borderId="0" xfId="2" applyFont="1" applyFill="1" applyBorder="1" applyAlignment="1">
      <alignment horizontal="left"/>
    </xf>
    <xf numFmtId="0" fontId="0" fillId="0" borderId="0" xfId="0" applyFill="1" applyAlignment="1">
      <alignment horizontal="center"/>
    </xf>
    <xf numFmtId="0" fontId="2" fillId="0" borderId="0" xfId="0" applyFont="1" applyFill="1" applyBorder="1" applyAlignment="1">
      <alignment horizontal="center"/>
    </xf>
    <xf numFmtId="0" fontId="0" fillId="0" borderId="0" xfId="0" applyFill="1" applyBorder="1"/>
    <xf numFmtId="0" fontId="0" fillId="0" borderId="0" xfId="0" applyFill="1" applyBorder="1" applyAlignment="1">
      <alignment horizontal="left"/>
    </xf>
    <xf numFmtId="0" fontId="6" fillId="0" borderId="0" xfId="2"/>
    <xf numFmtId="0" fontId="6" fillId="0" borderId="0" xfId="2" applyBorder="1"/>
    <xf numFmtId="0" fontId="6" fillId="0" borderId="2" xfId="2" applyBorder="1"/>
    <xf numFmtId="0" fontId="6" fillId="0" borderId="3" xfId="2" applyBorder="1"/>
    <xf numFmtId="0" fontId="6" fillId="0" borderId="0" xfId="2" applyAlignment="1">
      <alignment horizontal="left"/>
    </xf>
    <xf numFmtId="0" fontId="2" fillId="0" borderId="0" xfId="2" applyFont="1" applyBorder="1" applyAlignment="1">
      <alignment horizontal="center"/>
    </xf>
    <xf numFmtId="0" fontId="6" fillId="4" borderId="0" xfId="2" applyFill="1" applyAlignment="1"/>
    <xf numFmtId="0" fontId="6" fillId="4" borderId="0" xfId="2" applyFill="1" applyBorder="1" applyAlignment="1"/>
    <xf numFmtId="0" fontId="6" fillId="5" borderId="4" xfId="2" applyFill="1" applyBorder="1" applyAlignment="1"/>
    <xf numFmtId="0" fontId="6" fillId="5" borderId="4" xfId="2" applyFill="1" applyBorder="1" applyAlignment="1">
      <alignment horizontal="center"/>
    </xf>
    <xf numFmtId="0" fontId="6" fillId="6" borderId="0" xfId="2" applyFill="1"/>
    <xf numFmtId="0" fontId="1" fillId="0" borderId="2" xfId="2" applyFont="1" applyBorder="1"/>
    <xf numFmtId="0" fontId="1" fillId="4" borderId="0" xfId="2" applyFont="1" applyFill="1" applyAlignment="1"/>
    <xf numFmtId="0" fontId="1" fillId="5" borderId="4" xfId="2" applyFont="1" applyFill="1" applyBorder="1" applyAlignment="1">
      <alignment horizontal="right"/>
    </xf>
    <xf numFmtId="0" fontId="1" fillId="6" borderId="5" xfId="2" applyFont="1" applyFill="1" applyBorder="1" applyAlignment="1">
      <alignment horizontal="right"/>
    </xf>
    <xf numFmtId="0" fontId="2" fillId="0" borderId="0" xfId="0" applyFont="1" applyBorder="1"/>
    <xf numFmtId="0" fontId="0" fillId="2" borderId="0" xfId="0" applyFill="1" applyBorder="1"/>
    <xf numFmtId="8" fontId="0" fillId="2" borderId="0" xfId="0" applyNumberFormat="1" applyFill="1" applyBorder="1"/>
    <xf numFmtId="3" fontId="0" fillId="0" borderId="1" xfId="0" applyNumberFormat="1" applyBorder="1"/>
    <xf numFmtId="8" fontId="0" fillId="2" borderId="0" xfId="0" applyNumberFormat="1" applyFill="1"/>
    <xf numFmtId="0" fontId="0" fillId="0" borderId="0" xfId="2" applyFont="1"/>
  </cellXfs>
  <cellStyles count="5">
    <cellStyle name="Comma 2" xfId="4"/>
    <cellStyle name="Normal" xfId="0" builtinId="0"/>
    <cellStyle name="Normal 2" xfId="2"/>
    <cellStyle name="Percent" xfId="1" builtinId="5"/>
    <cellStyle name="Percent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7</xdr:col>
      <xdr:colOff>9525</xdr:colOff>
      <xdr:row>16</xdr:row>
      <xdr:rowOff>104775</xdr:rowOff>
    </xdr:from>
    <xdr:to>
      <xdr:col>7</xdr:col>
      <xdr:colOff>9525</xdr:colOff>
      <xdr:row>21</xdr:row>
      <xdr:rowOff>28574</xdr:rowOff>
    </xdr:to>
    <xdr:cxnSp macro="">
      <xdr:nvCxnSpPr>
        <xdr:cNvPr id="5" name="Straight Arrow Connector 4"/>
        <xdr:cNvCxnSpPr/>
      </xdr:nvCxnSpPr>
      <xdr:spPr>
        <a:xfrm flipV="1">
          <a:off x="4514850" y="3162300"/>
          <a:ext cx="0" cy="914399"/>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8</xdr:col>
      <xdr:colOff>0</xdr:colOff>
      <xdr:row>16</xdr:row>
      <xdr:rowOff>76200</xdr:rowOff>
    </xdr:from>
    <xdr:to>
      <xdr:col>8</xdr:col>
      <xdr:colOff>0</xdr:colOff>
      <xdr:row>20</xdr:row>
      <xdr:rowOff>200024</xdr:rowOff>
    </xdr:to>
    <xdr:cxnSp macro="">
      <xdr:nvCxnSpPr>
        <xdr:cNvPr id="6" name="Straight Arrow Connector 5"/>
        <xdr:cNvCxnSpPr/>
      </xdr:nvCxnSpPr>
      <xdr:spPr>
        <a:xfrm flipV="1">
          <a:off x="5114925" y="3133725"/>
          <a:ext cx="0" cy="914399"/>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9</xdr:col>
      <xdr:colOff>0</xdr:colOff>
      <xdr:row>16</xdr:row>
      <xdr:rowOff>85725</xdr:rowOff>
    </xdr:from>
    <xdr:to>
      <xdr:col>9</xdr:col>
      <xdr:colOff>0</xdr:colOff>
      <xdr:row>21</xdr:row>
      <xdr:rowOff>9524</xdr:rowOff>
    </xdr:to>
    <xdr:cxnSp macro="">
      <xdr:nvCxnSpPr>
        <xdr:cNvPr id="7" name="Straight Arrow Connector 6"/>
        <xdr:cNvCxnSpPr/>
      </xdr:nvCxnSpPr>
      <xdr:spPr>
        <a:xfrm flipV="1">
          <a:off x="5724525" y="3143250"/>
          <a:ext cx="0" cy="914399"/>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9</xdr:col>
      <xdr:colOff>600075</xdr:colOff>
      <xdr:row>16</xdr:row>
      <xdr:rowOff>85725</xdr:rowOff>
    </xdr:from>
    <xdr:to>
      <xdr:col>9</xdr:col>
      <xdr:colOff>600075</xdr:colOff>
      <xdr:row>21</xdr:row>
      <xdr:rowOff>9524</xdr:rowOff>
    </xdr:to>
    <xdr:cxnSp macro="">
      <xdr:nvCxnSpPr>
        <xdr:cNvPr id="8" name="Straight Arrow Connector 7"/>
        <xdr:cNvCxnSpPr/>
      </xdr:nvCxnSpPr>
      <xdr:spPr>
        <a:xfrm flipV="1">
          <a:off x="6324600" y="3143250"/>
          <a:ext cx="0" cy="914399"/>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11</xdr:col>
      <xdr:colOff>0</xdr:colOff>
      <xdr:row>16</xdr:row>
      <xdr:rowOff>85725</xdr:rowOff>
    </xdr:from>
    <xdr:to>
      <xdr:col>11</xdr:col>
      <xdr:colOff>0</xdr:colOff>
      <xdr:row>21</xdr:row>
      <xdr:rowOff>9524</xdr:rowOff>
    </xdr:to>
    <xdr:cxnSp macro="">
      <xdr:nvCxnSpPr>
        <xdr:cNvPr id="9" name="Straight Arrow Connector 8"/>
        <xdr:cNvCxnSpPr/>
      </xdr:nvCxnSpPr>
      <xdr:spPr>
        <a:xfrm flipV="1">
          <a:off x="6943725" y="3143250"/>
          <a:ext cx="0" cy="914399"/>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12</xdr:col>
      <xdr:colOff>19050</xdr:colOff>
      <xdr:row>16</xdr:row>
      <xdr:rowOff>66675</xdr:rowOff>
    </xdr:from>
    <xdr:to>
      <xdr:col>12</xdr:col>
      <xdr:colOff>19050</xdr:colOff>
      <xdr:row>20</xdr:row>
      <xdr:rowOff>190499</xdr:rowOff>
    </xdr:to>
    <xdr:cxnSp macro="">
      <xdr:nvCxnSpPr>
        <xdr:cNvPr id="10" name="Straight Arrow Connector 9"/>
        <xdr:cNvCxnSpPr/>
      </xdr:nvCxnSpPr>
      <xdr:spPr>
        <a:xfrm flipV="1">
          <a:off x="7572375" y="3124200"/>
          <a:ext cx="0" cy="914399"/>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12</xdr:col>
      <xdr:colOff>590550</xdr:colOff>
      <xdr:row>16</xdr:row>
      <xdr:rowOff>85725</xdr:rowOff>
    </xdr:from>
    <xdr:to>
      <xdr:col>12</xdr:col>
      <xdr:colOff>590550</xdr:colOff>
      <xdr:row>21</xdr:row>
      <xdr:rowOff>9524</xdr:rowOff>
    </xdr:to>
    <xdr:cxnSp macro="">
      <xdr:nvCxnSpPr>
        <xdr:cNvPr id="11" name="Straight Arrow Connector 10"/>
        <xdr:cNvCxnSpPr/>
      </xdr:nvCxnSpPr>
      <xdr:spPr>
        <a:xfrm flipV="1">
          <a:off x="8143875" y="3143250"/>
          <a:ext cx="0" cy="914399"/>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13</xdr:col>
      <xdr:colOff>590550</xdr:colOff>
      <xdr:row>16</xdr:row>
      <xdr:rowOff>76200</xdr:rowOff>
    </xdr:from>
    <xdr:to>
      <xdr:col>13</xdr:col>
      <xdr:colOff>590550</xdr:colOff>
      <xdr:row>20</xdr:row>
      <xdr:rowOff>200024</xdr:rowOff>
    </xdr:to>
    <xdr:cxnSp macro="">
      <xdr:nvCxnSpPr>
        <xdr:cNvPr id="12" name="Straight Arrow Connector 11"/>
        <xdr:cNvCxnSpPr/>
      </xdr:nvCxnSpPr>
      <xdr:spPr>
        <a:xfrm flipV="1">
          <a:off x="8753475" y="3133725"/>
          <a:ext cx="0" cy="914399"/>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14</xdr:col>
      <xdr:colOff>600075</xdr:colOff>
      <xdr:row>16</xdr:row>
      <xdr:rowOff>95250</xdr:rowOff>
    </xdr:from>
    <xdr:to>
      <xdr:col>14</xdr:col>
      <xdr:colOff>600075</xdr:colOff>
      <xdr:row>21</xdr:row>
      <xdr:rowOff>19049</xdr:rowOff>
    </xdr:to>
    <xdr:cxnSp macro="">
      <xdr:nvCxnSpPr>
        <xdr:cNvPr id="13" name="Straight Arrow Connector 12"/>
        <xdr:cNvCxnSpPr/>
      </xdr:nvCxnSpPr>
      <xdr:spPr>
        <a:xfrm flipV="1">
          <a:off x="9372600" y="3152775"/>
          <a:ext cx="0" cy="914399"/>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16</xdr:col>
      <xdr:colOff>0</xdr:colOff>
      <xdr:row>16</xdr:row>
      <xdr:rowOff>76200</xdr:rowOff>
    </xdr:from>
    <xdr:to>
      <xdr:col>16</xdr:col>
      <xdr:colOff>0</xdr:colOff>
      <xdr:row>20</xdr:row>
      <xdr:rowOff>200024</xdr:rowOff>
    </xdr:to>
    <xdr:cxnSp macro="">
      <xdr:nvCxnSpPr>
        <xdr:cNvPr id="14" name="Straight Arrow Connector 13"/>
        <xdr:cNvCxnSpPr/>
      </xdr:nvCxnSpPr>
      <xdr:spPr>
        <a:xfrm flipV="1">
          <a:off x="9991725" y="3133725"/>
          <a:ext cx="0" cy="914399"/>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6</xdr:col>
      <xdr:colOff>0</xdr:colOff>
      <xdr:row>21</xdr:row>
      <xdr:rowOff>9525</xdr:rowOff>
    </xdr:from>
    <xdr:to>
      <xdr:col>6</xdr:col>
      <xdr:colOff>0</xdr:colOff>
      <xdr:row>26</xdr:row>
      <xdr:rowOff>114300</xdr:rowOff>
    </xdr:to>
    <xdr:cxnSp macro="">
      <xdr:nvCxnSpPr>
        <xdr:cNvPr id="15" name="Straight Arrow Connector 14"/>
        <xdr:cNvCxnSpPr/>
      </xdr:nvCxnSpPr>
      <xdr:spPr>
        <a:xfrm>
          <a:off x="3895725" y="4057650"/>
          <a:ext cx="0" cy="110490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topLeftCell="A16" zoomScaleNormal="100" workbookViewId="0">
      <selection activeCell="C22" sqref="C22"/>
    </sheetView>
  </sheetViews>
  <sheetFormatPr defaultRowHeight="15" x14ac:dyDescent="0.25"/>
  <cols>
    <col min="6" max="6" width="12.7109375" bestFit="1" customWidth="1"/>
    <col min="7" max="7" width="12.5703125" bestFit="1" customWidth="1"/>
  </cols>
  <sheetData>
    <row r="1" spans="1:8" x14ac:dyDescent="0.25">
      <c r="A1" t="s">
        <v>0</v>
      </c>
      <c r="C1" t="s">
        <v>1</v>
      </c>
    </row>
    <row r="2" spans="1:8" x14ac:dyDescent="0.25">
      <c r="A2" t="s">
        <v>21</v>
      </c>
      <c r="C2" s="6"/>
      <c r="D2" s="6"/>
      <c r="E2" s="6"/>
      <c r="F2" s="6" t="s">
        <v>8</v>
      </c>
      <c r="G2" s="6" t="s">
        <v>9</v>
      </c>
    </row>
    <row r="3" spans="1:8" x14ac:dyDescent="0.25">
      <c r="C3" s="6" t="s">
        <v>2</v>
      </c>
      <c r="D3" s="6"/>
      <c r="E3" s="6"/>
      <c r="F3" s="6">
        <v>12000000</v>
      </c>
      <c r="G3" s="6">
        <v>16000000</v>
      </c>
    </row>
    <row r="4" spans="1:8" x14ac:dyDescent="0.25">
      <c r="C4" s="6" t="s">
        <v>5</v>
      </c>
      <c r="D4" s="6"/>
      <c r="E4" s="6"/>
      <c r="F4" s="6">
        <v>450000</v>
      </c>
      <c r="G4" s="6">
        <v>600000</v>
      </c>
    </row>
    <row r="5" spans="1:8" x14ac:dyDescent="0.25">
      <c r="C5" s="6" t="s">
        <v>3</v>
      </c>
      <c r="D5" s="6"/>
      <c r="E5" s="6"/>
      <c r="F5" s="6">
        <v>490000</v>
      </c>
      <c r="G5" s="6">
        <v>680000</v>
      </c>
    </row>
    <row r="6" spans="1:8" x14ac:dyDescent="0.25">
      <c r="C6" s="6" t="s">
        <v>4</v>
      </c>
      <c r="D6" s="6"/>
      <c r="E6" s="6"/>
      <c r="F6" s="6">
        <v>220000</v>
      </c>
      <c r="G6" s="6">
        <v>390000</v>
      </c>
    </row>
    <row r="7" spans="1:8" x14ac:dyDescent="0.25">
      <c r="C7" s="6" t="s">
        <v>6</v>
      </c>
      <c r="D7" s="6"/>
      <c r="E7" s="6"/>
      <c r="F7" s="6">
        <v>1400000</v>
      </c>
      <c r="G7" s="6">
        <v>2000000</v>
      </c>
    </row>
    <row r="8" spans="1:8" x14ac:dyDescent="0.25">
      <c r="C8" s="6" t="s">
        <v>7</v>
      </c>
      <c r="D8" s="6"/>
      <c r="E8" s="6"/>
      <c r="F8" s="6">
        <v>320000</v>
      </c>
      <c r="G8" s="6">
        <v>430000</v>
      </c>
    </row>
    <row r="10" spans="1:8" x14ac:dyDescent="0.25">
      <c r="D10" s="6" t="s">
        <v>10</v>
      </c>
      <c r="E10" s="6">
        <v>50</v>
      </c>
      <c r="G10" t="s">
        <v>12</v>
      </c>
      <c r="H10">
        <v>9.9149999999999991</v>
      </c>
    </row>
    <row r="11" spans="1:8" x14ac:dyDescent="0.25">
      <c r="D11" s="6" t="s">
        <v>11</v>
      </c>
      <c r="E11" s="9">
        <v>0.1</v>
      </c>
    </row>
    <row r="13" spans="1:8" x14ac:dyDescent="0.25">
      <c r="E13" s="6" t="s">
        <v>13</v>
      </c>
      <c r="F13" s="6">
        <v>2560000</v>
      </c>
      <c r="G13" s="6">
        <v>3670000</v>
      </c>
    </row>
    <row r="14" spans="1:8" x14ac:dyDescent="0.25">
      <c r="E14" s="6" t="s">
        <v>14</v>
      </c>
      <c r="F14" s="6">
        <v>320000</v>
      </c>
      <c r="G14" s="6">
        <f>G8</f>
        <v>430000</v>
      </c>
    </row>
    <row r="15" spans="1:8" x14ac:dyDescent="0.25">
      <c r="E15" s="6" t="s">
        <v>15</v>
      </c>
      <c r="F15" s="6">
        <f>F3</f>
        <v>12000000</v>
      </c>
      <c r="G15" s="6">
        <f>G3</f>
        <v>16000000</v>
      </c>
    </row>
    <row r="18" spans="1:7" x14ac:dyDescent="0.25">
      <c r="E18" s="21"/>
      <c r="F18" s="6" t="s">
        <v>8</v>
      </c>
      <c r="G18" s="6" t="s">
        <v>9</v>
      </c>
    </row>
    <row r="19" spans="1:7" x14ac:dyDescent="0.25">
      <c r="E19" s="6" t="s">
        <v>13</v>
      </c>
      <c r="F19" s="6">
        <f>F13*H10</f>
        <v>25382399.999999996</v>
      </c>
      <c r="G19" s="6">
        <f>G13*H10</f>
        <v>36388050</v>
      </c>
    </row>
    <row r="20" spans="1:7" x14ac:dyDescent="0.25">
      <c r="E20" s="6" t="s">
        <v>15</v>
      </c>
      <c r="F20" s="6">
        <f>F15</f>
        <v>12000000</v>
      </c>
      <c r="G20" s="6">
        <f>G15</f>
        <v>16000000</v>
      </c>
    </row>
    <row r="21" spans="1:7" x14ac:dyDescent="0.25">
      <c r="E21" s="6" t="s">
        <v>14</v>
      </c>
      <c r="F21" s="6">
        <f>F8*H10</f>
        <v>3172799.9999999995</v>
      </c>
      <c r="G21" s="6">
        <f>G8*H10</f>
        <v>4263450</v>
      </c>
    </row>
    <row r="22" spans="1:7" x14ac:dyDescent="0.25">
      <c r="E22" s="6" t="s">
        <v>16</v>
      </c>
      <c r="F22" s="6">
        <f>F20+F21</f>
        <v>15172800</v>
      </c>
      <c r="G22" s="6">
        <f>G20+G21</f>
        <v>20263450</v>
      </c>
    </row>
    <row r="23" spans="1:7" x14ac:dyDescent="0.25">
      <c r="E23" s="6" t="s">
        <v>17</v>
      </c>
      <c r="F23" s="6">
        <f>F19/F22</f>
        <v>1.672888326478962</v>
      </c>
      <c r="G23" s="6">
        <f>G19/G22</f>
        <v>1.7957480093468783</v>
      </c>
    </row>
    <row r="24" spans="1:7" x14ac:dyDescent="0.25">
      <c r="E24" s="6" t="s">
        <v>19</v>
      </c>
      <c r="F24" s="6" t="s">
        <v>18</v>
      </c>
      <c r="G24" s="6" t="s">
        <v>18</v>
      </c>
    </row>
    <row r="25" spans="1:7" x14ac:dyDescent="0.25">
      <c r="E25" s="6"/>
      <c r="F25" s="6" t="s">
        <v>22</v>
      </c>
      <c r="G25" s="6" t="s">
        <v>23</v>
      </c>
    </row>
    <row r="28" spans="1:7" x14ac:dyDescent="0.25">
      <c r="A28" t="s">
        <v>20</v>
      </c>
    </row>
    <row r="30" spans="1:7" ht="18" x14ac:dyDescent="0.35">
      <c r="C30" t="s">
        <v>24</v>
      </c>
    </row>
    <row r="31" spans="1:7" x14ac:dyDescent="0.25">
      <c r="D31" s="2" t="s">
        <v>25</v>
      </c>
    </row>
    <row r="33" spans="3:6" x14ac:dyDescent="0.25">
      <c r="C33" s="3" t="s">
        <v>26</v>
      </c>
      <c r="D33" s="3"/>
      <c r="E33" s="3"/>
      <c r="F33"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workbookViewId="0">
      <selection activeCell="K22" sqref="K22"/>
    </sheetView>
  </sheetViews>
  <sheetFormatPr defaultRowHeight="15" x14ac:dyDescent="0.25"/>
  <sheetData>
    <row r="1" spans="1:5" x14ac:dyDescent="0.25">
      <c r="A1" t="s">
        <v>28</v>
      </c>
      <c r="C1" t="s">
        <v>27</v>
      </c>
    </row>
    <row r="3" spans="1:5" x14ac:dyDescent="0.25">
      <c r="C3" t="s">
        <v>15</v>
      </c>
      <c r="D3">
        <v>74000</v>
      </c>
    </row>
    <row r="4" spans="1:5" x14ac:dyDescent="0.25">
      <c r="C4" t="s">
        <v>10</v>
      </c>
      <c r="D4">
        <v>5</v>
      </c>
    </row>
    <row r="5" spans="1:5" x14ac:dyDescent="0.25">
      <c r="C5" t="s">
        <v>31</v>
      </c>
      <c r="D5">
        <v>5500</v>
      </c>
    </row>
    <row r="6" spans="1:5" x14ac:dyDescent="0.25">
      <c r="C6" t="s">
        <v>32</v>
      </c>
      <c r="D6">
        <f>(1/D4)*2</f>
        <v>0.4</v>
      </c>
    </row>
    <row r="8" spans="1:5" x14ac:dyDescent="0.25">
      <c r="B8" t="s">
        <v>29</v>
      </c>
      <c r="C8" t="s">
        <v>30</v>
      </c>
    </row>
    <row r="10" spans="1:5" x14ac:dyDescent="0.25">
      <c r="B10" s="6" t="s">
        <v>36</v>
      </c>
      <c r="C10" s="4" t="s">
        <v>33</v>
      </c>
      <c r="D10" s="5" t="s">
        <v>34</v>
      </c>
      <c r="E10" s="5" t="s">
        <v>35</v>
      </c>
    </row>
    <row r="11" spans="1:5" x14ac:dyDescent="0.25">
      <c r="B11" s="6">
        <v>1</v>
      </c>
      <c r="C11" s="6">
        <v>74000</v>
      </c>
      <c r="D11" s="7">
        <v>13700</v>
      </c>
      <c r="E11" s="7">
        <v>60300</v>
      </c>
    </row>
    <row r="12" spans="1:5" x14ac:dyDescent="0.25">
      <c r="B12" s="6">
        <v>2</v>
      </c>
      <c r="C12" s="6">
        <v>60300</v>
      </c>
      <c r="D12" s="7">
        <v>13700</v>
      </c>
      <c r="E12" s="7">
        <v>46600</v>
      </c>
    </row>
    <row r="13" spans="1:5" x14ac:dyDescent="0.25">
      <c r="B13" s="6">
        <v>3</v>
      </c>
      <c r="C13" s="6">
        <v>46600</v>
      </c>
      <c r="D13" s="7">
        <v>13700</v>
      </c>
      <c r="E13" s="7">
        <v>32900</v>
      </c>
    </row>
    <row r="14" spans="1:5" x14ac:dyDescent="0.25">
      <c r="B14" s="6">
        <v>4</v>
      </c>
      <c r="C14" s="6">
        <v>32900</v>
      </c>
      <c r="D14" s="7">
        <v>13700</v>
      </c>
      <c r="E14" s="7">
        <v>19200</v>
      </c>
    </row>
    <row r="15" spans="1:5" x14ac:dyDescent="0.25">
      <c r="B15" s="6">
        <v>5</v>
      </c>
      <c r="C15" s="6">
        <v>19200</v>
      </c>
      <c r="D15" s="7">
        <v>13700</v>
      </c>
      <c r="E15" s="7">
        <v>5500</v>
      </c>
    </row>
    <row r="19" spans="2:6" x14ac:dyDescent="0.25">
      <c r="B19" t="s">
        <v>37</v>
      </c>
      <c r="C19" t="s">
        <v>38</v>
      </c>
    </row>
    <row r="21" spans="2:6" x14ac:dyDescent="0.25">
      <c r="B21" s="6" t="s">
        <v>36</v>
      </c>
      <c r="C21" s="4" t="s">
        <v>33</v>
      </c>
      <c r="D21" s="6" t="s">
        <v>32</v>
      </c>
      <c r="E21" s="5" t="s">
        <v>34</v>
      </c>
      <c r="F21" s="5" t="s">
        <v>35</v>
      </c>
    </row>
    <row r="22" spans="2:6" x14ac:dyDescent="0.25">
      <c r="B22" s="6">
        <v>1</v>
      </c>
      <c r="C22" s="6">
        <v>74000</v>
      </c>
      <c r="D22" s="6">
        <v>0.4</v>
      </c>
      <c r="E22" s="7">
        <v>29600</v>
      </c>
      <c r="F22" s="7">
        <v>44400</v>
      </c>
    </row>
    <row r="23" spans="2:6" x14ac:dyDescent="0.25">
      <c r="B23" s="6">
        <v>2</v>
      </c>
      <c r="C23" s="6">
        <f>$I$53*((1-$J$53)^1)</f>
        <v>0</v>
      </c>
      <c r="D23" s="6">
        <v>0.4</v>
      </c>
      <c r="E23" s="7">
        <v>17760</v>
      </c>
      <c r="F23" s="7">
        <v>26640</v>
      </c>
    </row>
    <row r="24" spans="2:6" x14ac:dyDescent="0.25">
      <c r="B24" s="6">
        <v>3</v>
      </c>
      <c r="C24" s="6">
        <f>$I$53*((1-$J$53)^2)</f>
        <v>0</v>
      </c>
      <c r="D24" s="6">
        <v>0.4</v>
      </c>
      <c r="E24" s="7">
        <v>10656</v>
      </c>
      <c r="F24" s="7">
        <v>15984</v>
      </c>
    </row>
    <row r="25" spans="2:6" x14ac:dyDescent="0.25">
      <c r="B25" s="6">
        <v>4</v>
      </c>
      <c r="C25" s="6">
        <f>$I$53*((1-$J$53)^3)</f>
        <v>0</v>
      </c>
      <c r="D25" s="6">
        <v>0.4</v>
      </c>
      <c r="E25" s="7">
        <v>6393.6</v>
      </c>
      <c r="F25" s="7">
        <v>9590.4</v>
      </c>
    </row>
    <row r="26" spans="2:6" x14ac:dyDescent="0.25">
      <c r="B26" s="6">
        <v>5</v>
      </c>
      <c r="C26" s="6">
        <f>$I$53*((1-$J$53)^4)</f>
        <v>0</v>
      </c>
      <c r="D26" s="6">
        <v>0.4</v>
      </c>
      <c r="E26" s="7">
        <v>3836.16</v>
      </c>
      <c r="F26" s="7">
        <v>5754.24</v>
      </c>
    </row>
    <row r="29" spans="2:6" x14ac:dyDescent="0.25">
      <c r="C29" t="s">
        <v>134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I12" sqref="I12"/>
    </sheetView>
  </sheetViews>
  <sheetFormatPr defaultRowHeight="15" x14ac:dyDescent="0.25"/>
  <sheetData>
    <row r="1" spans="1:7" x14ac:dyDescent="0.25">
      <c r="A1" t="s">
        <v>40</v>
      </c>
      <c r="C1" t="s">
        <v>39</v>
      </c>
    </row>
    <row r="3" spans="1:7" x14ac:dyDescent="0.25">
      <c r="B3" s="6" t="s">
        <v>15</v>
      </c>
      <c r="C3" s="6">
        <v>70000</v>
      </c>
    </row>
    <row r="4" spans="1:7" x14ac:dyDescent="0.25">
      <c r="B4" s="6" t="s">
        <v>31</v>
      </c>
      <c r="C4" s="6">
        <v>6000</v>
      </c>
    </row>
    <row r="5" spans="1:7" x14ac:dyDescent="0.25">
      <c r="B5" s="6" t="s">
        <v>41</v>
      </c>
      <c r="C5" s="6">
        <v>44000</v>
      </c>
    </row>
    <row r="6" spans="1:7" x14ac:dyDescent="0.25">
      <c r="B6" s="6" t="s">
        <v>42</v>
      </c>
      <c r="C6" s="6">
        <v>60000</v>
      </c>
    </row>
    <row r="7" spans="1:7" x14ac:dyDescent="0.25">
      <c r="B7" s="6" t="s">
        <v>10</v>
      </c>
      <c r="C7" s="6">
        <v>10</v>
      </c>
    </row>
    <row r="8" spans="1:7" x14ac:dyDescent="0.25">
      <c r="B8" s="6" t="s">
        <v>43</v>
      </c>
      <c r="C8" s="9">
        <v>0.2</v>
      </c>
    </row>
    <row r="11" spans="1:7" x14ac:dyDescent="0.25">
      <c r="C11" s="8" t="s">
        <v>45</v>
      </c>
      <c r="D11" s="8" t="s">
        <v>177</v>
      </c>
    </row>
    <row r="12" spans="1:7" x14ac:dyDescent="0.25">
      <c r="F12" s="6" t="s">
        <v>179</v>
      </c>
      <c r="G12" s="6">
        <v>0.23849999999999999</v>
      </c>
    </row>
    <row r="13" spans="1:7" x14ac:dyDescent="0.25">
      <c r="C13" s="52" t="s">
        <v>178</v>
      </c>
      <c r="D13" s="52">
        <v>64000</v>
      </c>
    </row>
    <row r="14" spans="1:7" x14ac:dyDescent="0.25">
      <c r="C14" t="s">
        <v>180</v>
      </c>
      <c r="D14">
        <v>1200</v>
      </c>
    </row>
    <row r="17" spans="3:4" x14ac:dyDescent="0.25">
      <c r="C17" t="s">
        <v>181</v>
      </c>
      <c r="D17">
        <v>16464</v>
      </c>
    </row>
    <row r="19" spans="3:4" x14ac:dyDescent="0.25">
      <c r="C19" s="7" t="s">
        <v>44</v>
      </c>
      <c r="D19" s="7">
        <f>D17+C5</f>
        <v>60464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J18" sqref="J18"/>
    </sheetView>
  </sheetViews>
  <sheetFormatPr defaultRowHeight="15" x14ac:dyDescent="0.25"/>
  <cols>
    <col min="5" max="5" width="12" bestFit="1" customWidth="1"/>
  </cols>
  <sheetData>
    <row r="1" spans="1:6" x14ac:dyDescent="0.25">
      <c r="A1" t="s">
        <v>46</v>
      </c>
      <c r="C1" t="s">
        <v>47</v>
      </c>
    </row>
    <row r="2" spans="1:6" x14ac:dyDescent="0.25">
      <c r="B2" t="s">
        <v>29</v>
      </c>
      <c r="C2" t="s">
        <v>50</v>
      </c>
    </row>
    <row r="4" spans="1:6" x14ac:dyDescent="0.25">
      <c r="C4" s="6" t="s">
        <v>48</v>
      </c>
      <c r="D4" s="6">
        <v>500</v>
      </c>
    </row>
    <row r="5" spans="1:6" x14ac:dyDescent="0.25">
      <c r="C5" s="6" t="s">
        <v>49</v>
      </c>
      <c r="D5" s="6">
        <v>550</v>
      </c>
    </row>
    <row r="6" spans="1:6" x14ac:dyDescent="0.25">
      <c r="C6" s="6" t="s">
        <v>51</v>
      </c>
      <c r="D6" s="34">
        <v>0.1</v>
      </c>
    </row>
    <row r="7" spans="1:6" x14ac:dyDescent="0.25">
      <c r="C7" s="6" t="s">
        <v>52</v>
      </c>
      <c r="D7" s="6">
        <v>12</v>
      </c>
    </row>
    <row r="9" spans="1:6" x14ac:dyDescent="0.25">
      <c r="C9" t="s">
        <v>53</v>
      </c>
      <c r="E9" t="s">
        <v>54</v>
      </c>
    </row>
    <row r="11" spans="1:6" x14ac:dyDescent="0.25">
      <c r="B11" s="3" t="s">
        <v>57</v>
      </c>
      <c r="C11" s="3"/>
      <c r="D11" s="3" t="s">
        <v>55</v>
      </c>
      <c r="E11" s="3">
        <f>D6*D7</f>
        <v>1.2000000000000002</v>
      </c>
      <c r="F11" s="3" t="s">
        <v>56</v>
      </c>
    </row>
    <row r="14" spans="1:6" x14ac:dyDescent="0.25">
      <c r="B14" t="s">
        <v>37</v>
      </c>
      <c r="C14" t="s">
        <v>58</v>
      </c>
    </row>
    <row r="16" spans="1:6" x14ac:dyDescent="0.25">
      <c r="B16" s="3" t="s">
        <v>59</v>
      </c>
      <c r="C16" s="3"/>
      <c r="D16" s="3"/>
      <c r="E16" t="s">
        <v>60</v>
      </c>
    </row>
    <row r="17" spans="2:6" x14ac:dyDescent="0.25">
      <c r="B17" s="3"/>
      <c r="C17" s="3"/>
      <c r="D17" s="3" t="s">
        <v>61</v>
      </c>
      <c r="E17" s="11">
        <v>2.1383999999999999</v>
      </c>
      <c r="F17" s="3" t="s">
        <v>62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
  <sheetViews>
    <sheetView workbookViewId="0">
      <selection activeCell="C36" sqref="C36"/>
    </sheetView>
  </sheetViews>
  <sheetFormatPr defaultRowHeight="15" x14ac:dyDescent="0.25"/>
  <cols>
    <col min="6" max="6" width="12.7109375" bestFit="1" customWidth="1"/>
    <col min="7" max="8" width="17.5703125" bestFit="1" customWidth="1"/>
    <col min="13" max="13" width="12.5703125" bestFit="1" customWidth="1"/>
    <col min="14" max="14" width="17.5703125" bestFit="1" customWidth="1"/>
  </cols>
  <sheetData>
    <row r="1" spans="1:7" x14ac:dyDescent="0.25">
      <c r="A1" t="s">
        <v>63</v>
      </c>
      <c r="C1" t="s">
        <v>64</v>
      </c>
    </row>
    <row r="3" spans="1:7" x14ac:dyDescent="0.25">
      <c r="D3" s="6"/>
      <c r="E3" s="6"/>
      <c r="F3" s="6" t="s">
        <v>8</v>
      </c>
      <c r="G3" s="6" t="s">
        <v>9</v>
      </c>
    </row>
    <row r="4" spans="1:7" x14ac:dyDescent="0.25">
      <c r="D4" s="6" t="s">
        <v>70</v>
      </c>
      <c r="E4" s="6"/>
      <c r="F4" s="6">
        <v>400000</v>
      </c>
      <c r="G4" s="6">
        <v>420000</v>
      </c>
    </row>
    <row r="5" spans="1:7" x14ac:dyDescent="0.25">
      <c r="D5" s="6" t="s">
        <v>65</v>
      </c>
      <c r="E5" s="6"/>
      <c r="F5" s="6">
        <v>125000</v>
      </c>
      <c r="G5" s="6">
        <v>130000</v>
      </c>
    </row>
    <row r="6" spans="1:7" x14ac:dyDescent="0.25">
      <c r="D6" s="6" t="s">
        <v>66</v>
      </c>
      <c r="E6" s="6"/>
      <c r="F6" s="33">
        <v>-80000</v>
      </c>
      <c r="G6" s="6">
        <v>-100000</v>
      </c>
    </row>
    <row r="7" spans="1:7" x14ac:dyDescent="0.25">
      <c r="D7" s="6" t="s">
        <v>67</v>
      </c>
      <c r="E7" s="6"/>
      <c r="F7" s="6">
        <v>100000</v>
      </c>
      <c r="G7" s="6">
        <v>140000</v>
      </c>
    </row>
    <row r="8" spans="1:7" x14ac:dyDescent="0.25">
      <c r="D8" s="6" t="s">
        <v>68</v>
      </c>
      <c r="E8" s="6"/>
      <c r="F8" s="9">
        <v>0.12</v>
      </c>
      <c r="G8" s="34">
        <v>0.12</v>
      </c>
    </row>
    <row r="9" spans="1:7" x14ac:dyDescent="0.25">
      <c r="D9" s="6" t="s">
        <v>69</v>
      </c>
      <c r="E9" s="6"/>
      <c r="F9" s="6">
        <v>10</v>
      </c>
      <c r="G9" s="35">
        <v>10</v>
      </c>
    </row>
    <row r="10" spans="1:7" x14ac:dyDescent="0.25">
      <c r="D10" s="6" t="s">
        <v>71</v>
      </c>
      <c r="E10" s="6"/>
      <c r="F10" s="6">
        <f>F5+F6</f>
        <v>45000</v>
      </c>
      <c r="G10" s="6">
        <f>G5+G6</f>
        <v>30000</v>
      </c>
    </row>
    <row r="12" spans="1:7" x14ac:dyDescent="0.25">
      <c r="B12" t="s">
        <v>29</v>
      </c>
      <c r="C12" s="3" t="s">
        <v>8</v>
      </c>
      <c r="D12" s="3"/>
      <c r="E12" t="s">
        <v>72</v>
      </c>
      <c r="F12" s="2" t="s">
        <v>135</v>
      </c>
    </row>
    <row r="13" spans="1:7" x14ac:dyDescent="0.25">
      <c r="F13" s="2" t="s">
        <v>136</v>
      </c>
    </row>
    <row r="14" spans="1:7" x14ac:dyDescent="0.25">
      <c r="F14" s="11" t="s">
        <v>137</v>
      </c>
    </row>
    <row r="16" spans="1:7" x14ac:dyDescent="0.25">
      <c r="E16" t="s">
        <v>73</v>
      </c>
      <c r="F16" s="2" t="s">
        <v>138</v>
      </c>
    </row>
    <row r="17" spans="3:14" x14ac:dyDescent="0.25">
      <c r="F17" s="2" t="s">
        <v>139</v>
      </c>
    </row>
    <row r="18" spans="3:14" x14ac:dyDescent="0.25">
      <c r="F18" s="11" t="s">
        <v>140</v>
      </c>
      <c r="M18" s="12"/>
      <c r="N18" s="13"/>
    </row>
    <row r="19" spans="3:14" x14ac:dyDescent="0.25">
      <c r="M19" s="12"/>
      <c r="N19" s="14"/>
    </row>
    <row r="20" spans="3:14" x14ac:dyDescent="0.25">
      <c r="E20" t="s">
        <v>74</v>
      </c>
      <c r="F20" s="2" t="s">
        <v>141</v>
      </c>
      <c r="M20" s="12"/>
      <c r="N20" s="13"/>
    </row>
    <row r="21" spans="3:14" x14ac:dyDescent="0.25">
      <c r="F21" s="2" t="s">
        <v>142</v>
      </c>
    </row>
    <row r="22" spans="3:14" x14ac:dyDescent="0.25">
      <c r="F22" s="11" t="s">
        <v>143</v>
      </c>
    </row>
    <row r="25" spans="3:14" x14ac:dyDescent="0.25">
      <c r="C25" s="3" t="s">
        <v>9</v>
      </c>
      <c r="D25" s="3"/>
    </row>
    <row r="27" spans="3:14" x14ac:dyDescent="0.25">
      <c r="E27" t="s">
        <v>72</v>
      </c>
      <c r="F27" s="2" t="s">
        <v>144</v>
      </c>
    </row>
    <row r="28" spans="3:14" x14ac:dyDescent="0.25">
      <c r="F28" s="2" t="s">
        <v>145</v>
      </c>
    </row>
    <row r="29" spans="3:14" x14ac:dyDescent="0.25">
      <c r="F29" s="11" t="s">
        <v>146</v>
      </c>
    </row>
    <row r="31" spans="3:14" x14ac:dyDescent="0.25">
      <c r="E31" t="s">
        <v>73</v>
      </c>
      <c r="F31" s="2" t="s">
        <v>138</v>
      </c>
    </row>
    <row r="32" spans="3:14" x14ac:dyDescent="0.25">
      <c r="F32" s="2" t="s">
        <v>147</v>
      </c>
    </row>
    <row r="33" spans="2:9" x14ac:dyDescent="0.25">
      <c r="F33" s="11" t="s">
        <v>148</v>
      </c>
    </row>
    <row r="35" spans="2:9" x14ac:dyDescent="0.25">
      <c r="E35" t="s">
        <v>74</v>
      </c>
      <c r="F35" s="2" t="s">
        <v>141</v>
      </c>
    </row>
    <row r="36" spans="2:9" x14ac:dyDescent="0.25">
      <c r="F36" s="2" t="s">
        <v>149</v>
      </c>
    </row>
    <row r="37" spans="2:9" x14ac:dyDescent="0.25">
      <c r="F37" s="11" t="s">
        <v>151</v>
      </c>
    </row>
    <row r="40" spans="2:9" x14ac:dyDescent="0.25">
      <c r="B40" t="s">
        <v>37</v>
      </c>
      <c r="D40" s="3" t="s">
        <v>150</v>
      </c>
      <c r="E40" s="3"/>
      <c r="F40" s="3"/>
      <c r="G40" s="3"/>
      <c r="H40" s="3"/>
      <c r="I40" s="3"/>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
  <sheetViews>
    <sheetView topLeftCell="A7" workbookViewId="0">
      <selection activeCell="D13" sqref="D13"/>
    </sheetView>
  </sheetViews>
  <sheetFormatPr defaultRowHeight="15" x14ac:dyDescent="0.25"/>
  <cols>
    <col min="4" max="4" width="12.7109375" bestFit="1" customWidth="1"/>
  </cols>
  <sheetData>
    <row r="1" spans="1:17" x14ac:dyDescent="0.25">
      <c r="A1" t="s">
        <v>75</v>
      </c>
      <c r="C1" t="s">
        <v>76</v>
      </c>
    </row>
    <row r="2" spans="1:17" x14ac:dyDescent="0.25">
      <c r="C2" t="s">
        <v>77</v>
      </c>
    </row>
    <row r="6" spans="1:17" x14ac:dyDescent="0.25">
      <c r="D6" s="6" t="s">
        <v>80</v>
      </c>
      <c r="E6" s="6">
        <v>45000</v>
      </c>
    </row>
    <row r="7" spans="1:17" x14ac:dyDescent="0.25">
      <c r="D7" s="6" t="s">
        <v>10</v>
      </c>
      <c r="E7" s="6">
        <v>10</v>
      </c>
    </row>
    <row r="8" spans="1:17" x14ac:dyDescent="0.25">
      <c r="D8" s="6" t="s">
        <v>79</v>
      </c>
      <c r="E8" s="6">
        <v>1200</v>
      </c>
    </row>
    <row r="9" spans="1:17" x14ac:dyDescent="0.25">
      <c r="D9" s="6" t="s">
        <v>81</v>
      </c>
      <c r="E9" s="6">
        <v>400</v>
      </c>
    </row>
    <row r="10" spans="1:17" x14ac:dyDescent="0.25">
      <c r="D10" s="6" t="s">
        <v>82</v>
      </c>
      <c r="E10" s="6">
        <v>12000</v>
      </c>
    </row>
    <row r="11" spans="1:17" x14ac:dyDescent="0.25">
      <c r="D11" s="6" t="s">
        <v>71</v>
      </c>
      <c r="E11" s="6">
        <f>E8-E9</f>
        <v>800</v>
      </c>
    </row>
    <row r="15" spans="1:17" x14ac:dyDescent="0.25">
      <c r="C15" s="53"/>
      <c r="D15" s="53"/>
      <c r="E15" s="54"/>
      <c r="F15" s="54"/>
      <c r="G15" s="54"/>
      <c r="H15" s="54"/>
      <c r="I15" s="54"/>
      <c r="J15" s="54"/>
      <c r="K15" s="54">
        <v>10800</v>
      </c>
      <c r="L15" s="54"/>
    </row>
    <row r="16" spans="1:17" ht="15.75" x14ac:dyDescent="0.25">
      <c r="C16" s="54"/>
      <c r="D16" s="54"/>
      <c r="E16" s="54"/>
      <c r="F16" s="56"/>
      <c r="G16" s="56"/>
      <c r="H16" s="56"/>
      <c r="I16" s="61"/>
      <c r="J16" s="61"/>
      <c r="K16" s="57"/>
      <c r="L16" s="56"/>
      <c r="M16" s="56"/>
      <c r="N16" s="56"/>
      <c r="O16" s="56"/>
      <c r="P16" s="56"/>
      <c r="Q16" s="56"/>
    </row>
    <row r="17" spans="3:17" ht="15.75" x14ac:dyDescent="0.25">
      <c r="C17" s="54"/>
      <c r="D17" s="54"/>
      <c r="E17" s="54"/>
      <c r="F17" s="56"/>
      <c r="G17" s="56"/>
      <c r="H17" s="56"/>
      <c r="I17" s="56"/>
      <c r="J17" s="56"/>
      <c r="K17" s="56"/>
      <c r="L17" s="56"/>
      <c r="M17" s="56"/>
      <c r="N17" s="56"/>
      <c r="O17" s="56"/>
      <c r="P17" s="56"/>
      <c r="Q17" s="76" t="s">
        <v>188</v>
      </c>
    </row>
    <row r="18" spans="3:17" x14ac:dyDescent="0.25">
      <c r="C18" s="54"/>
      <c r="D18" s="54"/>
      <c r="E18" s="54"/>
      <c r="F18" s="54"/>
      <c r="G18" s="54"/>
      <c r="H18" s="54"/>
      <c r="I18" s="54"/>
      <c r="J18" s="54"/>
      <c r="K18" s="54"/>
      <c r="L18" s="54"/>
    </row>
    <row r="19" spans="3:17" ht="15.75" x14ac:dyDescent="0.25">
      <c r="C19" s="54"/>
      <c r="D19" s="54"/>
      <c r="E19" s="54"/>
      <c r="F19" s="57"/>
      <c r="G19" s="57"/>
      <c r="H19" s="57"/>
      <c r="I19" s="57"/>
      <c r="J19" s="57"/>
      <c r="K19" s="57"/>
      <c r="L19" s="57"/>
      <c r="M19" s="57"/>
      <c r="N19" s="57"/>
      <c r="O19" s="56"/>
      <c r="P19" s="56"/>
      <c r="Q19" s="56"/>
    </row>
    <row r="20" spans="3:17" ht="15.75" x14ac:dyDescent="0.25">
      <c r="C20" s="54"/>
      <c r="D20" s="54"/>
      <c r="E20" s="54"/>
      <c r="F20" s="56"/>
      <c r="G20" s="56"/>
      <c r="H20" s="62"/>
      <c r="I20" s="68"/>
      <c r="J20" s="68"/>
      <c r="K20" s="68"/>
      <c r="L20" s="68"/>
      <c r="M20" s="63"/>
      <c r="N20" s="63"/>
      <c r="O20" s="62"/>
      <c r="P20" s="62"/>
      <c r="Q20" s="56"/>
    </row>
    <row r="21" spans="3:17" ht="15.75" x14ac:dyDescent="0.25">
      <c r="C21" s="54"/>
      <c r="D21" s="54"/>
      <c r="E21" s="54"/>
      <c r="F21" s="56"/>
      <c r="G21" s="59"/>
      <c r="H21" s="64"/>
      <c r="I21" s="69" t="s">
        <v>157</v>
      </c>
      <c r="J21" s="69"/>
      <c r="K21" s="69"/>
      <c r="L21" s="69"/>
      <c r="M21" s="65"/>
      <c r="N21" s="65"/>
      <c r="O21" s="65"/>
      <c r="P21" s="65"/>
    </row>
    <row r="22" spans="3:17" ht="15.75" x14ac:dyDescent="0.25">
      <c r="C22" s="54"/>
      <c r="D22" s="54"/>
      <c r="E22" s="55"/>
      <c r="F22" s="58"/>
      <c r="G22" s="56"/>
      <c r="H22" s="66"/>
      <c r="I22" s="70"/>
      <c r="J22" s="70"/>
      <c r="K22" s="70"/>
      <c r="L22" s="70"/>
      <c r="M22" s="66"/>
      <c r="N22" s="66"/>
      <c r="O22" s="66"/>
      <c r="P22" s="66"/>
    </row>
    <row r="23" spans="3:17" ht="15.75" x14ac:dyDescent="0.25">
      <c r="C23" s="54"/>
      <c r="D23" s="54"/>
      <c r="E23" s="54"/>
      <c r="F23" s="67">
        <v>0</v>
      </c>
      <c r="G23" s="56"/>
      <c r="H23" s="50">
        <v>1</v>
      </c>
      <c r="I23" s="56"/>
      <c r="J23" s="56"/>
      <c r="K23" s="56"/>
      <c r="L23" s="56"/>
      <c r="M23" s="56"/>
      <c r="N23" s="60"/>
      <c r="O23" s="56"/>
      <c r="P23" s="37">
        <v>10</v>
      </c>
    </row>
    <row r="24" spans="3:17" ht="15.75" x14ac:dyDescent="0.25">
      <c r="C24" s="54"/>
      <c r="D24" s="54"/>
      <c r="E24" s="54"/>
      <c r="F24" s="58"/>
      <c r="G24" s="56"/>
      <c r="H24" s="56"/>
      <c r="I24" s="56"/>
      <c r="J24" s="56"/>
      <c r="K24" s="56">
        <v>3600</v>
      </c>
      <c r="L24" s="56"/>
      <c r="M24" s="56"/>
      <c r="N24" s="56"/>
      <c r="O24" s="56"/>
      <c r="P24" s="56"/>
    </row>
    <row r="25" spans="3:17" ht="15.75" x14ac:dyDescent="0.25">
      <c r="C25" s="54"/>
      <c r="D25" s="54"/>
      <c r="E25" s="54"/>
      <c r="F25" s="58"/>
      <c r="G25" s="56"/>
      <c r="H25" s="56"/>
      <c r="I25" s="56"/>
      <c r="J25" s="56"/>
      <c r="K25" s="56"/>
      <c r="L25" s="56"/>
      <c r="M25" s="56"/>
      <c r="N25" s="56"/>
      <c r="O25" s="56"/>
      <c r="P25" s="56"/>
    </row>
    <row r="26" spans="3:17" ht="15.75" x14ac:dyDescent="0.25">
      <c r="C26" s="54"/>
      <c r="D26" s="54"/>
      <c r="E26" s="54"/>
      <c r="F26" s="76" t="s">
        <v>189</v>
      </c>
      <c r="G26" s="56"/>
      <c r="H26" s="56"/>
      <c r="I26" s="56"/>
      <c r="J26" s="56"/>
      <c r="K26" s="56"/>
      <c r="L26" s="56"/>
      <c r="M26" s="56"/>
      <c r="N26" s="56"/>
      <c r="O26" s="56"/>
      <c r="P26" s="56"/>
    </row>
    <row r="27" spans="3:17" x14ac:dyDescent="0.25">
      <c r="C27" s="54"/>
      <c r="D27" s="54"/>
      <c r="E27" s="54"/>
      <c r="F27" s="54"/>
      <c r="G27" s="54"/>
      <c r="H27" s="54"/>
      <c r="I27" s="54"/>
      <c r="J27" s="54"/>
      <c r="K27" s="54"/>
      <c r="L27" s="54"/>
    </row>
    <row r="28" spans="3:17" x14ac:dyDescent="0.25">
      <c r="C28" s="54"/>
      <c r="D28" s="54"/>
      <c r="E28" s="54"/>
      <c r="F28" s="54"/>
      <c r="G28" s="54"/>
      <c r="H28" s="54"/>
      <c r="I28" s="54"/>
      <c r="J28" s="54"/>
      <c r="K28" s="54"/>
      <c r="L28" s="54"/>
    </row>
    <row r="29" spans="3:17" x14ac:dyDescent="0.25">
      <c r="C29" s="54"/>
      <c r="D29" s="54"/>
      <c r="E29" s="54"/>
      <c r="F29" s="54"/>
      <c r="G29" s="54"/>
      <c r="H29" s="54"/>
      <c r="I29" s="54"/>
      <c r="J29" s="54"/>
      <c r="K29" s="54"/>
      <c r="L29" s="54"/>
    </row>
  </sheetData>
  <mergeCells count="5">
    <mergeCell ref="I22:L22"/>
    <mergeCell ref="C15:D15"/>
    <mergeCell ref="I16:J16"/>
    <mergeCell ref="I20:L20"/>
    <mergeCell ref="I21:L21"/>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workbookViewId="0">
      <selection activeCell="G18" sqref="G18"/>
    </sheetView>
  </sheetViews>
  <sheetFormatPr defaultRowHeight="15" x14ac:dyDescent="0.25"/>
  <cols>
    <col min="3" max="3" width="12.85546875" customWidth="1"/>
    <col min="4" max="4" width="23.7109375" customWidth="1"/>
    <col min="5" max="5" width="12.85546875" customWidth="1"/>
  </cols>
  <sheetData>
    <row r="1" spans="1:7" x14ac:dyDescent="0.25">
      <c r="A1" t="s">
        <v>152</v>
      </c>
      <c r="C1" t="s">
        <v>153</v>
      </c>
    </row>
    <row r="3" spans="1:7" x14ac:dyDescent="0.25">
      <c r="C3" s="6" t="s">
        <v>2</v>
      </c>
      <c r="D3" s="6">
        <v>650000</v>
      </c>
    </row>
    <row r="4" spans="1:7" x14ac:dyDescent="0.25">
      <c r="C4" s="6" t="s">
        <v>154</v>
      </c>
      <c r="D4" s="6" t="s">
        <v>156</v>
      </c>
    </row>
    <row r="5" spans="1:7" x14ac:dyDescent="0.25">
      <c r="C5" s="6" t="s">
        <v>155</v>
      </c>
      <c r="D5" s="6">
        <v>8</v>
      </c>
    </row>
    <row r="7" spans="1:7" x14ac:dyDescent="0.25">
      <c r="C7" s="3" t="s">
        <v>158</v>
      </c>
      <c r="D7" t="s">
        <v>175</v>
      </c>
    </row>
    <row r="8" spans="1:7" x14ac:dyDescent="0.25">
      <c r="D8" s="37" t="s">
        <v>72</v>
      </c>
      <c r="E8" s="40" t="s">
        <v>159</v>
      </c>
      <c r="F8" s="41"/>
      <c r="G8" s="42"/>
    </row>
    <row r="9" spans="1:7" x14ac:dyDescent="0.25">
      <c r="D9" s="37"/>
      <c r="E9" s="43" t="s">
        <v>160</v>
      </c>
      <c r="F9" s="44"/>
      <c r="G9" s="45"/>
    </row>
    <row r="10" spans="1:7" x14ac:dyDescent="0.25">
      <c r="E10" s="2" t="s">
        <v>168</v>
      </c>
    </row>
    <row r="14" spans="1:7" x14ac:dyDescent="0.25">
      <c r="C14" s="3" t="s">
        <v>162</v>
      </c>
      <c r="D14" t="s">
        <v>176</v>
      </c>
    </row>
    <row r="15" spans="1:7" x14ac:dyDescent="0.25">
      <c r="D15" t="s">
        <v>72</v>
      </c>
      <c r="E15" s="38" t="s">
        <v>159</v>
      </c>
    </row>
    <row r="16" spans="1:7" x14ac:dyDescent="0.25">
      <c r="E16" s="38" t="s">
        <v>161</v>
      </c>
    </row>
    <row r="17" spans="4:5" x14ac:dyDescent="0.25">
      <c r="E17" s="2" t="s">
        <v>163</v>
      </c>
    </row>
    <row r="21" spans="4:5" x14ac:dyDescent="0.25">
      <c r="D21" s="48" t="s">
        <v>164</v>
      </c>
      <c r="E21" s="49" t="s">
        <v>169</v>
      </c>
    </row>
    <row r="22" spans="4:5" x14ac:dyDescent="0.25">
      <c r="D22" s="48" t="s">
        <v>165</v>
      </c>
      <c r="E22" s="48" t="s">
        <v>166</v>
      </c>
    </row>
    <row r="23" spans="4:5" x14ac:dyDescent="0.25">
      <c r="D23" s="48" t="s">
        <v>167</v>
      </c>
      <c r="E23" s="49" t="s">
        <v>170</v>
      </c>
    </row>
    <row r="26" spans="4:5" x14ac:dyDescent="0.25">
      <c r="D26" s="47" t="s">
        <v>171</v>
      </c>
    </row>
    <row r="27" spans="4:5" x14ac:dyDescent="0.25">
      <c r="D27" s="39"/>
    </row>
    <row r="28" spans="4:5" x14ac:dyDescent="0.25">
      <c r="D28" s="46" t="s">
        <v>172</v>
      </c>
    </row>
    <row r="29" spans="4:5" x14ac:dyDescent="0.25">
      <c r="D29" s="50" t="s">
        <v>173</v>
      </c>
    </row>
    <row r="30" spans="4:5" x14ac:dyDescent="0.25">
      <c r="D30" s="51" t="s">
        <v>174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workbookViewId="0">
      <selection activeCell="L14" sqref="L14"/>
    </sheetView>
  </sheetViews>
  <sheetFormatPr defaultRowHeight="15" x14ac:dyDescent="0.25"/>
  <cols>
    <col min="5" max="6" width="11.85546875" bestFit="1" customWidth="1"/>
    <col min="7" max="7" width="9.85546875" bestFit="1" customWidth="1"/>
  </cols>
  <sheetData>
    <row r="1" spans="1:7" x14ac:dyDescent="0.25">
      <c r="A1" t="s">
        <v>83</v>
      </c>
      <c r="C1" t="s">
        <v>84</v>
      </c>
    </row>
    <row r="5" spans="1:7" x14ac:dyDescent="0.25">
      <c r="D5" s="6" t="s">
        <v>182</v>
      </c>
      <c r="E5" s="6">
        <v>400000</v>
      </c>
      <c r="F5" s="6"/>
    </row>
    <row r="6" spans="1:7" x14ac:dyDescent="0.25">
      <c r="D6" s="6" t="s">
        <v>85</v>
      </c>
      <c r="E6" s="9">
        <v>0.12</v>
      </c>
      <c r="F6" s="9">
        <v>0.1</v>
      </c>
    </row>
    <row r="7" spans="1:7" x14ac:dyDescent="0.25">
      <c r="D7" s="6" t="s">
        <v>10</v>
      </c>
      <c r="E7" s="6">
        <v>20</v>
      </c>
      <c r="F7" s="6">
        <v>30</v>
      </c>
    </row>
    <row r="8" spans="1:7" x14ac:dyDescent="0.25">
      <c r="D8" s="36"/>
      <c r="E8" s="71"/>
      <c r="F8" s="71"/>
      <c r="G8" s="71"/>
    </row>
    <row r="9" spans="1:7" x14ac:dyDescent="0.25">
      <c r="D9" s="54" t="s">
        <v>78</v>
      </c>
      <c r="E9" s="32">
        <v>360000</v>
      </c>
      <c r="F9" s="32"/>
      <c r="G9" s="32"/>
    </row>
    <row r="10" spans="1:7" x14ac:dyDescent="0.25">
      <c r="B10" s="3" t="s">
        <v>88</v>
      </c>
      <c r="D10" s="36"/>
      <c r="E10" s="32"/>
      <c r="F10" s="32"/>
      <c r="G10" s="32"/>
    </row>
    <row r="11" spans="1:7" x14ac:dyDescent="0.25">
      <c r="C11" t="s">
        <v>184</v>
      </c>
      <c r="D11" s="54"/>
      <c r="E11" s="32">
        <f>PMT(E6/12,E7*12,-E9,0,0)</f>
        <v>3963.9100808505959</v>
      </c>
      <c r="F11" s="32"/>
      <c r="G11" s="32"/>
    </row>
    <row r="12" spans="1:7" x14ac:dyDescent="0.25">
      <c r="D12" s="36"/>
      <c r="E12" s="32"/>
      <c r="F12" s="32"/>
      <c r="G12" s="32"/>
    </row>
    <row r="13" spans="1:7" x14ac:dyDescent="0.25">
      <c r="D13" s="36"/>
      <c r="E13" s="32"/>
      <c r="F13" s="32"/>
      <c r="G13" s="32"/>
    </row>
    <row r="14" spans="1:7" x14ac:dyDescent="0.25">
      <c r="B14" s="3" t="s">
        <v>89</v>
      </c>
      <c r="D14" s="36"/>
      <c r="E14" s="32"/>
      <c r="F14" s="32"/>
      <c r="G14" s="32"/>
    </row>
    <row r="15" spans="1:7" x14ac:dyDescent="0.25">
      <c r="C15" t="s">
        <v>184</v>
      </c>
      <c r="D15" s="36"/>
      <c r="E15" s="32">
        <f>PMT(F6/12,F7*12,-E9,0,0)</f>
        <v>3159.2576523196758</v>
      </c>
      <c r="F15" s="32"/>
      <c r="G15" s="32"/>
    </row>
    <row r="16" spans="1:7" x14ac:dyDescent="0.25">
      <c r="D16" s="36"/>
      <c r="E16" s="32"/>
      <c r="F16" s="32"/>
      <c r="G16" s="32"/>
    </row>
    <row r="17" spans="2:7" x14ac:dyDescent="0.25">
      <c r="D17" s="36"/>
      <c r="E17" s="32"/>
      <c r="F17" s="32"/>
      <c r="G17" s="32"/>
    </row>
    <row r="18" spans="2:7" x14ac:dyDescent="0.25">
      <c r="B18" s="3"/>
      <c r="C18" s="10" t="s">
        <v>185</v>
      </c>
      <c r="D18" s="72"/>
      <c r="E18" s="73">
        <f>E11-E15</f>
        <v>804.65242853092013</v>
      </c>
      <c r="F18" s="32"/>
      <c r="G18" s="32"/>
    </row>
    <row r="19" spans="2:7" x14ac:dyDescent="0.25">
      <c r="D19" s="36"/>
      <c r="E19" s="32"/>
      <c r="F19" s="32"/>
      <c r="G19" s="32"/>
    </row>
    <row r="20" spans="2:7" x14ac:dyDescent="0.25">
      <c r="D20" s="36"/>
      <c r="E20" s="32"/>
      <c r="F20" s="32"/>
      <c r="G20" s="32"/>
    </row>
    <row r="21" spans="2:7" x14ac:dyDescent="0.25">
      <c r="D21" s="36"/>
      <c r="E21" s="32"/>
      <c r="F21" s="32"/>
      <c r="G21" s="32"/>
    </row>
    <row r="22" spans="2:7" x14ac:dyDescent="0.25">
      <c r="D22" s="36"/>
      <c r="E22" s="32"/>
      <c r="F22" s="32"/>
      <c r="G22" s="32"/>
    </row>
    <row r="23" spans="2:7" x14ac:dyDescent="0.25">
      <c r="D23" s="36"/>
      <c r="E23" s="32"/>
      <c r="F23" s="32"/>
      <c r="G23" s="32"/>
    </row>
    <row r="24" spans="2:7" x14ac:dyDescent="0.25">
      <c r="D24" s="36"/>
      <c r="E24" s="32"/>
      <c r="F24" s="32"/>
      <c r="G24" s="32"/>
    </row>
    <row r="25" spans="2:7" x14ac:dyDescent="0.25">
      <c r="D25" s="36"/>
      <c r="E25" s="32"/>
      <c r="F25" s="32"/>
      <c r="G25" s="32"/>
    </row>
    <row r="26" spans="2:7" x14ac:dyDescent="0.25">
      <c r="D26" s="36"/>
      <c r="E26" s="32"/>
      <c r="F26" s="32"/>
      <c r="G26" s="32"/>
    </row>
    <row r="27" spans="2:7" x14ac:dyDescent="0.25">
      <c r="D27" s="36"/>
      <c r="E27" s="32"/>
      <c r="F27" s="32"/>
      <c r="G27" s="32"/>
    </row>
    <row r="28" spans="2:7" x14ac:dyDescent="0.25">
      <c r="D28" s="36"/>
      <c r="E28" s="32"/>
      <c r="F28" s="32"/>
      <c r="G28" s="3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F18" sqref="F18"/>
    </sheetView>
  </sheetViews>
  <sheetFormatPr defaultRowHeight="15" x14ac:dyDescent="0.25"/>
  <cols>
    <col min="5" max="5" width="14.7109375" customWidth="1"/>
    <col min="6" max="6" width="9.85546875" bestFit="1" customWidth="1"/>
    <col min="7" max="7" width="10.85546875" bestFit="1" customWidth="1"/>
  </cols>
  <sheetData>
    <row r="1" spans="1:7" x14ac:dyDescent="0.25">
      <c r="A1" t="s">
        <v>90</v>
      </c>
      <c r="C1" t="s">
        <v>91</v>
      </c>
    </row>
    <row r="4" spans="1:7" x14ac:dyDescent="0.25">
      <c r="D4" s="6" t="s">
        <v>78</v>
      </c>
      <c r="E4" s="74">
        <v>30000</v>
      </c>
    </row>
    <row r="5" spans="1:7" x14ac:dyDescent="0.25">
      <c r="D5" s="6" t="s">
        <v>10</v>
      </c>
      <c r="E5" s="6">
        <v>36</v>
      </c>
    </row>
    <row r="6" spans="1:7" x14ac:dyDescent="0.25">
      <c r="D6" s="6" t="s">
        <v>11</v>
      </c>
      <c r="E6" s="6" t="s">
        <v>186</v>
      </c>
    </row>
    <row r="9" spans="1:7" x14ac:dyDescent="0.25">
      <c r="D9" t="s">
        <v>183</v>
      </c>
      <c r="F9" s="12">
        <f>PMT(10%/12,36,-30000,0,0)</f>
        <v>968.01561581512453</v>
      </c>
    </row>
    <row r="12" spans="1:7" x14ac:dyDescent="0.25">
      <c r="C12" s="3" t="s">
        <v>187</v>
      </c>
      <c r="D12" s="3"/>
      <c r="E12" s="3"/>
      <c r="F12" s="3"/>
      <c r="G12" s="75">
        <f>PV(10%/12,16,-F9)</f>
        <v>14443.918713963281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5"/>
  <sheetViews>
    <sheetView tabSelected="1" workbookViewId="0">
      <selection activeCell="C83" sqref="C83"/>
    </sheetView>
  </sheetViews>
  <sheetFormatPr defaultRowHeight="15" x14ac:dyDescent="0.25"/>
  <cols>
    <col min="2" max="2" width="18.85546875" bestFit="1" customWidth="1"/>
    <col min="3" max="3" width="17.5703125" customWidth="1"/>
    <col min="4" max="4" width="17.42578125" bestFit="1" customWidth="1"/>
    <col min="5" max="5" width="16.42578125" bestFit="1" customWidth="1"/>
    <col min="6" max="7" width="17.28515625" bestFit="1" customWidth="1"/>
  </cols>
  <sheetData>
    <row r="1" spans="1:7" x14ac:dyDescent="0.25">
      <c r="A1" t="s">
        <v>92</v>
      </c>
      <c r="C1" t="s">
        <v>93</v>
      </c>
    </row>
    <row r="4" spans="1:7" x14ac:dyDescent="0.25">
      <c r="B4" t="s">
        <v>29</v>
      </c>
      <c r="C4" t="s">
        <v>94</v>
      </c>
    </row>
    <row r="7" spans="1:7" x14ac:dyDescent="0.25">
      <c r="C7" s="6" t="s">
        <v>78</v>
      </c>
      <c r="D7" s="17">
        <v>90000</v>
      </c>
    </row>
    <row r="8" spans="1:7" x14ac:dyDescent="0.25">
      <c r="C8" s="6" t="s">
        <v>11</v>
      </c>
      <c r="D8" s="9">
        <v>0.15</v>
      </c>
      <c r="F8" s="15" t="s">
        <v>95</v>
      </c>
      <c r="G8" s="25">
        <f>PMT(D8,D9,-D7,,)</f>
        <v>55360.465116279076</v>
      </c>
    </row>
    <row r="9" spans="1:7" x14ac:dyDescent="0.25">
      <c r="C9" s="6" t="s">
        <v>10</v>
      </c>
      <c r="D9" s="6">
        <v>2</v>
      </c>
    </row>
    <row r="10" spans="1:7" x14ac:dyDescent="0.25">
      <c r="D10" s="12"/>
    </row>
    <row r="12" spans="1:7" x14ac:dyDescent="0.25">
      <c r="C12" s="6" t="s">
        <v>96</v>
      </c>
      <c r="D12" s="6" t="s">
        <v>97</v>
      </c>
      <c r="E12" s="6" t="s">
        <v>98</v>
      </c>
      <c r="F12" s="7" t="s">
        <v>100</v>
      </c>
      <c r="G12" s="7" t="s">
        <v>99</v>
      </c>
    </row>
    <row r="13" spans="1:7" x14ac:dyDescent="0.25">
      <c r="C13" s="6">
        <v>1</v>
      </c>
      <c r="D13" s="17">
        <f>D7</f>
        <v>90000</v>
      </c>
      <c r="E13" s="17">
        <f>(D7*(1+D8)^C13)-D7</f>
        <v>13499.999999999985</v>
      </c>
      <c r="F13" s="18">
        <f>D13+E13</f>
        <v>103499.99999999999</v>
      </c>
      <c r="G13" s="19">
        <f>G8-E13</f>
        <v>41860.465116279091</v>
      </c>
    </row>
    <row r="14" spans="1:7" x14ac:dyDescent="0.25">
      <c r="C14" s="6">
        <v>2</v>
      </c>
      <c r="D14" s="17">
        <f>F13</f>
        <v>103499.99999999999</v>
      </c>
      <c r="E14" s="16">
        <f>(D14*(1+D8)^C14)-D14</f>
        <v>33378.749999999985</v>
      </c>
      <c r="F14" s="19">
        <f>D14+E14</f>
        <v>136878.74999999997</v>
      </c>
      <c r="G14" s="19">
        <f>G8-E14</f>
        <v>21981.715116279091</v>
      </c>
    </row>
    <row r="19" spans="2:7" x14ac:dyDescent="0.25">
      <c r="B19" t="s">
        <v>37</v>
      </c>
      <c r="C19" t="s">
        <v>101</v>
      </c>
    </row>
    <row r="21" spans="2:7" x14ac:dyDescent="0.25">
      <c r="D21" s="6" t="s">
        <v>31</v>
      </c>
      <c r="E21" s="6">
        <v>6500</v>
      </c>
    </row>
    <row r="22" spans="2:7" x14ac:dyDescent="0.25">
      <c r="D22" s="6" t="s">
        <v>10</v>
      </c>
      <c r="E22" s="6">
        <v>2</v>
      </c>
    </row>
    <row r="23" spans="2:7" x14ac:dyDescent="0.25">
      <c r="D23" s="6" t="s">
        <v>104</v>
      </c>
      <c r="E23" s="6"/>
    </row>
    <row r="25" spans="2:7" x14ac:dyDescent="0.25">
      <c r="C25" s="6" t="s">
        <v>96</v>
      </c>
      <c r="D25" s="6" t="s">
        <v>102</v>
      </c>
      <c r="E25" s="6" t="s">
        <v>103</v>
      </c>
      <c r="F25" s="26" t="s">
        <v>34</v>
      </c>
      <c r="G25" s="26" t="s">
        <v>35</v>
      </c>
    </row>
    <row r="26" spans="2:7" x14ac:dyDescent="0.25">
      <c r="C26" s="6">
        <v>1</v>
      </c>
      <c r="D26" s="6">
        <v>90000</v>
      </c>
      <c r="E26" s="6">
        <v>0.45</v>
      </c>
      <c r="F26" s="26">
        <f>D26*E26</f>
        <v>40500</v>
      </c>
      <c r="G26" s="26">
        <f>D26-F26</f>
        <v>49500</v>
      </c>
    </row>
    <row r="27" spans="2:7" x14ac:dyDescent="0.25">
      <c r="C27" s="6">
        <v>2</v>
      </c>
      <c r="D27" s="6">
        <f>G26</f>
        <v>49500</v>
      </c>
      <c r="E27" s="6">
        <v>0.55000000000000004</v>
      </c>
      <c r="F27" s="26">
        <f>D26*E27</f>
        <v>49500.000000000007</v>
      </c>
      <c r="G27" s="26">
        <f>D27-F27</f>
        <v>0</v>
      </c>
    </row>
    <row r="33" spans="2:5" x14ac:dyDescent="0.25">
      <c r="B33" t="s">
        <v>105</v>
      </c>
      <c r="C33" t="s">
        <v>106</v>
      </c>
    </row>
    <row r="36" spans="2:5" x14ac:dyDescent="0.25">
      <c r="C36" t="s">
        <v>31</v>
      </c>
      <c r="D36">
        <v>6500</v>
      </c>
    </row>
    <row r="37" spans="2:5" x14ac:dyDescent="0.25">
      <c r="C37" t="s">
        <v>107</v>
      </c>
    </row>
    <row r="38" spans="2:5" x14ac:dyDescent="0.25">
      <c r="C38" t="s">
        <v>108</v>
      </c>
    </row>
    <row r="39" spans="2:5" x14ac:dyDescent="0.25">
      <c r="C39" t="s">
        <v>109</v>
      </c>
      <c r="E39">
        <v>6500</v>
      </c>
    </row>
    <row r="40" spans="2:5" x14ac:dyDescent="0.25">
      <c r="D40" t="s">
        <v>110</v>
      </c>
    </row>
    <row r="41" spans="2:5" x14ac:dyDescent="0.25">
      <c r="D41" s="27" t="s">
        <v>111</v>
      </c>
      <c r="E41" s="27">
        <f>E39*0.4</f>
        <v>2600</v>
      </c>
    </row>
    <row r="45" spans="2:5" x14ac:dyDescent="0.25">
      <c r="B45" t="s">
        <v>112</v>
      </c>
      <c r="C45" t="s">
        <v>113</v>
      </c>
    </row>
    <row r="48" spans="2:5" x14ac:dyDescent="0.25">
      <c r="C48" s="20" t="s">
        <v>114</v>
      </c>
      <c r="D48" s="20">
        <v>1</v>
      </c>
      <c r="E48" s="20">
        <v>2</v>
      </c>
    </row>
    <row r="49" spans="2:5" x14ac:dyDescent="0.25">
      <c r="C49" s="20" t="s">
        <v>42</v>
      </c>
      <c r="D49" s="22">
        <f>9500</f>
        <v>9500</v>
      </c>
      <c r="E49" s="23">
        <f>D49</f>
        <v>9500</v>
      </c>
    </row>
    <row r="50" spans="2:5" x14ac:dyDescent="0.25">
      <c r="C50" s="20" t="s">
        <v>115</v>
      </c>
      <c r="D50" s="20"/>
      <c r="E50" s="20"/>
    </row>
    <row r="51" spans="2:5" x14ac:dyDescent="0.25">
      <c r="C51" s="21" t="s">
        <v>116</v>
      </c>
      <c r="D51" s="22">
        <v>650</v>
      </c>
      <c r="E51" s="23">
        <f>D51</f>
        <v>650</v>
      </c>
    </row>
    <row r="52" spans="2:5" x14ac:dyDescent="0.25">
      <c r="C52" s="21" t="s">
        <v>117</v>
      </c>
      <c r="D52" s="22">
        <f>F26</f>
        <v>40500</v>
      </c>
      <c r="E52" s="22">
        <f>F27</f>
        <v>49500.000000000007</v>
      </c>
    </row>
    <row r="53" spans="2:5" x14ac:dyDescent="0.25">
      <c r="C53" s="21" t="s">
        <v>98</v>
      </c>
      <c r="D53" s="24">
        <f>E13</f>
        <v>13499.999999999985</v>
      </c>
      <c r="E53" s="24">
        <f>E14</f>
        <v>33378.749999999985</v>
      </c>
    </row>
    <row r="54" spans="2:5" x14ac:dyDescent="0.25">
      <c r="C54" s="20" t="s">
        <v>118</v>
      </c>
      <c r="D54" s="24">
        <f>D49-D51-D52-D53</f>
        <v>-45149.999999999985</v>
      </c>
      <c r="E54" s="24">
        <f>E49-E51-E52-E53</f>
        <v>-74028.75</v>
      </c>
    </row>
    <row r="55" spans="2:5" x14ac:dyDescent="0.25">
      <c r="C55" s="20" t="s">
        <v>120</v>
      </c>
      <c r="D55" s="24">
        <f>0.4*D54</f>
        <v>-18059.999999999996</v>
      </c>
      <c r="E55" s="24">
        <f>0.4*E54</f>
        <v>-29611.5</v>
      </c>
    </row>
    <row r="56" spans="2:5" x14ac:dyDescent="0.25">
      <c r="C56" s="20" t="s">
        <v>119</v>
      </c>
      <c r="D56" s="24">
        <f t="shared" ref="D56:E56" si="0">D54-D55</f>
        <v>-27089.999999999989</v>
      </c>
      <c r="E56" s="24">
        <f t="shared" si="0"/>
        <v>-44417.25</v>
      </c>
    </row>
    <row r="59" spans="2:5" x14ac:dyDescent="0.25">
      <c r="B59" s="6" t="s">
        <v>96</v>
      </c>
      <c r="C59" s="6">
        <v>0</v>
      </c>
      <c r="D59" s="6">
        <v>1</v>
      </c>
      <c r="E59" s="6">
        <v>2</v>
      </c>
    </row>
    <row r="60" spans="2:5" x14ac:dyDescent="0.25">
      <c r="B60" s="6" t="s">
        <v>121</v>
      </c>
      <c r="C60" s="6"/>
      <c r="D60" s="6"/>
      <c r="E60" s="6"/>
    </row>
    <row r="61" spans="2:5" x14ac:dyDescent="0.25">
      <c r="B61" s="6" t="s">
        <v>119</v>
      </c>
      <c r="C61" s="6"/>
      <c r="D61" s="28">
        <f>D56</f>
        <v>-27089.999999999989</v>
      </c>
      <c r="E61" s="28">
        <f>E56</f>
        <v>-44417.25</v>
      </c>
    </row>
    <row r="62" spans="2:5" x14ac:dyDescent="0.25">
      <c r="B62" s="6" t="s">
        <v>117</v>
      </c>
      <c r="C62" s="6"/>
      <c r="D62" s="6">
        <f>F26</f>
        <v>40500</v>
      </c>
      <c r="E62" s="6">
        <f>F27</f>
        <v>49500.000000000007</v>
      </c>
    </row>
    <row r="63" spans="2:5" x14ac:dyDescent="0.25">
      <c r="B63" s="6" t="s">
        <v>122</v>
      </c>
      <c r="C63" s="6"/>
      <c r="D63" s="6"/>
      <c r="E63" s="6"/>
    </row>
    <row r="64" spans="2:5" x14ac:dyDescent="0.25">
      <c r="B64" s="6" t="s">
        <v>123</v>
      </c>
      <c r="C64" s="6">
        <v>0</v>
      </c>
      <c r="D64" s="6"/>
      <c r="E64" s="6"/>
    </row>
    <row r="65" spans="2:5" x14ac:dyDescent="0.25">
      <c r="B65" s="6" t="s">
        <v>124</v>
      </c>
      <c r="C65" s="6"/>
      <c r="D65" s="6"/>
      <c r="E65" s="6">
        <f>D36</f>
        <v>6500</v>
      </c>
    </row>
    <row r="66" spans="2:5" x14ac:dyDescent="0.25">
      <c r="B66" s="6" t="s">
        <v>125</v>
      </c>
      <c r="C66" s="6"/>
      <c r="D66" s="6"/>
      <c r="E66" s="6">
        <f>-E41</f>
        <v>-2600</v>
      </c>
    </row>
    <row r="67" spans="2:5" x14ac:dyDescent="0.25">
      <c r="B67" s="6" t="s">
        <v>130</v>
      </c>
      <c r="C67" s="6">
        <v>-22000</v>
      </c>
      <c r="D67" s="6"/>
      <c r="E67" s="6"/>
    </row>
    <row r="68" spans="2:5" x14ac:dyDescent="0.25">
      <c r="B68" s="6" t="s">
        <v>126</v>
      </c>
      <c r="C68" s="6"/>
      <c r="D68" s="6"/>
      <c r="E68" s="6"/>
    </row>
    <row r="69" spans="2:5" x14ac:dyDescent="0.25">
      <c r="B69" s="6" t="s">
        <v>127</v>
      </c>
      <c r="C69" s="17">
        <f>D7</f>
        <v>90000</v>
      </c>
      <c r="D69" s="6"/>
      <c r="E69" s="6"/>
    </row>
    <row r="70" spans="2:5" x14ac:dyDescent="0.25">
      <c r="B70" s="6" t="s">
        <v>128</v>
      </c>
      <c r="C70" s="6"/>
      <c r="D70" s="16">
        <f>G13</f>
        <v>41860.465116279091</v>
      </c>
      <c r="E70" s="16">
        <f>G14</f>
        <v>21981.715116279091</v>
      </c>
    </row>
    <row r="71" spans="2:5" x14ac:dyDescent="0.25">
      <c r="B71" s="6" t="s">
        <v>129</v>
      </c>
      <c r="C71" s="17">
        <f>C67+C69</f>
        <v>68000</v>
      </c>
      <c r="D71" s="16">
        <f>D61+D62+D70</f>
        <v>55270.465116279098</v>
      </c>
      <c r="E71" s="16">
        <f>SUM(E61:E70)</f>
        <v>30964.465116279098</v>
      </c>
    </row>
    <row r="75" spans="2:5" x14ac:dyDescent="0.25">
      <c r="B75" s="29" t="s">
        <v>78</v>
      </c>
      <c r="C75" s="17">
        <f>C71</f>
        <v>68000</v>
      </c>
    </row>
    <row r="76" spans="2:5" x14ac:dyDescent="0.25">
      <c r="B76" s="6" t="s">
        <v>11</v>
      </c>
      <c r="C76" s="9">
        <v>0.2</v>
      </c>
    </row>
    <row r="77" spans="2:5" x14ac:dyDescent="0.25">
      <c r="B77" s="6" t="s">
        <v>86</v>
      </c>
      <c r="C77" s="16">
        <f>D71</f>
        <v>55270.465116279098</v>
      </c>
    </row>
    <row r="78" spans="2:5" x14ac:dyDescent="0.25">
      <c r="B78" s="6" t="s">
        <v>87</v>
      </c>
      <c r="C78" s="16">
        <f>E71</f>
        <v>30964.465116279098</v>
      </c>
    </row>
    <row r="80" spans="2:5" x14ac:dyDescent="0.25">
      <c r="C80">
        <v>0.83330000000000004</v>
      </c>
    </row>
    <row r="81" spans="2:7" x14ac:dyDescent="0.25">
      <c r="C81">
        <v>0.69440000000000002</v>
      </c>
    </row>
    <row r="83" spans="2:7" x14ac:dyDescent="0.25">
      <c r="B83" t="s">
        <v>72</v>
      </c>
      <c r="C83" s="12">
        <f>(-C75+(C77*C80)+(C78*C81))</f>
        <v>-441.39684186041995</v>
      </c>
    </row>
    <row r="84" spans="2:7" x14ac:dyDescent="0.25">
      <c r="B84" t="s">
        <v>131</v>
      </c>
    </row>
    <row r="88" spans="2:7" x14ac:dyDescent="0.25">
      <c r="B88" s="29" t="s">
        <v>78</v>
      </c>
      <c r="C88" s="17">
        <f>C75</f>
        <v>68000</v>
      </c>
    </row>
    <row r="89" spans="2:7" x14ac:dyDescent="0.25">
      <c r="B89" s="6" t="s">
        <v>86</v>
      </c>
      <c r="C89" s="16">
        <f>C77</f>
        <v>55270.465116279098</v>
      </c>
    </row>
    <row r="90" spans="2:7" x14ac:dyDescent="0.25">
      <c r="B90" s="6" t="s">
        <v>87</v>
      </c>
      <c r="C90" s="16">
        <f>C78</f>
        <v>30964.465116279098</v>
      </c>
      <c r="G90" s="31"/>
    </row>
    <row r="91" spans="2:7" x14ac:dyDescent="0.25">
      <c r="G91" s="32"/>
    </row>
    <row r="92" spans="2:7" x14ac:dyDescent="0.25">
      <c r="B92" s="27" t="s">
        <v>132</v>
      </c>
      <c r="C92" s="30" t="e">
        <f>IRR(C88:C90)</f>
        <v>#NUM!</v>
      </c>
      <c r="G92" s="32"/>
    </row>
    <row r="93" spans="2:7" x14ac:dyDescent="0.25">
      <c r="G93" s="1"/>
    </row>
    <row r="95" spans="2:7" x14ac:dyDescent="0.25">
      <c r="C95" s="3" t="s">
        <v>133</v>
      </c>
      <c r="D95" s="3"/>
      <c r="E95" s="3"/>
      <c r="F95"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Q8</vt:lpstr>
      <vt:lpstr>Q9</vt:lpstr>
      <vt:lpstr>Q6</vt:lpstr>
      <vt:lpstr>Q4</vt:lpstr>
      <vt:lpstr>Q5</vt:lpstr>
      <vt:lpstr>Q1</vt:lpstr>
      <vt:lpstr>Q7</vt:lpstr>
      <vt:lpstr>Q2</vt:lpstr>
      <vt:lpstr>Q3</vt:lpstr>
      <vt:lpstr>Q10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Shriyash</dc:creator>
  <cp:lastModifiedBy>Shriyash</cp:lastModifiedBy>
  <dcterms:created xsi:type="dcterms:W3CDTF">2017-03-09T04:14:07Z</dcterms:created>
  <dcterms:modified xsi:type="dcterms:W3CDTF">2017-03-09T19:37:17Z</dcterms:modified>
</cp:coreProperties>
</file>