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EM 600 Eng. Eco &amp; Cost Analysis\Final\"/>
    </mc:Choice>
  </mc:AlternateContent>
  <bookViews>
    <workbookView xWindow="0" yWindow="0" windowWidth="17268" windowHeight="5430" activeTab="3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  <sheet name="Question 6" sheetId="6" r:id="rId6"/>
    <sheet name="Question 7" sheetId="7" r:id="rId7"/>
    <sheet name="Question 8" sheetId="8" r:id="rId8"/>
    <sheet name="Question 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5" l="1"/>
  <c r="G33" i="5"/>
  <c r="N47" i="7" l="1"/>
  <c r="N46" i="7"/>
  <c r="N45" i="7"/>
  <c r="N43" i="7"/>
  <c r="N41" i="7"/>
  <c r="N42" i="7"/>
  <c r="M47" i="7"/>
  <c r="M46" i="7"/>
  <c r="M45" i="7"/>
  <c r="M43" i="7"/>
  <c r="M42" i="7"/>
  <c r="M41" i="7"/>
  <c r="M44" i="7"/>
  <c r="L47" i="7"/>
  <c r="L46" i="7"/>
  <c r="L45" i="7"/>
  <c r="L43" i="7"/>
  <c r="L42" i="7"/>
  <c r="L41" i="7"/>
  <c r="L44" i="7"/>
  <c r="K46" i="7"/>
  <c r="K45" i="7"/>
  <c r="K43" i="7"/>
  <c r="K42" i="7"/>
  <c r="J46" i="7"/>
  <c r="J45" i="7"/>
  <c r="J43" i="7"/>
  <c r="J42" i="7"/>
  <c r="J44" i="7"/>
  <c r="I46" i="7"/>
  <c r="I45" i="7"/>
  <c r="I43" i="7"/>
  <c r="I42" i="7"/>
  <c r="I44" i="7"/>
  <c r="H46" i="7"/>
  <c r="H45" i="7"/>
  <c r="H43" i="7"/>
  <c r="H42" i="7"/>
  <c r="G46" i="7"/>
  <c r="G45" i="7"/>
  <c r="G43" i="7"/>
  <c r="G42" i="7"/>
  <c r="G44" i="7"/>
  <c r="F46" i="7"/>
  <c r="F45" i="7"/>
  <c r="F43" i="7"/>
  <c r="F42" i="7"/>
  <c r="F44" i="7"/>
  <c r="E41" i="7"/>
  <c r="E42" i="7"/>
  <c r="E43" i="7"/>
  <c r="E45" i="7"/>
  <c r="E46" i="7"/>
  <c r="E47" i="7"/>
  <c r="E48" i="7"/>
  <c r="E49" i="7"/>
  <c r="E40" i="7"/>
  <c r="D49" i="7"/>
  <c r="D48" i="7"/>
  <c r="D47" i="7"/>
  <c r="D46" i="7"/>
  <c r="D45" i="7"/>
  <c r="D43" i="7"/>
  <c r="D42" i="7"/>
  <c r="D41" i="7"/>
  <c r="D40" i="7"/>
  <c r="D44" i="7"/>
  <c r="C49" i="7"/>
  <c r="C48" i="7"/>
  <c r="C47" i="7"/>
  <c r="C46" i="7"/>
  <c r="C45" i="7"/>
  <c r="C43" i="7"/>
  <c r="C42" i="7"/>
  <c r="C41" i="7"/>
  <c r="C40" i="7"/>
  <c r="C44" i="7"/>
  <c r="E33" i="7"/>
  <c r="E32" i="7"/>
  <c r="E31" i="7"/>
  <c r="E28" i="7"/>
  <c r="E27" i="7"/>
  <c r="E29" i="7"/>
  <c r="D32" i="7"/>
  <c r="D31" i="7"/>
  <c r="D28" i="7"/>
  <c r="D29" i="7"/>
  <c r="C32" i="7"/>
  <c r="C31" i="7"/>
  <c r="C28" i="7"/>
  <c r="C29" i="7"/>
  <c r="B35" i="7"/>
  <c r="B34" i="7"/>
  <c r="B33" i="7"/>
  <c r="B32" i="7"/>
  <c r="B31" i="7"/>
  <c r="B28" i="7"/>
  <c r="B27" i="7"/>
  <c r="B26" i="7"/>
  <c r="B29" i="7"/>
  <c r="B45" i="7"/>
  <c r="B46" i="7"/>
  <c r="B47" i="7"/>
  <c r="B48" i="7"/>
  <c r="B49" i="7"/>
  <c r="B40" i="7"/>
  <c r="B41" i="7"/>
  <c r="B42" i="7"/>
  <c r="B43" i="7"/>
  <c r="B44" i="7"/>
  <c r="E30" i="7"/>
  <c r="D30" i="7"/>
  <c r="C30" i="7"/>
  <c r="B30" i="7"/>
  <c r="B23" i="7" l="1"/>
  <c r="B22" i="9" l="1"/>
  <c r="B21" i="9"/>
  <c r="B17" i="9"/>
  <c r="B16" i="9"/>
  <c r="G10" i="9"/>
  <c r="G9" i="9"/>
  <c r="G8" i="9"/>
  <c r="D8" i="9"/>
  <c r="D10" i="9"/>
  <c r="D9" i="9"/>
  <c r="K41" i="4" l="1"/>
  <c r="O33" i="4"/>
  <c r="O34" i="4"/>
  <c r="O35" i="4"/>
  <c r="O36" i="4"/>
  <c r="O32" i="4"/>
  <c r="G40" i="4"/>
  <c r="C40" i="4"/>
  <c r="C10" i="7"/>
  <c r="B35" i="6" l="1"/>
  <c r="B10" i="6"/>
  <c r="B32" i="6"/>
  <c r="B29" i="6"/>
  <c r="B26" i="6"/>
  <c r="G32" i="5"/>
  <c r="H32" i="5"/>
  <c r="G31" i="5"/>
  <c r="H31" i="5"/>
  <c r="G30" i="5"/>
  <c r="H30" i="5"/>
  <c r="H22" i="5"/>
  <c r="H23" i="5"/>
  <c r="H24" i="5"/>
  <c r="H25" i="5"/>
  <c r="H26" i="5"/>
  <c r="H27" i="5"/>
  <c r="H28" i="5"/>
  <c r="H29" i="5"/>
  <c r="H21" i="5"/>
  <c r="G22" i="5"/>
  <c r="G23" i="5"/>
  <c r="G24" i="5"/>
  <c r="G25" i="5"/>
  <c r="G26" i="5"/>
  <c r="G27" i="5"/>
  <c r="G28" i="5"/>
  <c r="G29" i="5"/>
  <c r="G21" i="5"/>
  <c r="B94" i="4"/>
  <c r="B93" i="4"/>
  <c r="B92" i="4"/>
  <c r="B91" i="4"/>
  <c r="B90" i="4"/>
  <c r="B89" i="4"/>
  <c r="B88" i="4"/>
  <c r="B87" i="4"/>
  <c r="B86" i="4"/>
  <c r="M53" i="4"/>
  <c r="L53" i="4"/>
  <c r="K53" i="4"/>
  <c r="L52" i="4"/>
  <c r="K52" i="4"/>
  <c r="M52" i="4" s="1"/>
  <c r="L51" i="4"/>
  <c r="K51" i="4"/>
  <c r="L50" i="4"/>
  <c r="K50" i="4"/>
  <c r="M50" i="4" s="1"/>
  <c r="L49" i="4"/>
  <c r="K49" i="4"/>
  <c r="M49" i="4" s="1"/>
  <c r="B50" i="4"/>
  <c r="B51" i="4"/>
  <c r="B52" i="4"/>
  <c r="B53" i="4"/>
  <c r="B49" i="4"/>
  <c r="N33" i="4"/>
  <c r="N34" i="4"/>
  <c r="N35" i="4"/>
  <c r="N36" i="4"/>
  <c r="N32" i="4"/>
  <c r="L33" i="4"/>
  <c r="L34" i="4"/>
  <c r="L35" i="4"/>
  <c r="L36" i="4"/>
  <c r="L32" i="4"/>
  <c r="L41" i="4"/>
  <c r="L42" i="4"/>
  <c r="L43" i="4"/>
  <c r="L44" i="4"/>
  <c r="L40" i="4"/>
  <c r="O40" i="4"/>
  <c r="O42" i="4"/>
  <c r="O43" i="4"/>
  <c r="O44" i="4"/>
  <c r="O41" i="4"/>
  <c r="M33" i="4"/>
  <c r="M34" i="4" s="1"/>
  <c r="M35" i="4" s="1"/>
  <c r="M36" i="4" s="1"/>
  <c r="B31" i="4"/>
  <c r="K31" i="4"/>
  <c r="K40" i="4"/>
  <c r="M40" i="4" s="1"/>
  <c r="N40" i="4" s="1"/>
  <c r="P40" i="4" s="1"/>
  <c r="M32" i="4"/>
  <c r="F41" i="4"/>
  <c r="F42" i="4"/>
  <c r="F43" i="4"/>
  <c r="F44" i="4"/>
  <c r="F40" i="4"/>
  <c r="C41" i="4"/>
  <c r="C42" i="4"/>
  <c r="C43" i="4"/>
  <c r="C44" i="4"/>
  <c r="B40" i="4"/>
  <c r="D40" i="4" s="1"/>
  <c r="E40" i="4" s="1"/>
  <c r="C49" i="4" s="1"/>
  <c r="D49" i="4" s="1"/>
  <c r="E33" i="4"/>
  <c r="E34" i="4"/>
  <c r="E35" i="4"/>
  <c r="E36" i="4"/>
  <c r="E32" i="4"/>
  <c r="D33" i="4"/>
  <c r="D34" i="4" s="1"/>
  <c r="D35" i="4" s="1"/>
  <c r="D32" i="4"/>
  <c r="C33" i="4"/>
  <c r="C34" i="4"/>
  <c r="C35" i="4"/>
  <c r="C36" i="4"/>
  <c r="C32" i="4"/>
  <c r="B96" i="2"/>
  <c r="J92" i="2"/>
  <c r="I92" i="2"/>
  <c r="H92" i="2"/>
  <c r="G92" i="2"/>
  <c r="F92" i="2"/>
  <c r="E92" i="2"/>
  <c r="D92" i="2"/>
  <c r="E91" i="2"/>
  <c r="F91" i="2"/>
  <c r="G91" i="2"/>
  <c r="H91" i="2"/>
  <c r="I91" i="2"/>
  <c r="J91" i="2"/>
  <c r="D91" i="2"/>
  <c r="J89" i="2"/>
  <c r="I89" i="2"/>
  <c r="H89" i="2"/>
  <c r="G89" i="2"/>
  <c r="F89" i="2"/>
  <c r="E89" i="2"/>
  <c r="J85" i="2"/>
  <c r="J84" i="2"/>
  <c r="F80" i="2"/>
  <c r="G80" i="2"/>
  <c r="H80" i="2"/>
  <c r="I80" i="2"/>
  <c r="J80" i="2"/>
  <c r="E80" i="2"/>
  <c r="F79" i="2"/>
  <c r="G79" i="2"/>
  <c r="H79" i="2"/>
  <c r="I79" i="2"/>
  <c r="J79" i="2"/>
  <c r="E79" i="2"/>
  <c r="D66" i="2"/>
  <c r="E66" i="2" s="1"/>
  <c r="I68" i="2"/>
  <c r="H68" i="2"/>
  <c r="G68" i="2"/>
  <c r="F68" i="2"/>
  <c r="E68" i="2"/>
  <c r="D68" i="2"/>
  <c r="C70" i="2"/>
  <c r="F65" i="2"/>
  <c r="G65" i="2" s="1"/>
  <c r="H65" i="2" s="1"/>
  <c r="I65" i="2" s="1"/>
  <c r="E65" i="2"/>
  <c r="D65" i="2"/>
  <c r="I67" i="2"/>
  <c r="H67" i="2"/>
  <c r="G67" i="2"/>
  <c r="F67" i="2"/>
  <c r="E67" i="2"/>
  <c r="D67" i="2"/>
  <c r="C51" i="2"/>
  <c r="E55" i="2"/>
  <c r="F55" i="2" s="1"/>
  <c r="C56" i="2" s="1"/>
  <c r="D55" i="2"/>
  <c r="C55" i="2"/>
  <c r="C49" i="2"/>
  <c r="C48" i="2"/>
  <c r="B43" i="2"/>
  <c r="M51" i="4" l="1"/>
  <c r="M54" i="4" s="1"/>
  <c r="D36" i="4"/>
  <c r="F36" i="4" s="1"/>
  <c r="F35" i="4"/>
  <c r="B41" i="4"/>
  <c r="K42" i="4"/>
  <c r="K43" i="4" s="1"/>
  <c r="K44" i="4" s="1"/>
  <c r="F32" i="4"/>
  <c r="F34" i="4"/>
  <c r="F33" i="4"/>
  <c r="F66" i="2"/>
  <c r="E69" i="2"/>
  <c r="D69" i="2"/>
  <c r="D56" i="2"/>
  <c r="E56" i="2" s="1"/>
  <c r="F56" i="2" s="1"/>
  <c r="C57" i="2" s="1"/>
  <c r="D57" i="2" s="1"/>
  <c r="E57" i="2" s="1"/>
  <c r="F57" i="2" s="1"/>
  <c r="C58" i="2" s="1"/>
  <c r="B46" i="2"/>
  <c r="M42" i="4" l="1"/>
  <c r="N42" i="4" s="1"/>
  <c r="P42" i="4" s="1"/>
  <c r="D41" i="4"/>
  <c r="E41" i="4" s="1"/>
  <c r="G41" i="4" s="1"/>
  <c r="C50" i="4" s="1"/>
  <c r="D50" i="4" s="1"/>
  <c r="B42" i="4"/>
  <c r="M41" i="4"/>
  <c r="N41" i="4" s="1"/>
  <c r="P41" i="4" s="1"/>
  <c r="M43" i="4"/>
  <c r="M44" i="4"/>
  <c r="D70" i="2"/>
  <c r="D71" i="2"/>
  <c r="E70" i="2"/>
  <c r="E71" i="2" s="1"/>
  <c r="G66" i="2"/>
  <c r="F69" i="2"/>
  <c r="D58" i="2"/>
  <c r="E58" i="2" s="1"/>
  <c r="F58" i="2" s="1"/>
  <c r="C59" i="2" s="1"/>
  <c r="D36" i="2"/>
  <c r="D37" i="2"/>
  <c r="E34" i="2"/>
  <c r="D40" i="2" s="1"/>
  <c r="B38" i="1"/>
  <c r="B33" i="1"/>
  <c r="B34" i="1"/>
  <c r="B35" i="1"/>
  <c r="B36" i="1"/>
  <c r="B32" i="1"/>
  <c r="A35" i="1"/>
  <c r="A36" i="1"/>
  <c r="A34" i="1"/>
  <c r="A33" i="1"/>
  <c r="B16" i="1"/>
  <c r="B8" i="1"/>
  <c r="D42" i="4" l="1"/>
  <c r="E42" i="4" s="1"/>
  <c r="B43" i="4"/>
  <c r="N43" i="4"/>
  <c r="P43" i="4" s="1"/>
  <c r="N44" i="4"/>
  <c r="P44" i="4" s="1"/>
  <c r="F71" i="2"/>
  <c r="F70" i="2"/>
  <c r="H66" i="2"/>
  <c r="G69" i="2"/>
  <c r="D59" i="2"/>
  <c r="E59" i="2" s="1"/>
  <c r="F59" i="2" s="1"/>
  <c r="C60" i="2" s="1"/>
  <c r="D35" i="2"/>
  <c r="E35" i="2"/>
  <c r="E36" i="2" s="1"/>
  <c r="E37" i="2" s="1"/>
  <c r="E38" i="2" s="1"/>
  <c r="E39" i="2" s="1"/>
  <c r="E40" i="2" s="1"/>
  <c r="B45" i="2" s="1"/>
  <c r="D39" i="2"/>
  <c r="D38" i="2"/>
  <c r="B44" i="4" l="1"/>
  <c r="D44" i="4" s="1"/>
  <c r="D43" i="4"/>
  <c r="E43" i="4" s="1"/>
  <c r="G42" i="4"/>
  <c r="C51" i="4" s="1"/>
  <c r="D51" i="4" s="1"/>
  <c r="I66" i="2"/>
  <c r="I69" i="2" s="1"/>
  <c r="H69" i="2"/>
  <c r="G70" i="2"/>
  <c r="G71" i="2" s="1"/>
  <c r="D60" i="2"/>
  <c r="E60" i="2" s="1"/>
  <c r="F60" i="2" s="1"/>
  <c r="E44" i="4" l="1"/>
  <c r="G44" i="4" s="1"/>
  <c r="C53" i="4" s="1"/>
  <c r="D53" i="4" s="1"/>
  <c r="G43" i="4"/>
  <c r="C52" i="4" s="1"/>
  <c r="D52" i="4" s="1"/>
  <c r="H70" i="2"/>
  <c r="H71" i="2" s="1"/>
  <c r="I70" i="2"/>
  <c r="I71" i="2" s="1"/>
  <c r="D54" i="4" l="1"/>
</calcChain>
</file>

<file path=xl/sharedStrings.xml><?xml version="1.0" encoding="utf-8"?>
<sst xmlns="http://schemas.openxmlformats.org/spreadsheetml/2006/main" count="372" uniqueCount="268">
  <si>
    <t>a. A country in South America has experienced inflation for the past 2 years as follows:</t>
  </si>
  <si>
    <t>the first year’s periodic inflation rate is 8%, and the second year’s periodic inflation</t>
  </si>
  <si>
    <t>rate is 11%. Calculate the average inflation rate for a 2-year period.</t>
  </si>
  <si>
    <t>Inflation</t>
  </si>
  <si>
    <t>Year 1</t>
  </si>
  <si>
    <t>Year 2</t>
  </si>
  <si>
    <t>Average</t>
  </si>
  <si>
    <t>b. Assume that the expected inflation rate for this year is 9%. If the current inflation free</t>
  </si>
  <si>
    <t>interest rate is 10%, what ought the market interest rate to be?</t>
  </si>
  <si>
    <t>Expected inflation rate (f)</t>
  </si>
  <si>
    <t>Inflation free interest (i`)</t>
  </si>
  <si>
    <t>Market Interest rate (i)</t>
  </si>
  <si>
    <t>c. A series of five constant dollar (or real-dollar) payments, beginning with $12,000 at</t>
  </si>
  <si>
    <t>the end of the first year, are increasing at the rate of 6% per year. Assume that the</t>
  </si>
  <si>
    <t>average general inflation rate is 3%, and the market interest rate is 9% during this</t>
  </si>
  <si>
    <t>inflationary period. What is the equivalent present worth of the series?</t>
  </si>
  <si>
    <t>P</t>
  </si>
  <si>
    <t>Increment</t>
  </si>
  <si>
    <t>Average gen inflation (f)</t>
  </si>
  <si>
    <t>Market inflation rate (i)</t>
  </si>
  <si>
    <t>Inflation free rate (i`)</t>
  </si>
  <si>
    <t>I = i` + f + (i`f)</t>
  </si>
  <si>
    <t>Amount</t>
  </si>
  <si>
    <t>Interest</t>
  </si>
  <si>
    <t>N</t>
  </si>
  <si>
    <t>Present Worth</t>
  </si>
  <si>
    <t>Dixie Cups Inc. is considering purchasing a computer to control plant packaging for a</t>
  </si>
  <si>
    <t>spectrum of various products. The financial data is as follows:</t>
  </si>
  <si>
    <t>• Investment: $280,000</t>
  </si>
  <si>
    <t>o 50% debt equity ratio. Loan ($140,000) borrowed at 11% interest.</t>
  </si>
  <si>
    <t>• Project life: 6 years</t>
  </si>
  <si>
    <t>• Salvage value: $40,000</t>
  </si>
  <si>
    <t>o Year 0 dollars</t>
  </si>
  <si>
    <t>• Depreciation method: 5-year MACRS</t>
  </si>
  <si>
    <t>• Income tax rate: 40%</t>
  </si>
  <si>
    <t>• Annual Revenue: $225,000</t>
  </si>
  <si>
    <t>• Annual Expense: $110,000</t>
  </si>
  <si>
    <t>o Does NOT include depreciation</t>
  </si>
  <si>
    <t>o Does NOT include interest</t>
  </si>
  <si>
    <t>• Market interest rate ( i ): 14%</t>
  </si>
  <si>
    <t>If the general inflation rate (effects revenues, expenses, salvage value) during the next 6</t>
  </si>
  <si>
    <t>years is expected to increase by 5% annually:</t>
  </si>
  <si>
    <t>I</t>
  </si>
  <si>
    <t>Loan</t>
  </si>
  <si>
    <t>Interest for loan</t>
  </si>
  <si>
    <t>S</t>
  </si>
  <si>
    <t>Income Tax</t>
  </si>
  <si>
    <t>A</t>
  </si>
  <si>
    <t>Revenue</t>
  </si>
  <si>
    <t>Expense</t>
  </si>
  <si>
    <t>Market interest rate</t>
  </si>
  <si>
    <t>a. Develop the income statement for the project.</t>
  </si>
  <si>
    <t>Depreciation</t>
  </si>
  <si>
    <t>n</t>
  </si>
  <si>
    <t>MACRS</t>
  </si>
  <si>
    <t>Dn</t>
  </si>
  <si>
    <t>BVn</t>
  </si>
  <si>
    <t>Year 0</t>
  </si>
  <si>
    <t>Year 4</t>
  </si>
  <si>
    <t>Salvage at year 6</t>
  </si>
  <si>
    <t>BV6 &lt; Salvage at year 6</t>
  </si>
  <si>
    <t>Taxes for capital gain</t>
  </si>
  <si>
    <t>Taxable Gain(Loss)</t>
  </si>
  <si>
    <t>AE Calculation</t>
  </si>
  <si>
    <t>AE</t>
  </si>
  <si>
    <t>Year</t>
  </si>
  <si>
    <t>Beginning Balance</t>
  </si>
  <si>
    <t>Interest Payment</t>
  </si>
  <si>
    <t>Principle Payment</t>
  </si>
  <si>
    <t>Ending Balance</t>
  </si>
  <si>
    <t>Loan Repayment Calculation</t>
  </si>
  <si>
    <t>Income Statement</t>
  </si>
  <si>
    <t>Expenses</t>
  </si>
  <si>
    <t>Taxable Income</t>
  </si>
  <si>
    <t>Net Income</t>
  </si>
  <si>
    <t>f</t>
  </si>
  <si>
    <t>Year 3</t>
  </si>
  <si>
    <t>Year 5</t>
  </si>
  <si>
    <t>Year 6</t>
  </si>
  <si>
    <t>Debt Interest</t>
  </si>
  <si>
    <t>b. Develop the cash flow statement for the project.</t>
  </si>
  <si>
    <t>Cash Flow Statement</t>
  </si>
  <si>
    <t>Operating Activities</t>
  </si>
  <si>
    <t>Investment Activities</t>
  </si>
  <si>
    <t>Investment</t>
  </si>
  <si>
    <t>Salvage</t>
  </si>
  <si>
    <t>Gains Tax</t>
  </si>
  <si>
    <t>Financing Activities</t>
  </si>
  <si>
    <t>Borrowed Funds</t>
  </si>
  <si>
    <t>Principle Repayment</t>
  </si>
  <si>
    <t>Net Cash Flow</t>
  </si>
  <si>
    <t>c. Determine the PW of the project. Is the project economically viable?</t>
  </si>
  <si>
    <t>Why?</t>
  </si>
  <si>
    <t>PW Calculation</t>
  </si>
  <si>
    <t>Net present worth is greater than 0. Therefore, this project is economically viable.</t>
  </si>
  <si>
    <t>a. The remaining useful life of an asset that results in the minimum annual</t>
  </si>
  <si>
    <t>equivalent cost is known as the:</t>
  </si>
  <si>
    <t>Economic Service Life</t>
  </si>
  <si>
    <t>b. Which of the following statements is incorrect in relation to Sunk Costs:</t>
  </si>
  <si>
    <t>Should be considered when making economic decisions.</t>
  </si>
  <si>
    <t>c. True or False:</t>
  </si>
  <si>
    <t>Different operating costs must be included for both the defender and the challenger</t>
  </si>
  <si>
    <t>d. True or False:</t>
  </si>
  <si>
    <t>The current market value and the trade-in allowance typically differ?</t>
  </si>
  <si>
    <t>e. Which of the following statements is incorrect in relation the guidelines for</t>
  </si>
  <si>
    <t>Replacement Analysis with Tax Considerations:</t>
  </si>
  <si>
    <t>losses can be omitted.</t>
  </si>
  <si>
    <t>When calculating the net proceeds from sale of the old asset, any gains or</t>
  </si>
  <si>
    <t>Boeing is considering replacing a machine that has been used to make a certain kind of</t>
  </si>
  <si>
    <t>fuselage bolt.</t>
  </si>
  <si>
    <t>The financial data for the new improved machine is as follows:</t>
  </si>
  <si>
    <t>• Investment cost $50,000 (installed)</t>
  </si>
  <si>
    <t>• Estimated useful life of 5 years</t>
  </si>
  <si>
    <t>• Salvage value of $19,000 after the first year, decreasing at a rate of 10% each</t>
  </si>
  <si>
    <t>year.</t>
  </si>
  <si>
    <t>• Operating and maintenance costs are expected to be $6,300 in the first year</t>
  </si>
  <si>
    <t>increasing at a rate of 27% each year.</t>
  </si>
  <si>
    <t>The financial data for the existing machine is as follows:</t>
  </si>
  <si>
    <t>• Investment cost $47,000 (installed), 2 years ago</t>
  </si>
  <si>
    <t>• Estimated useful life of 7 years from time of purchase</t>
  </si>
  <si>
    <t>• Salvage value of $16,000 after the first year (from today), decreasing at a rate of</t>
  </si>
  <si>
    <t>12% each year.</t>
  </si>
  <si>
    <t>• Current market value of $43,000</t>
  </si>
  <si>
    <t>• Operating and maintenance costs for the next 5 years are expected to be $5,000</t>
  </si>
  <si>
    <t>in the first year increasing at a rate of</t>
  </si>
  <si>
    <t>• 60% each year.</t>
  </si>
  <si>
    <t>With a MARR of 18%, calculate the following:</t>
  </si>
  <si>
    <t>a. Calculate the economic service life for each option.</t>
  </si>
  <si>
    <t>New Machine</t>
  </si>
  <si>
    <t>Life</t>
  </si>
  <si>
    <t>O&amp;M</t>
  </si>
  <si>
    <t>YoY</t>
  </si>
  <si>
    <t>+</t>
  </si>
  <si>
    <t>-</t>
  </si>
  <si>
    <t>(A|P,I,n)</t>
  </si>
  <si>
    <t>(A|F,I,n)</t>
  </si>
  <si>
    <t>CR</t>
  </si>
  <si>
    <t>MARR</t>
  </si>
  <si>
    <t>OC(i)</t>
  </si>
  <si>
    <t>(P|F,i,n)</t>
  </si>
  <si>
    <t>(A|P,i,n)</t>
  </si>
  <si>
    <t>OC</t>
  </si>
  <si>
    <t>OCn(P|F,i,n)</t>
  </si>
  <si>
    <t>∑OCn(P|F,i,n)</t>
  </si>
  <si>
    <t>Existing Machine</t>
  </si>
  <si>
    <t>EUAC</t>
  </si>
  <si>
    <t>Min</t>
  </si>
  <si>
    <t>This machine will have an economic service life after 5 years with EUAC at $24,188</t>
  </si>
  <si>
    <t>This project will have an economic service like after 4 years with EUAC at $27,030</t>
  </si>
  <si>
    <t>b. What are your conclusions?</t>
  </si>
  <si>
    <t>c. When should the defender be replaced? What are your final conclusions?</t>
  </si>
  <si>
    <t>Opportunity cost of keeping the old machine for 5th year = Salvage value at year 4</t>
  </si>
  <si>
    <t>O&amp;M at Year 4</t>
  </si>
  <si>
    <t>Salvage at Y4</t>
  </si>
  <si>
    <t>(A|P,I,N)</t>
  </si>
  <si>
    <t>(A|F,I,N)</t>
  </si>
  <si>
    <t>(P|F,I,N)</t>
  </si>
  <si>
    <t>CR(i)</t>
  </si>
  <si>
    <t>EUAC(i)</t>
  </si>
  <si>
    <t xml:space="preserve"> </t>
  </si>
  <si>
    <t>Consider the following 5 investment opportunities for a drug development project:</t>
  </si>
  <si>
    <t>Project</t>
  </si>
  <si>
    <t>Required Investment</t>
  </si>
  <si>
    <t>Annual Savings</t>
  </si>
  <si>
    <t>B</t>
  </si>
  <si>
    <t>C</t>
  </si>
  <si>
    <t>D</t>
  </si>
  <si>
    <t>E</t>
  </si>
  <si>
    <t>Projects A and B are mutually exclusive.</t>
  </si>
  <si>
    <t>Project C is contingent upon Project A.</t>
  </si>
  <si>
    <t>Projects D and E are also mutually exclusive.</t>
  </si>
  <si>
    <t>a. How many mutually exclusive decision alternatives are in the problem including the</t>
  </si>
  <si>
    <t>do-nothing alternatives?</t>
  </si>
  <si>
    <t>Total Investment</t>
  </si>
  <si>
    <t>Total Savings</t>
  </si>
  <si>
    <t>b. What is the total required investment for each alternative?</t>
  </si>
  <si>
    <t>c. What is the total annual savings over 10 years for each alternative?</t>
  </si>
  <si>
    <t>LittleZé Pharmaceutical Company needs to raise $23,000,000 in order to build a new</t>
  </si>
  <si>
    <t>process unit for a new drug they are launching in 2018.LittleZé Pharmaceutical</t>
  </si>
  <si>
    <t>Company’s target capital structure calls for a debt ratio of 30%. Therefore, $16.1 million</t>
  </si>
  <si>
    <t>needs to be financed from equity from the following sources:</t>
  </si>
  <si>
    <t>Source</t>
  </si>
  <si>
    <t>Retained earning</t>
  </si>
  <si>
    <t>New Common Stock</t>
  </si>
  <si>
    <t>Preferred Stock</t>
  </si>
  <si>
    <t>The following details the financial data for both the common stock and preferred stock</t>
  </si>
  <si>
    <t>options:</t>
  </si>
  <si>
    <t>Market Price</t>
  </si>
  <si>
    <t>Annual Cash Divident</t>
  </si>
  <si>
    <t>Annual Cash Divident Growth Rate</t>
  </si>
  <si>
    <t>Issue Price</t>
  </si>
  <si>
    <t>Flotation Costs</t>
  </si>
  <si>
    <t>Common Stock</t>
  </si>
  <si>
    <t>1. Calculate the cost of equity required to finance the new process unit.</t>
  </si>
  <si>
    <t>Cost of retaining earning</t>
  </si>
  <si>
    <t>Rate of return (kr)</t>
  </si>
  <si>
    <t>Cost of new common stock</t>
  </si>
  <si>
    <t>Common equity (ke)</t>
  </si>
  <si>
    <t>Cost of preferred Stock</t>
  </si>
  <si>
    <t>Preferred stock (kp)</t>
  </si>
  <si>
    <t>Cost of equity</t>
  </si>
  <si>
    <t>ie</t>
  </si>
  <si>
    <t>Total</t>
  </si>
  <si>
    <t>LittleZé Pharmaceutical Company needs to raise $11,000,000 in order to build a new</t>
  </si>
  <si>
    <t>process unit for a new drug they are launching in 2019.The following table lists 4 critical</t>
  </si>
  <si>
    <t>input variables for the financial analysis and the associated limits of uncertainty:</t>
  </si>
  <si>
    <t>Input</t>
  </si>
  <si>
    <t>Lower Limit</t>
  </si>
  <si>
    <t>Base Case</t>
  </si>
  <si>
    <t>Upper Limit</t>
  </si>
  <si>
    <t>Building Cost</t>
  </si>
  <si>
    <t>Equipment Cost</t>
  </si>
  <si>
    <t>Annual Revenue</t>
  </si>
  <si>
    <t>Annual O&amp;M Costs</t>
  </si>
  <si>
    <t>With a MARR of 21% and a project life of 7 years, perform a sensitivity analysis on the</t>
  </si>
  <si>
    <t>data using PW as the figure of merit assessed.</t>
  </si>
  <si>
    <t>a. Present the data in tabular format as shown in the lecture.</t>
  </si>
  <si>
    <t>Total Revenue</t>
  </si>
  <si>
    <t>% Base case value</t>
  </si>
  <si>
    <t>Revenue Cost</t>
  </si>
  <si>
    <t>O&amp;M Cost</t>
  </si>
  <si>
    <t>a. When comparing mutually exclusive risky alternatives (project A and B),</t>
  </si>
  <si>
    <t>if EA &lt; EB and VA ³ VB,</t>
  </si>
  <si>
    <t>where EA and EB represents the expected values of project A and B, and</t>
  </si>
  <si>
    <t>VA and VB represent the variances of project A and B</t>
  </si>
  <si>
    <t>Which project should be selected?</t>
  </si>
  <si>
    <t>Select B</t>
  </si>
  <si>
    <t>b. A circle in a decision tree represents which of the following?</t>
  </si>
  <si>
    <t>A probability node.</t>
  </si>
  <si>
    <t>value simultaneously?</t>
  </si>
  <si>
    <t>c. A random variable is a parameter or variable that can have more than one possible</t>
  </si>
  <si>
    <t>d. When should risk simulation be used?</t>
  </si>
  <si>
    <t>When multiple random variables or where standard analytical methods are not suitable</t>
  </si>
  <si>
    <t>e. What is Decision Tree Analysis?</t>
  </si>
  <si>
    <t>It facilitates investment decision making when uncertainty prevails, especially when the</t>
  </si>
  <si>
    <t>problem has a sequence of decisions.</t>
  </si>
  <si>
    <t>A microchip company is considering two mutually exclusive projects, both of which have</t>
  </si>
  <si>
    <t>an economic service life of one year with no salvage value. The initial cost and the netyear-</t>
  </si>
  <si>
    <t>end revenue for each project are given in the following table:</t>
  </si>
  <si>
    <t>Project 1</t>
  </si>
  <si>
    <t>Project 2</t>
  </si>
  <si>
    <t>Initial Cost</t>
  </si>
  <si>
    <t>Probability</t>
  </si>
  <si>
    <t>Net Revenue given in PW</t>
  </si>
  <si>
    <t>Assuming both projects are statistically independent of each other,</t>
  </si>
  <si>
    <t>a. Calculate the expected value for each project.</t>
  </si>
  <si>
    <t>Expected</t>
  </si>
  <si>
    <t>Expected Value Op1</t>
  </si>
  <si>
    <t>Expected Value Op2</t>
  </si>
  <si>
    <t>b. Calculate the variance for each project.</t>
  </si>
  <si>
    <t>Var of opt1</t>
  </si>
  <si>
    <t>Var of opt2</t>
  </si>
  <si>
    <t>c. Which project should be chosen? Why?</t>
  </si>
  <si>
    <t>E2 &lt; E1</t>
  </si>
  <si>
    <t>V1 &lt; V2</t>
  </si>
  <si>
    <t>Select Project 1. Even though the expected value is a bit higher, the variance is less as compared to project 2</t>
  </si>
  <si>
    <t>b. Present the data in a spiderplot format.</t>
  </si>
  <si>
    <t>c. Which input has the biggest impact on the PW?</t>
  </si>
  <si>
    <t>% base case value</t>
  </si>
  <si>
    <t>% change of input variable from base case</t>
  </si>
  <si>
    <t>NPV</t>
  </si>
  <si>
    <t>% change in output</t>
  </si>
  <si>
    <t>Sensitivity Ratio</t>
  </si>
  <si>
    <t>NA</t>
  </si>
  <si>
    <t>SPIDER PLOT</t>
  </si>
  <si>
    <t>Revenue Cost has the impact with a sensitivity ratio 12.01</t>
  </si>
  <si>
    <t>Service life of new machine is &gt; the existing maching. Therefore the firm must use new machine.</t>
  </si>
  <si>
    <t>Shift to new machine after 4 years of using the existing machine.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</si>
</sst>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_);_(* \(#,##0.0000\);_(* &quot;-&quot;??_);_(@_)"/>
    <numFmt numFmtId="165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</cellStyleXfs>
  <cellXfs count="90">
    <xf numFmtId="0" fontId="0" fillId="0" borderId="0" xfId="0"/>
    <xf numFmtId="9" fontId="0" fillId="0" borderId="0" xfId="0" applyNumberFormat="1"/>
    <xf numFmtId="0" fontId="2" fillId="2" borderId="0" xfId="4"/>
    <xf numFmtId="0" fontId="4" fillId="8" borderId="0" xfId="12" applyFont="1"/>
    <xf numFmtId="10" fontId="4" fillId="8" borderId="0" xfId="12" quotePrefix="1" applyNumberFormat="1" applyFont="1"/>
    <xf numFmtId="0" fontId="3" fillId="3" borderId="0" xfId="5"/>
    <xf numFmtId="0" fontId="5" fillId="0" borderId="0" xfId="7"/>
    <xf numFmtId="10" fontId="0" fillId="0" borderId="0" xfId="0" applyNumberFormat="1"/>
    <xf numFmtId="6" fontId="0" fillId="0" borderId="0" xfId="0" applyNumberFormat="1"/>
    <xf numFmtId="10" fontId="4" fillId="8" borderId="0" xfId="12" applyNumberFormat="1" applyFont="1"/>
    <xf numFmtId="8" fontId="0" fillId="0" borderId="0" xfId="0" applyNumberFormat="1"/>
    <xf numFmtId="164" fontId="0" fillId="0" borderId="0" xfId="1" applyNumberFormat="1" applyFont="1"/>
    <xf numFmtId="0" fontId="7" fillId="9" borderId="0" xfId="13"/>
    <xf numFmtId="44" fontId="4" fillId="8" borderId="0" xfId="12" applyNumberFormat="1" applyFont="1"/>
    <xf numFmtId="0" fontId="0" fillId="0" borderId="0" xfId="0" applyAlignment="1">
      <alignment horizontal="left" indent="1"/>
    </xf>
    <xf numFmtId="10" fontId="0" fillId="0" borderId="0" xfId="3" applyNumberFormat="1" applyFont="1"/>
    <xf numFmtId="165" fontId="0" fillId="0" borderId="0" xfId="2" applyNumberFormat="1" applyFont="1"/>
    <xf numFmtId="165" fontId="0" fillId="0" borderId="0" xfId="0" applyNumberFormat="1"/>
    <xf numFmtId="44" fontId="0" fillId="0" borderId="0" xfId="0" applyNumberFormat="1"/>
    <xf numFmtId="0" fontId="4" fillId="5" borderId="0" xfId="9" applyFo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4" fillId="8" borderId="0" xfId="12" applyFont="1"/>
    <xf numFmtId="8" fontId="4" fillId="8" borderId="0" xfId="12" applyNumberFormat="1" applyFont="1"/>
    <xf numFmtId="0" fontId="0" fillId="0" borderId="0" xfId="0" applyBorder="1"/>
    <xf numFmtId="0" fontId="3" fillId="3" borderId="0" xfId="5" applyBorder="1"/>
    <xf numFmtId="0" fontId="4" fillId="7" borderId="0" xfId="11" applyFont="1"/>
    <xf numFmtId="0" fontId="4" fillId="4" borderId="1" xfId="6"/>
    <xf numFmtId="0" fontId="5" fillId="0" borderId="4" xfId="7" applyBorder="1"/>
    <xf numFmtId="0" fontId="0" fillId="0" borderId="5" xfId="0" applyBorder="1"/>
    <xf numFmtId="0" fontId="0" fillId="0" borderId="6" xfId="0" applyBorder="1"/>
    <xf numFmtId="0" fontId="3" fillId="3" borderId="7" xfId="5" applyBorder="1"/>
    <xf numFmtId="0" fontId="0" fillId="0" borderId="8" xfId="0" applyBorder="1"/>
    <xf numFmtId="0" fontId="0" fillId="0" borderId="7" xfId="0" applyBorder="1"/>
    <xf numFmtId="165" fontId="0" fillId="0" borderId="0" xfId="0" applyNumberFormat="1" applyBorder="1"/>
    <xf numFmtId="165" fontId="7" fillId="9" borderId="0" xfId="13" applyNumberFormat="1" applyBorder="1"/>
    <xf numFmtId="0" fontId="4" fillId="6" borderId="0" xfId="10" applyFont="1" applyBorder="1"/>
    <xf numFmtId="165" fontId="4" fillId="6" borderId="0" xfId="10" applyNumberFormat="1" applyFont="1" applyBorder="1"/>
    <xf numFmtId="0" fontId="0" fillId="0" borderId="11" xfId="0" applyBorder="1"/>
    <xf numFmtId="0" fontId="0" fillId="0" borderId="13" xfId="0" applyBorder="1"/>
    <xf numFmtId="0" fontId="5" fillId="0" borderId="7" xfId="7" applyBorder="1"/>
    <xf numFmtId="6" fontId="0" fillId="0" borderId="0" xfId="0" applyNumberFormat="1" applyBorder="1"/>
    <xf numFmtId="6" fontId="0" fillId="0" borderId="8" xfId="0" applyNumberFormat="1" applyBorder="1"/>
    <xf numFmtId="0" fontId="0" fillId="0" borderId="14" xfId="0" applyBorder="1"/>
    <xf numFmtId="6" fontId="0" fillId="0" borderId="11" xfId="0" applyNumberFormat="1" applyBorder="1"/>
    <xf numFmtId="6" fontId="0" fillId="0" borderId="13" xfId="0" applyNumberFormat="1" applyBorder="1"/>
    <xf numFmtId="0" fontId="3" fillId="3" borderId="8" xfId="5" applyBorder="1"/>
    <xf numFmtId="0" fontId="6" fillId="0" borderId="2" xfId="8"/>
    <xf numFmtId="6" fontId="6" fillId="0" borderId="2" xfId="8" applyNumberFormat="1"/>
    <xf numFmtId="9" fontId="6" fillId="0" borderId="2" xfId="8" applyNumberFormat="1"/>
    <xf numFmtId="165" fontId="0" fillId="0" borderId="8" xfId="0" applyNumberFormat="1" applyBorder="1"/>
    <xf numFmtId="165" fontId="0" fillId="0" borderId="13" xfId="0" applyNumberFormat="1" applyBorder="1"/>
    <xf numFmtId="0" fontId="0" fillId="0" borderId="15" xfId="0" applyBorder="1"/>
    <xf numFmtId="0" fontId="0" fillId="0" borderId="16" xfId="0" applyBorder="1"/>
    <xf numFmtId="0" fontId="0" fillId="0" borderId="3" xfId="0" applyBorder="1"/>
    <xf numFmtId="0" fontId="0" fillId="0" borderId="18" xfId="0" applyBorder="1"/>
    <xf numFmtId="0" fontId="0" fillId="0" borderId="20" xfId="0" applyBorder="1"/>
    <xf numFmtId="165" fontId="0" fillId="0" borderId="0" xfId="2" applyNumberFormat="1" applyFont="1" applyBorder="1"/>
    <xf numFmtId="0" fontId="0" fillId="0" borderId="0" xfId="0" applyAlignment="1"/>
    <xf numFmtId="9" fontId="0" fillId="0" borderId="0" xfId="0" applyNumberFormat="1" applyAlignment="1"/>
    <xf numFmtId="43" fontId="0" fillId="0" borderId="0" xfId="1" applyFont="1"/>
    <xf numFmtId="2" fontId="0" fillId="0" borderId="0" xfId="0" applyNumberFormat="1"/>
    <xf numFmtId="0" fontId="3" fillId="3" borderId="0" xfId="5" applyAlignment="1"/>
    <xf numFmtId="0" fontId="4" fillId="8" borderId="0" xfId="12" applyFont="1"/>
    <xf numFmtId="0" fontId="9" fillId="5" borderId="0" xfId="9" applyFont="1" applyAlignment="1">
      <alignment horizontal="center" vertical="center" textRotation="90"/>
    </xf>
    <xf numFmtId="0" fontId="8" fillId="5" borderId="0" xfId="9" applyFont="1" applyAlignment="1">
      <alignment horizontal="center" vertical="center"/>
    </xf>
    <xf numFmtId="0" fontId="8" fillId="5" borderId="0" xfId="9" applyFont="1" applyAlignment="1">
      <alignment horizontal="center" vertical="center" textRotation="90" wrapText="1"/>
    </xf>
    <xf numFmtId="0" fontId="10" fillId="5" borderId="0" xfId="9" applyFont="1" applyAlignment="1">
      <alignment horizontal="center" vertical="center" textRotation="90" wrapText="1"/>
    </xf>
    <xf numFmtId="0" fontId="10" fillId="5" borderId="0" xfId="9" applyFont="1" applyAlignment="1">
      <alignment horizontal="center" vertical="center" textRotation="90"/>
    </xf>
    <xf numFmtId="0" fontId="4" fillId="7" borderId="0" xfId="11" applyFont="1"/>
    <xf numFmtId="0" fontId="4" fillId="4" borderId="9" xfId="6" applyBorder="1"/>
    <xf numFmtId="0" fontId="4" fillId="4" borderId="10" xfId="6" applyBorder="1"/>
    <xf numFmtId="0" fontId="4" fillId="4" borderId="12" xfId="6" applyBorder="1"/>
    <xf numFmtId="0" fontId="7" fillId="9" borderId="0" xfId="13"/>
    <xf numFmtId="0" fontId="0" fillId="0" borderId="0" xfId="0" applyAlignment="1">
      <alignment horizontal="center"/>
    </xf>
    <xf numFmtId="0" fontId="2" fillId="2" borderId="0" xfId="4"/>
    <xf numFmtId="0" fontId="4" fillId="4" borderId="1" xfId="6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6" fontId="0" fillId="0" borderId="18" xfId="0" applyNumberFormat="1" applyBorder="1"/>
    <xf numFmtId="6" fontId="0" fillId="0" borderId="19" xfId="0" applyNumberFormat="1" applyBorder="1"/>
    <xf numFmtId="6" fontId="0" fillId="0" borderId="20" xfId="0" applyNumberFormat="1" applyBorder="1"/>
    <xf numFmtId="0" fontId="4" fillId="4" borderId="21" xfId="6" applyBorder="1"/>
    <xf numFmtId="0" fontId="4" fillId="4" borderId="0" xfId="6" applyBorder="1"/>
  </cellXfs>
  <cellStyles count="14">
    <cellStyle name="60% - Accent6" xfId="13" builtinId="52"/>
    <cellStyle name="Accent1" xfId="9" builtinId="29"/>
    <cellStyle name="Accent2" xfId="10" builtinId="33"/>
    <cellStyle name="Accent4" xfId="11" builtinId="41"/>
    <cellStyle name="Accent6" xfId="12" builtinId="49"/>
    <cellStyle name="Check Cell" xfId="6" builtinId="23"/>
    <cellStyle name="Comma" xfId="1" builtinId="3"/>
    <cellStyle name="Currency" xfId="2" builtinId="4"/>
    <cellStyle name="Explanatory Text" xfId="7" builtinId="53"/>
    <cellStyle name="Good" xfId="4" builtinId="26"/>
    <cellStyle name="Neutral" xfId="5" builtinId="28"/>
    <cellStyle name="Normal" xfId="0" builtinId="0"/>
    <cellStyle name="Percent" xfId="3" builtinId="5"/>
    <cellStyle name="Total" xfId="8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4'!$D$48</c:f>
              <c:strCache>
                <c:ptCount val="1"/>
                <c:pt idx="0">
                  <c:v>EUAC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'Question 4'!$D$49:$D$53</c:f>
              <c:numCache>
                <c:formatCode>_("$"* #,##0_);_("$"* \(#,##0\);_("$"* "-"??_);_(@_)</c:formatCode>
                <c:ptCount val="5"/>
                <c:pt idx="0">
                  <c:v>46300.000000000007</c:v>
                </c:pt>
                <c:pt idx="1">
                  <c:v>31172.018348623853</c:v>
                </c:pt>
                <c:pt idx="2">
                  <c:v>26630.883999552123</c:v>
                </c:pt>
                <c:pt idx="3">
                  <c:v>24825.305650615326</c:v>
                </c:pt>
                <c:pt idx="4">
                  <c:v>24188.210370980232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A-45F4-A01C-8117EB92F046}"/>
            </c:ext>
          </c:extLst>
        </c:ser>
        <c:ser>
          <c:idx val="2"/>
          <c:order val="2"/>
          <c:tx>
            <c:strRef>
              <c:f>'Question 4'!$M$48</c:f>
              <c:strCache>
                <c:ptCount val="1"/>
                <c:pt idx="0">
                  <c:v>EUAC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'Question 4'!$M$49:$M$53</c:f>
              <c:numCache>
                <c:formatCode>_("$"* #,##0_);_("$"* \(#,##0\);_("$"* "-"??_);_(@_)</c:formatCode>
                <c:ptCount val="5"/>
                <c:pt idx="0">
                  <c:v>44460.000000000007</c:v>
                </c:pt>
                <c:pt idx="1">
                  <c:v>29937.064220183485</c:v>
                </c:pt>
                <c:pt idx="2">
                  <c:v>26322.389430075018</c:v>
                </c:pt>
                <c:pt idx="3">
                  <c:v>25914.893094186635</c:v>
                </c:pt>
                <c:pt idx="4">
                  <c:v>27330.028077007351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CA-45F4-A01C-8117EB92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881935"/>
        <c:axId val="1406893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'Question 4'!$J$48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'Question 4'!$J$49:$J$53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3CA-45F4-A01C-8117EB92F046}"/>
                  </c:ext>
                </c:extLst>
              </c15:ser>
            </c15:filteredLineSeries>
          </c:ext>
        </c:extLst>
      </c:lineChart>
      <c:catAx>
        <c:axId val="140688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3999"/>
        <c:crosses val="autoZero"/>
        <c:auto val="1"/>
        <c:lblAlgn val="ctr"/>
        <c:lblOffset val="100"/>
        <c:noMultiLvlLbl val="0"/>
      </c:catAx>
      <c:valAx>
        <c:axId val="1406893999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8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Spider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7'!$B$53</c:f>
              <c:strCache>
                <c:ptCount val="1"/>
                <c:pt idx="0">
                  <c:v>Building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7'!$A$54:$A$63</c:f>
              <c:numCache>
                <c:formatCode>0%</c:formatCode>
                <c:ptCount val="10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</c:numCache>
            </c:numRef>
          </c:cat>
          <c:val>
            <c:numRef>
              <c:f>'Question 7'!$B$54:$B$63</c:f>
              <c:numCache>
                <c:formatCode>_("$"* #,##0_);_("$"* \(#,##0\);_("$"* "-"??_);_(@_)</c:formatCode>
                <c:ptCount val="10"/>
                <c:pt idx="0">
                  <c:v>1482249.9425856005</c:v>
                </c:pt>
                <c:pt idx="1">
                  <c:v>1367249.9425856005</c:v>
                </c:pt>
                <c:pt idx="2">
                  <c:v>1252249.9425856005</c:v>
                </c:pt>
                <c:pt idx="3">
                  <c:v>1137249.9425856005</c:v>
                </c:pt>
                <c:pt idx="4">
                  <c:v>1022249.9425856005</c:v>
                </c:pt>
                <c:pt idx="5">
                  <c:v>907249.94258560054</c:v>
                </c:pt>
                <c:pt idx="6">
                  <c:v>792249.94258560054</c:v>
                </c:pt>
                <c:pt idx="7">
                  <c:v>677249.94258560054</c:v>
                </c:pt>
                <c:pt idx="8">
                  <c:v>562249.94258560054</c:v>
                </c:pt>
                <c:pt idx="9">
                  <c:v>447249.94258560054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6-4273-A7BA-F6787A08C8A5}"/>
            </c:ext>
          </c:extLst>
        </c:ser>
        <c:ser>
          <c:idx val="1"/>
          <c:order val="1"/>
          <c:tx>
            <c:strRef>
              <c:f>'Question 7'!$C$53</c:f>
              <c:strCache>
                <c:ptCount val="1"/>
                <c:pt idx="0">
                  <c:v>Equipment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 7'!$A$54:$A$63</c:f>
              <c:numCache>
                <c:formatCode>0%</c:formatCode>
                <c:ptCount val="10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</c:numCache>
            </c:numRef>
          </c:cat>
          <c:val>
            <c:numRef>
              <c:f>'Question 7'!$C$54:$C$63</c:f>
              <c:numCache>
                <c:formatCode>_("$"* #,##0_);_("$"* \(#,##0\);_("$"* "-"??_);_(@_)</c:formatCode>
                <c:ptCount val="10"/>
                <c:pt idx="2">
                  <c:v>1672249.9425856005</c:v>
                </c:pt>
                <c:pt idx="3">
                  <c:v>1347249.9425856005</c:v>
                </c:pt>
                <c:pt idx="4">
                  <c:v>1022249.9425856005</c:v>
                </c:pt>
                <c:pt idx="5">
                  <c:v>697249.94258560054</c:v>
                </c:pt>
                <c:pt idx="6">
                  <c:v>372249.94258560054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6-4273-A7BA-F6787A08C8A5}"/>
            </c:ext>
          </c:extLst>
        </c:ser>
        <c:ser>
          <c:idx val="2"/>
          <c:order val="2"/>
          <c:tx>
            <c:strRef>
              <c:f>'Question 7'!$D$53</c:f>
              <c:strCache>
                <c:ptCount val="1"/>
                <c:pt idx="0">
                  <c:v>Revenue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7'!$A$54:$A$63</c:f>
              <c:numCache>
                <c:formatCode>0%</c:formatCode>
                <c:ptCount val="10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</c:numCache>
            </c:numRef>
          </c:cat>
          <c:val>
            <c:numRef>
              <c:f>'Question 7'!$D$54:$D$63</c:f>
              <c:numCache>
                <c:formatCode>_("$"* #,##0_);_("$"* \(#,##0\);_("$"* "-"??_);_(@_)</c:formatCode>
                <c:ptCount val="10"/>
                <c:pt idx="2">
                  <c:v>-205531.30023759976</c:v>
                </c:pt>
                <c:pt idx="3">
                  <c:v>408359.32117400132</c:v>
                </c:pt>
                <c:pt idx="4">
                  <c:v>1022249.9425856005</c:v>
                </c:pt>
                <c:pt idx="5">
                  <c:v>1636140.5639971998</c:v>
                </c:pt>
                <c:pt idx="6">
                  <c:v>2250031.1854088008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6-4273-A7BA-F6787A08C8A5}"/>
            </c:ext>
          </c:extLst>
        </c:ser>
        <c:ser>
          <c:idx val="3"/>
          <c:order val="3"/>
          <c:tx>
            <c:strRef>
              <c:f>'Question 7'!$E$53</c:f>
              <c:strCache>
                <c:ptCount val="1"/>
                <c:pt idx="0">
                  <c:v>O&amp;M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'Question 7'!$A$54:$A$63</c:f>
              <c:numCache>
                <c:formatCode>0%</c:formatCode>
                <c:ptCount val="10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</c:numCache>
            </c:numRef>
          </c:cat>
          <c:val>
            <c:numRef>
              <c:f>'Question 7'!$E$54:$E$63</c:f>
              <c:numCache>
                <c:formatCode>"$"#,##0_);[Red]\("$"#,##0\)</c:formatCode>
                <c:ptCount val="10"/>
                <c:pt idx="1">
                  <c:v>1390584.3154325597</c:v>
                </c:pt>
                <c:pt idx="2">
                  <c:v>1267806.1911502406</c:v>
                </c:pt>
                <c:pt idx="3">
                  <c:v>1145028.0668679215</c:v>
                </c:pt>
                <c:pt idx="4">
                  <c:v>1022249.9425856005</c:v>
                </c:pt>
                <c:pt idx="5">
                  <c:v>899471.81830327958</c:v>
                </c:pt>
                <c:pt idx="6">
                  <c:v>776693.69402096048</c:v>
                </c:pt>
                <c:pt idx="7">
                  <c:v>653915.56973863952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26-4273-A7BA-F6787A08C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119535"/>
        <c:axId val="1987142415"/>
      </c:lineChart>
      <c:catAx>
        <c:axId val="198711953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42415"/>
        <c:crosses val="autoZero"/>
        <c:auto val="1"/>
        <c:lblAlgn val="ctr"/>
        <c:lblOffset val="100"/>
        <c:noMultiLvlLbl val="0"/>
      </c:catAx>
      <c:valAx>
        <c:axId val="198714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1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60</xdr:row>
      <xdr:rowOff>120015</xdr:rowOff>
    </xdr:from>
    <xdr:to>
      <xdr:col>6</xdr:col>
      <xdr:colOff>457200</xdr:colOff>
      <xdr:row>75</xdr:row>
      <xdr:rowOff>120015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49</xdr:row>
      <xdr:rowOff>173354</xdr:rowOff>
    </xdr:from>
    <xdr:to>
      <xdr:col>13</xdr:col>
      <xdr:colOff>541020</xdr:colOff>
      <xdr:row>68</xdr:row>
      <xdr:rowOff>144779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7" workbookViewId="0">
      <selection activeCell="A40" sqref="A40"/>
    </sheetView>
  </sheetViews>
  <sheetFormatPr defaultRowHeight="14.4" x14ac:dyDescent="0.55000000000000004"/>
  <cols>
    <col min="1" max="1" width="22.41796875" customWidth="1"/>
    <col min="2" max="2" width="11.7890625" bestFit="1" customWidth="1"/>
  </cols>
  <sheetData>
    <row r="1" spans="1:3" x14ac:dyDescent="0.55000000000000004">
      <c r="A1" s="6" t="s">
        <v>0</v>
      </c>
    </row>
    <row r="2" spans="1:3" x14ac:dyDescent="0.55000000000000004">
      <c r="A2" s="6" t="s">
        <v>1</v>
      </c>
    </row>
    <row r="3" spans="1:3" x14ac:dyDescent="0.55000000000000004">
      <c r="A3" s="6" t="s">
        <v>2</v>
      </c>
    </row>
    <row r="5" spans="1:3" x14ac:dyDescent="0.55000000000000004">
      <c r="B5" t="s">
        <v>4</v>
      </c>
      <c r="C5" t="s">
        <v>5</v>
      </c>
    </row>
    <row r="6" spans="1:3" x14ac:dyDescent="0.55000000000000004">
      <c r="A6" t="s">
        <v>3</v>
      </c>
      <c r="B6" s="1">
        <v>0.08</v>
      </c>
      <c r="C6" s="1">
        <v>0.11</v>
      </c>
    </row>
    <row r="8" spans="1:3" x14ac:dyDescent="0.55000000000000004">
      <c r="A8" s="3" t="s">
        <v>6</v>
      </c>
      <c r="B8" s="4">
        <f>AVERAGE(B6:C6)</f>
        <v>9.5000000000000001E-2</v>
      </c>
    </row>
    <row r="11" spans="1:3" x14ac:dyDescent="0.55000000000000004">
      <c r="A11" s="6" t="s">
        <v>7</v>
      </c>
    </row>
    <row r="12" spans="1:3" x14ac:dyDescent="0.55000000000000004">
      <c r="A12" s="6" t="s">
        <v>8</v>
      </c>
    </row>
    <row r="14" spans="1:3" x14ac:dyDescent="0.55000000000000004">
      <c r="A14" t="s">
        <v>9</v>
      </c>
      <c r="B14" s="1">
        <v>0.09</v>
      </c>
    </row>
    <row r="15" spans="1:3" x14ac:dyDescent="0.55000000000000004">
      <c r="A15" t="s">
        <v>10</v>
      </c>
      <c r="B15" s="1">
        <v>0.1</v>
      </c>
    </row>
    <row r="16" spans="1:3" x14ac:dyDescent="0.55000000000000004">
      <c r="A16" s="3" t="s">
        <v>11</v>
      </c>
      <c r="B16" s="9">
        <f>B14+B15+(B14*B15)</f>
        <v>0.19900000000000001</v>
      </c>
    </row>
    <row r="19" spans="1:3" x14ac:dyDescent="0.55000000000000004">
      <c r="A19" s="6" t="s">
        <v>12</v>
      </c>
    </row>
    <row r="20" spans="1:3" x14ac:dyDescent="0.55000000000000004">
      <c r="A20" s="6" t="s">
        <v>13</v>
      </c>
    </row>
    <row r="21" spans="1:3" x14ac:dyDescent="0.55000000000000004">
      <c r="A21" s="6" t="s">
        <v>14</v>
      </c>
    </row>
    <row r="22" spans="1:3" x14ac:dyDescent="0.55000000000000004">
      <c r="A22" s="6" t="s">
        <v>15</v>
      </c>
    </row>
    <row r="24" spans="1:3" x14ac:dyDescent="0.55000000000000004">
      <c r="A24" t="s">
        <v>16</v>
      </c>
      <c r="B24" s="8">
        <v>12000</v>
      </c>
    </row>
    <row r="25" spans="1:3" x14ac:dyDescent="0.55000000000000004">
      <c r="A25" t="s">
        <v>17</v>
      </c>
      <c r="B25" s="1">
        <v>0.06</v>
      </c>
    </row>
    <row r="26" spans="1:3" x14ac:dyDescent="0.55000000000000004">
      <c r="A26" s="1" t="s">
        <v>18</v>
      </c>
      <c r="B26" s="1">
        <v>0.03</v>
      </c>
    </row>
    <row r="27" spans="1:3" x14ac:dyDescent="0.55000000000000004">
      <c r="A27" t="s">
        <v>19</v>
      </c>
      <c r="B27" s="1">
        <v>0.09</v>
      </c>
    </row>
    <row r="28" spans="1:3" x14ac:dyDescent="0.55000000000000004">
      <c r="A28" t="s">
        <v>20</v>
      </c>
      <c r="B28" s="7" t="s">
        <v>21</v>
      </c>
    </row>
    <row r="29" spans="1:3" x14ac:dyDescent="0.55000000000000004">
      <c r="B29" s="9">
        <v>5.8200000000000002E-2</v>
      </c>
    </row>
    <row r="31" spans="1:3" x14ac:dyDescent="0.55000000000000004">
      <c r="A31" t="s">
        <v>22</v>
      </c>
      <c r="B31" t="s">
        <v>23</v>
      </c>
      <c r="C31" t="s">
        <v>24</v>
      </c>
    </row>
    <row r="32" spans="1:3" x14ac:dyDescent="0.55000000000000004">
      <c r="A32" s="8">
        <v>12000</v>
      </c>
      <c r="B32" s="11">
        <f>-PV($B$29,C32,,1)</f>
        <v>0.945000945000945</v>
      </c>
      <c r="C32">
        <v>1</v>
      </c>
    </row>
    <row r="33" spans="1:3" x14ac:dyDescent="0.55000000000000004">
      <c r="A33" s="8">
        <f>A32+($B$25*A32)</f>
        <v>12720</v>
      </c>
      <c r="B33" s="11">
        <f>-PV($B$29,C33,,1)</f>
        <v>0.89302678605267916</v>
      </c>
      <c r="C33">
        <v>2</v>
      </c>
    </row>
    <row r="34" spans="1:3" x14ac:dyDescent="0.55000000000000004">
      <c r="A34" s="8">
        <f>A33+($B$25*A33)</f>
        <v>13483.2</v>
      </c>
      <c r="B34" s="11">
        <f>-PV($B$29,C34,,1)</f>
        <v>0.84391115673093853</v>
      </c>
      <c r="C34">
        <v>3</v>
      </c>
    </row>
    <row r="35" spans="1:3" x14ac:dyDescent="0.55000000000000004">
      <c r="A35" s="8">
        <f>A34+($B$25*A34)</f>
        <v>14292.192000000001</v>
      </c>
      <c r="B35" s="11">
        <f>-PV($B$29,C35,,1)</f>
        <v>0.79749684060757753</v>
      </c>
      <c r="C35">
        <v>4</v>
      </c>
    </row>
    <row r="36" spans="1:3" x14ac:dyDescent="0.55000000000000004">
      <c r="A36" s="8">
        <f>A35+($B$25*A35)</f>
        <v>15149.723520000001</v>
      </c>
      <c r="B36" s="11">
        <f>-PV($B$29,C36,,1)</f>
        <v>0.7536352680094287</v>
      </c>
      <c r="C36">
        <v>5</v>
      </c>
    </row>
    <row r="38" spans="1:3" x14ac:dyDescent="0.55000000000000004">
      <c r="A38" s="3" t="s">
        <v>25</v>
      </c>
      <c r="B38" s="13">
        <f>A32*B32+A33*B33+A34*B34+A35*B35+A36*B36</f>
        <v>56893.278877656856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B104" sqref="B104"/>
    </sheetView>
  </sheetViews>
  <sheetFormatPr defaultRowHeight="14.4" x14ac:dyDescent="0.55000000000000004"/>
  <cols>
    <col min="1" max="1" width="18.3671875" customWidth="1"/>
    <col min="2" max="2" width="17.47265625" customWidth="1"/>
    <col min="3" max="3" width="10.7890625" bestFit="1" customWidth="1"/>
    <col min="4" max="4" width="11.7890625" bestFit="1" customWidth="1"/>
    <col min="5" max="5" width="10.20703125" bestFit="1" customWidth="1"/>
    <col min="6" max="6" width="11.20703125" bestFit="1" customWidth="1"/>
    <col min="7" max="7" width="10.7890625" customWidth="1"/>
    <col min="8" max="8" width="10.26171875" customWidth="1"/>
    <col min="9" max="9" width="10.5234375" customWidth="1"/>
    <col min="10" max="10" width="11.3671875" bestFit="1" customWidth="1"/>
  </cols>
  <sheetData>
    <row r="1" spans="1:1" x14ac:dyDescent="0.55000000000000004">
      <c r="A1" t="s">
        <v>26</v>
      </c>
    </row>
    <row r="2" spans="1:1" x14ac:dyDescent="0.55000000000000004">
      <c r="A2" t="s">
        <v>27</v>
      </c>
    </row>
    <row r="3" spans="1:1" x14ac:dyDescent="0.55000000000000004">
      <c r="A3" t="s">
        <v>28</v>
      </c>
    </row>
    <row r="4" spans="1:1" x14ac:dyDescent="0.55000000000000004">
      <c r="A4" s="14" t="s">
        <v>29</v>
      </c>
    </row>
    <row r="5" spans="1:1" x14ac:dyDescent="0.55000000000000004">
      <c r="A5" t="s">
        <v>30</v>
      </c>
    </row>
    <row r="6" spans="1:1" x14ac:dyDescent="0.55000000000000004">
      <c r="A6" t="s">
        <v>31</v>
      </c>
    </row>
    <row r="7" spans="1:1" x14ac:dyDescent="0.55000000000000004">
      <c r="A7" s="14" t="s">
        <v>32</v>
      </c>
    </row>
    <row r="8" spans="1:1" x14ac:dyDescent="0.55000000000000004">
      <c r="A8" t="s">
        <v>33</v>
      </c>
    </row>
    <row r="9" spans="1:1" x14ac:dyDescent="0.55000000000000004">
      <c r="A9" t="s">
        <v>34</v>
      </c>
    </row>
    <row r="10" spans="1:1" x14ac:dyDescent="0.55000000000000004">
      <c r="A10" t="s">
        <v>35</v>
      </c>
    </row>
    <row r="11" spans="1:1" x14ac:dyDescent="0.55000000000000004">
      <c r="A11" s="14" t="s">
        <v>32</v>
      </c>
    </row>
    <row r="12" spans="1:1" x14ac:dyDescent="0.55000000000000004">
      <c r="A12" t="s">
        <v>36</v>
      </c>
    </row>
    <row r="13" spans="1:1" x14ac:dyDescent="0.55000000000000004">
      <c r="A13" s="14" t="s">
        <v>32</v>
      </c>
    </row>
    <row r="14" spans="1:1" x14ac:dyDescent="0.55000000000000004">
      <c r="A14" s="14" t="s">
        <v>37</v>
      </c>
    </row>
    <row r="15" spans="1:1" x14ac:dyDescent="0.55000000000000004">
      <c r="A15" s="14" t="s">
        <v>38</v>
      </c>
    </row>
    <row r="16" spans="1:1" x14ac:dyDescent="0.55000000000000004">
      <c r="A16" t="s">
        <v>39</v>
      </c>
    </row>
    <row r="17" spans="1:3" x14ac:dyDescent="0.55000000000000004">
      <c r="A17" t="s">
        <v>40</v>
      </c>
    </row>
    <row r="18" spans="1:3" x14ac:dyDescent="0.55000000000000004">
      <c r="A18" t="s">
        <v>41</v>
      </c>
    </row>
    <row r="20" spans="1:3" x14ac:dyDescent="0.55000000000000004">
      <c r="A20" t="s">
        <v>42</v>
      </c>
      <c r="B20" s="8">
        <v>280000</v>
      </c>
    </row>
    <row r="21" spans="1:3" x14ac:dyDescent="0.55000000000000004">
      <c r="A21" t="s">
        <v>43</v>
      </c>
      <c r="B21" s="8">
        <v>140000</v>
      </c>
    </row>
    <row r="22" spans="1:3" x14ac:dyDescent="0.55000000000000004">
      <c r="A22" t="s">
        <v>44</v>
      </c>
      <c r="B22" s="1">
        <v>0.11</v>
      </c>
    </row>
    <row r="23" spans="1:3" x14ac:dyDescent="0.55000000000000004">
      <c r="A23" t="s">
        <v>24</v>
      </c>
      <c r="B23">
        <v>6</v>
      </c>
    </row>
    <row r="24" spans="1:3" x14ac:dyDescent="0.55000000000000004">
      <c r="A24" t="s">
        <v>45</v>
      </c>
      <c r="B24" s="8">
        <v>40000</v>
      </c>
      <c r="C24" t="s">
        <v>57</v>
      </c>
    </row>
    <row r="25" spans="1:3" x14ac:dyDescent="0.55000000000000004">
      <c r="A25" t="s">
        <v>46</v>
      </c>
      <c r="B25" s="1">
        <v>0.4</v>
      </c>
    </row>
    <row r="26" spans="1:3" x14ac:dyDescent="0.55000000000000004">
      <c r="A26" t="s">
        <v>48</v>
      </c>
      <c r="B26" s="8">
        <v>225000</v>
      </c>
      <c r="C26" t="s">
        <v>57</v>
      </c>
    </row>
    <row r="27" spans="1:3" x14ac:dyDescent="0.55000000000000004">
      <c r="A27" t="s">
        <v>49</v>
      </c>
      <c r="B27" s="8">
        <v>110000</v>
      </c>
      <c r="C27" t="s">
        <v>57</v>
      </c>
    </row>
    <row r="28" spans="1:3" x14ac:dyDescent="0.55000000000000004">
      <c r="A28" t="s">
        <v>50</v>
      </c>
      <c r="B28" s="1">
        <v>0.14000000000000001</v>
      </c>
    </row>
    <row r="31" spans="1:3" x14ac:dyDescent="0.55000000000000004">
      <c r="A31" s="6" t="s">
        <v>51</v>
      </c>
    </row>
    <row r="33" spans="1:5" x14ac:dyDescent="0.55000000000000004">
      <c r="A33" s="66" t="s">
        <v>52</v>
      </c>
      <c r="B33" s="21" t="s">
        <v>53</v>
      </c>
      <c r="C33" s="21" t="s">
        <v>54</v>
      </c>
      <c r="D33" s="21" t="s">
        <v>55</v>
      </c>
      <c r="E33" s="21" t="s">
        <v>56</v>
      </c>
    </row>
    <row r="34" spans="1:5" x14ac:dyDescent="0.55000000000000004">
      <c r="A34" s="66"/>
      <c r="B34">
        <v>0</v>
      </c>
      <c r="E34" s="8">
        <f>B20</f>
        <v>280000</v>
      </c>
    </row>
    <row r="35" spans="1:5" x14ac:dyDescent="0.55000000000000004">
      <c r="A35" s="66"/>
      <c r="B35">
        <v>1</v>
      </c>
      <c r="C35" s="15">
        <v>0.2</v>
      </c>
      <c r="D35" s="8">
        <f t="shared" ref="D35:D40" si="0">$E$34*C35</f>
        <v>56000</v>
      </c>
      <c r="E35" s="8">
        <f t="shared" ref="E35:E40" si="1">E34-D35</f>
        <v>224000</v>
      </c>
    </row>
    <row r="36" spans="1:5" x14ac:dyDescent="0.55000000000000004">
      <c r="A36" s="66"/>
      <c r="B36">
        <v>2</v>
      </c>
      <c r="C36" s="15">
        <v>0.32</v>
      </c>
      <c r="D36" s="8">
        <f t="shared" si="0"/>
        <v>89600</v>
      </c>
      <c r="E36" s="8">
        <f t="shared" si="1"/>
        <v>134400</v>
      </c>
    </row>
    <row r="37" spans="1:5" x14ac:dyDescent="0.55000000000000004">
      <c r="A37" s="66"/>
      <c r="B37">
        <v>3</v>
      </c>
      <c r="C37" s="15">
        <v>0.192</v>
      </c>
      <c r="D37" s="8">
        <f t="shared" si="0"/>
        <v>53760</v>
      </c>
      <c r="E37" s="8">
        <f t="shared" si="1"/>
        <v>80640</v>
      </c>
    </row>
    <row r="38" spans="1:5" x14ac:dyDescent="0.55000000000000004">
      <c r="A38" s="66"/>
      <c r="B38">
        <v>4</v>
      </c>
      <c r="C38" s="15">
        <v>0.1152</v>
      </c>
      <c r="D38" s="8">
        <f t="shared" si="0"/>
        <v>32256</v>
      </c>
      <c r="E38" s="8">
        <f t="shared" si="1"/>
        <v>48384</v>
      </c>
    </row>
    <row r="39" spans="1:5" x14ac:dyDescent="0.55000000000000004">
      <c r="A39" s="66"/>
      <c r="B39">
        <v>5</v>
      </c>
      <c r="C39" s="15">
        <v>0.1152</v>
      </c>
      <c r="D39" s="8">
        <f t="shared" si="0"/>
        <v>32256</v>
      </c>
      <c r="E39" s="8">
        <f t="shared" si="1"/>
        <v>16128</v>
      </c>
    </row>
    <row r="40" spans="1:5" x14ac:dyDescent="0.55000000000000004">
      <c r="A40" s="66"/>
      <c r="B40">
        <v>6</v>
      </c>
      <c r="C40" s="15">
        <v>5.7599999999999998E-2</v>
      </c>
      <c r="D40" s="8">
        <f t="shared" si="0"/>
        <v>16128</v>
      </c>
      <c r="E40" s="8">
        <f t="shared" si="1"/>
        <v>0</v>
      </c>
    </row>
    <row r="43" spans="1:5" x14ac:dyDescent="0.55000000000000004">
      <c r="A43" t="s">
        <v>59</v>
      </c>
      <c r="B43" s="16">
        <f>B24*((1+5%)^6)</f>
        <v>53603.825624999998</v>
      </c>
    </row>
    <row r="44" spans="1:5" x14ac:dyDescent="0.55000000000000004">
      <c r="A44" t="s">
        <v>60</v>
      </c>
    </row>
    <row r="45" spans="1:5" x14ac:dyDescent="0.55000000000000004">
      <c r="A45" t="s">
        <v>62</v>
      </c>
      <c r="B45" s="17">
        <f>B43-E40</f>
        <v>53603.825624999998</v>
      </c>
    </row>
    <row r="46" spans="1:5" x14ac:dyDescent="0.55000000000000004">
      <c r="A46" s="19" t="s">
        <v>61</v>
      </c>
      <c r="B46" s="18">
        <f>B43*B25</f>
        <v>21441.53025</v>
      </c>
    </row>
    <row r="48" spans="1:5" ht="14.4" customHeight="1" x14ac:dyDescent="0.55000000000000004">
      <c r="A48" s="67" t="s">
        <v>63</v>
      </c>
      <c r="B48" t="s">
        <v>16</v>
      </c>
      <c r="C48" s="8">
        <f>B21</f>
        <v>140000</v>
      </c>
    </row>
    <row r="49" spans="1:9" x14ac:dyDescent="0.55000000000000004">
      <c r="A49" s="67"/>
      <c r="B49" t="s">
        <v>42</v>
      </c>
      <c r="C49" s="1">
        <f>B22</f>
        <v>0.11</v>
      </c>
    </row>
    <row r="50" spans="1:9" x14ac:dyDescent="0.55000000000000004">
      <c r="A50" s="67"/>
      <c r="B50" t="s">
        <v>24</v>
      </c>
      <c r="C50">
        <v>6</v>
      </c>
    </row>
    <row r="51" spans="1:9" x14ac:dyDescent="0.55000000000000004">
      <c r="A51" s="67"/>
      <c r="B51" t="s">
        <v>64</v>
      </c>
      <c r="C51" s="10">
        <f>PMT(C49,C50,-C48)</f>
        <v>33092.718902465538</v>
      </c>
    </row>
    <row r="54" spans="1:9" ht="28.8" x14ac:dyDescent="0.55000000000000004">
      <c r="A54" s="68" t="s">
        <v>70</v>
      </c>
      <c r="B54" s="22" t="s">
        <v>65</v>
      </c>
      <c r="C54" s="22" t="s">
        <v>66</v>
      </c>
      <c r="D54" s="22" t="s">
        <v>67</v>
      </c>
      <c r="E54" s="22" t="s">
        <v>68</v>
      </c>
      <c r="F54" s="22" t="s">
        <v>69</v>
      </c>
    </row>
    <row r="55" spans="1:9" x14ac:dyDescent="0.55000000000000004">
      <c r="A55" s="68"/>
      <c r="B55">
        <v>1</v>
      </c>
      <c r="C55" s="8">
        <f>B21</f>
        <v>140000</v>
      </c>
      <c r="D55" s="8">
        <f t="shared" ref="D55:D60" si="2">C55*$B$22</f>
        <v>15400</v>
      </c>
      <c r="E55" s="8">
        <f t="shared" ref="E55:E60" si="3">$C$51-D55</f>
        <v>17692.718902465538</v>
      </c>
      <c r="F55" s="8">
        <f t="shared" ref="F55:F60" si="4">C55-E55</f>
        <v>122307.28109753446</v>
      </c>
    </row>
    <row r="56" spans="1:9" x14ac:dyDescent="0.55000000000000004">
      <c r="A56" s="68"/>
      <c r="B56">
        <v>2</v>
      </c>
      <c r="C56" s="8">
        <f>F55</f>
        <v>122307.28109753446</v>
      </c>
      <c r="D56" s="8">
        <f t="shared" si="2"/>
        <v>13453.800920728791</v>
      </c>
      <c r="E56" s="8">
        <f t="shared" si="3"/>
        <v>19638.917981736748</v>
      </c>
      <c r="F56" s="8">
        <f t="shared" si="4"/>
        <v>102668.36311579772</v>
      </c>
    </row>
    <row r="57" spans="1:9" x14ac:dyDescent="0.55000000000000004">
      <c r="A57" s="68"/>
      <c r="B57">
        <v>3</v>
      </c>
      <c r="C57" s="8">
        <f>F56</f>
        <v>102668.36311579772</v>
      </c>
      <c r="D57" s="8">
        <f t="shared" si="2"/>
        <v>11293.51994273775</v>
      </c>
      <c r="E57" s="8">
        <f t="shared" si="3"/>
        <v>21799.198959727786</v>
      </c>
      <c r="F57" s="8">
        <f t="shared" si="4"/>
        <v>80869.164156069935</v>
      </c>
    </row>
    <row r="58" spans="1:9" x14ac:dyDescent="0.55000000000000004">
      <c r="A58" s="68"/>
      <c r="B58">
        <v>4</v>
      </c>
      <c r="C58" s="8">
        <f>F57</f>
        <v>80869.164156069935</v>
      </c>
      <c r="D58" s="8">
        <f t="shared" si="2"/>
        <v>8895.6080571676921</v>
      </c>
      <c r="E58" s="8">
        <f t="shared" si="3"/>
        <v>24197.110845297844</v>
      </c>
      <c r="F58" s="8">
        <f t="shared" si="4"/>
        <v>56672.053310772091</v>
      </c>
    </row>
    <row r="59" spans="1:9" x14ac:dyDescent="0.55000000000000004">
      <c r="A59" s="68"/>
      <c r="B59">
        <v>5</v>
      </c>
      <c r="C59" s="8">
        <f>F58</f>
        <v>56672.053310772091</v>
      </c>
      <c r="D59" s="8">
        <f t="shared" si="2"/>
        <v>6233.9258641849301</v>
      </c>
      <c r="E59" s="8">
        <f t="shared" si="3"/>
        <v>26858.793038280608</v>
      </c>
      <c r="F59" s="8">
        <f t="shared" si="4"/>
        <v>29813.260272491483</v>
      </c>
    </row>
    <row r="60" spans="1:9" x14ac:dyDescent="0.55000000000000004">
      <c r="A60" s="68"/>
      <c r="B60">
        <v>6</v>
      </c>
      <c r="C60" s="8">
        <f>F59</f>
        <v>29813.260272491483</v>
      </c>
      <c r="D60" s="8">
        <f t="shared" si="2"/>
        <v>3279.4586299740631</v>
      </c>
      <c r="E60" s="8">
        <f t="shared" si="3"/>
        <v>29813.260272491476</v>
      </c>
      <c r="F60" s="8">
        <f t="shared" si="4"/>
        <v>0</v>
      </c>
    </row>
    <row r="64" spans="1:9" x14ac:dyDescent="0.55000000000000004">
      <c r="A64" s="69" t="s">
        <v>71</v>
      </c>
      <c r="B64" s="21"/>
      <c r="C64" s="23" t="s">
        <v>75</v>
      </c>
      <c r="D64" s="23" t="s">
        <v>4</v>
      </c>
      <c r="E64" s="23" t="s">
        <v>5</v>
      </c>
      <c r="F64" s="23" t="s">
        <v>76</v>
      </c>
      <c r="G64" s="23" t="s">
        <v>58</v>
      </c>
      <c r="H64" s="23" t="s">
        <v>77</v>
      </c>
      <c r="I64" s="23" t="s">
        <v>78</v>
      </c>
    </row>
    <row r="65" spans="1:10" x14ac:dyDescent="0.55000000000000004">
      <c r="A65" s="69"/>
      <c r="B65" s="21" t="s">
        <v>48</v>
      </c>
      <c r="C65" s="1">
        <v>0.05</v>
      </c>
      <c r="D65" s="8">
        <f>B26</f>
        <v>225000</v>
      </c>
      <c r="E65" s="8">
        <f>D65+(D65*$C$65)</f>
        <v>236250</v>
      </c>
      <c r="F65" s="8">
        <f>E65+(E65*$C$65)</f>
        <v>248062.5</v>
      </c>
      <c r="G65" s="8">
        <f>F65+(F65*$C$65)</f>
        <v>260465.625</v>
      </c>
      <c r="H65" s="8">
        <f>G65+(G65*$C$65)</f>
        <v>273488.90625</v>
      </c>
      <c r="I65" s="8">
        <f>H65+(H65*$C$65)</f>
        <v>287163.3515625</v>
      </c>
    </row>
    <row r="66" spans="1:10" x14ac:dyDescent="0.55000000000000004">
      <c r="A66" s="69"/>
      <c r="B66" s="21" t="s">
        <v>72</v>
      </c>
      <c r="C66" s="1">
        <v>0.05</v>
      </c>
      <c r="D66" s="8">
        <f>B27</f>
        <v>110000</v>
      </c>
      <c r="E66" s="8">
        <f>D66+(D66*$C$66)</f>
        <v>115500</v>
      </c>
      <c r="F66" s="8">
        <f>E66+(E66*$C$66)</f>
        <v>121275</v>
      </c>
      <c r="G66" s="8">
        <f>F66+(F66*$C$66)</f>
        <v>127338.75</v>
      </c>
      <c r="H66" s="8">
        <f>G66+(G66*$C$66)</f>
        <v>133705.6875</v>
      </c>
      <c r="I66" s="8">
        <f>H66+(H66*$C$66)</f>
        <v>140390.97187499999</v>
      </c>
    </row>
    <row r="67" spans="1:10" x14ac:dyDescent="0.55000000000000004">
      <c r="A67" s="69"/>
      <c r="B67" s="21" t="s">
        <v>52</v>
      </c>
      <c r="D67" s="8">
        <f>D35</f>
        <v>56000</v>
      </c>
      <c r="E67" s="8">
        <f>D36</f>
        <v>89600</v>
      </c>
      <c r="F67" s="8">
        <f>D37</f>
        <v>53760</v>
      </c>
      <c r="G67" s="8">
        <f>D38</f>
        <v>32256</v>
      </c>
      <c r="H67" s="8">
        <f>D39</f>
        <v>32256</v>
      </c>
      <c r="I67" s="8">
        <f>D40</f>
        <v>16128</v>
      </c>
    </row>
    <row r="68" spans="1:10" x14ac:dyDescent="0.55000000000000004">
      <c r="A68" s="69"/>
      <c r="B68" s="21" t="s">
        <v>79</v>
      </c>
      <c r="D68" s="8">
        <f>D55</f>
        <v>15400</v>
      </c>
      <c r="E68" s="8">
        <f>D56</f>
        <v>13453.800920728791</v>
      </c>
      <c r="F68" s="8">
        <f>D57</f>
        <v>11293.51994273775</v>
      </c>
      <c r="G68" s="8">
        <f>D58</f>
        <v>8895.6080571676921</v>
      </c>
      <c r="H68" s="8">
        <f>D59</f>
        <v>6233.9258641849301</v>
      </c>
      <c r="I68" s="8">
        <f>D60</f>
        <v>3279.4586299740631</v>
      </c>
    </row>
    <row r="69" spans="1:10" x14ac:dyDescent="0.55000000000000004">
      <c r="A69" s="69"/>
      <c r="B69" s="21" t="s">
        <v>73</v>
      </c>
      <c r="D69" s="8">
        <f t="shared" ref="D69:I69" si="5">D65-D66-D67-D68</f>
        <v>43600</v>
      </c>
      <c r="E69" s="8">
        <f t="shared" si="5"/>
        <v>17696.199079271209</v>
      </c>
      <c r="F69" s="8">
        <f t="shared" si="5"/>
        <v>61733.980057262248</v>
      </c>
      <c r="G69" s="8">
        <f t="shared" si="5"/>
        <v>91975.266942832313</v>
      </c>
      <c r="H69" s="8">
        <f t="shared" si="5"/>
        <v>101293.29288581507</v>
      </c>
      <c r="I69" s="8">
        <f t="shared" si="5"/>
        <v>127364.92105752595</v>
      </c>
    </row>
    <row r="70" spans="1:10" x14ac:dyDescent="0.55000000000000004">
      <c r="A70" s="69"/>
      <c r="B70" s="21" t="s">
        <v>46</v>
      </c>
      <c r="C70" s="1">
        <f>B25</f>
        <v>0.4</v>
      </c>
      <c r="D70" s="8">
        <f t="shared" ref="D70:I70" si="6">D69*$C$70</f>
        <v>17440</v>
      </c>
      <c r="E70" s="8">
        <f t="shared" si="6"/>
        <v>7078.4796317084838</v>
      </c>
      <c r="F70" s="8">
        <f t="shared" si="6"/>
        <v>24693.592022904901</v>
      </c>
      <c r="G70" s="8">
        <f t="shared" si="6"/>
        <v>36790.106777132925</v>
      </c>
      <c r="H70" s="8">
        <f t="shared" si="6"/>
        <v>40517.317154326032</v>
      </c>
      <c r="I70" s="8">
        <f t="shared" si="6"/>
        <v>50945.968423010381</v>
      </c>
    </row>
    <row r="71" spans="1:10" x14ac:dyDescent="0.55000000000000004">
      <c r="A71" s="69"/>
      <c r="B71" s="21" t="s">
        <v>74</v>
      </c>
      <c r="D71" s="8">
        <f t="shared" ref="D71:I71" si="7">D69-D70</f>
        <v>26160</v>
      </c>
      <c r="E71" s="8">
        <f t="shared" si="7"/>
        <v>10617.719447562726</v>
      </c>
      <c r="F71" s="8">
        <f t="shared" si="7"/>
        <v>37040.388034357347</v>
      </c>
      <c r="G71" s="8">
        <f t="shared" si="7"/>
        <v>55185.160165699388</v>
      </c>
      <c r="H71" s="8">
        <f t="shared" si="7"/>
        <v>60775.975731489038</v>
      </c>
      <c r="I71" s="8">
        <f t="shared" si="7"/>
        <v>76418.952634515561</v>
      </c>
    </row>
    <row r="75" spans="1:10" x14ac:dyDescent="0.55000000000000004">
      <c r="A75" s="6" t="s">
        <v>80</v>
      </c>
    </row>
    <row r="77" spans="1:10" x14ac:dyDescent="0.55000000000000004">
      <c r="A77" s="70" t="s">
        <v>81</v>
      </c>
      <c r="C77" s="23" t="s">
        <v>75</v>
      </c>
      <c r="D77" s="23" t="s">
        <v>57</v>
      </c>
      <c r="E77" s="23" t="s">
        <v>4</v>
      </c>
      <c r="F77" s="23" t="s">
        <v>5</v>
      </c>
      <c r="G77" s="23" t="s">
        <v>76</v>
      </c>
      <c r="H77" s="23" t="s">
        <v>58</v>
      </c>
      <c r="I77" s="23" t="s">
        <v>77</v>
      </c>
      <c r="J77" s="23" t="s">
        <v>78</v>
      </c>
    </row>
    <row r="78" spans="1:10" x14ac:dyDescent="0.55000000000000004">
      <c r="A78" s="70"/>
      <c r="B78" s="21" t="s">
        <v>82</v>
      </c>
    </row>
    <row r="79" spans="1:10" x14ac:dyDescent="0.55000000000000004">
      <c r="A79" s="70"/>
      <c r="B79" t="s">
        <v>74</v>
      </c>
      <c r="E79" s="8">
        <f t="shared" ref="E79:J79" si="8">D71</f>
        <v>26160</v>
      </c>
      <c r="F79" s="8">
        <f t="shared" si="8"/>
        <v>10617.719447562726</v>
      </c>
      <c r="G79" s="8">
        <f t="shared" si="8"/>
        <v>37040.388034357347</v>
      </c>
      <c r="H79" s="8">
        <f t="shared" si="8"/>
        <v>55185.160165699388</v>
      </c>
      <c r="I79" s="8">
        <f t="shared" si="8"/>
        <v>60775.975731489038</v>
      </c>
      <c r="J79" s="8">
        <f t="shared" si="8"/>
        <v>76418.952634515561</v>
      </c>
    </row>
    <row r="80" spans="1:10" x14ac:dyDescent="0.55000000000000004">
      <c r="A80" s="70"/>
      <c r="B80" t="s">
        <v>52</v>
      </c>
      <c r="E80" s="8">
        <f t="shared" ref="E80:J80" si="9">D67</f>
        <v>56000</v>
      </c>
      <c r="F80" s="8">
        <f t="shared" si="9"/>
        <v>89600</v>
      </c>
      <c r="G80" s="8">
        <f t="shared" si="9"/>
        <v>53760</v>
      </c>
      <c r="H80" s="8">
        <f t="shared" si="9"/>
        <v>32256</v>
      </c>
      <c r="I80" s="8">
        <f t="shared" si="9"/>
        <v>32256</v>
      </c>
      <c r="J80" s="8">
        <f t="shared" si="9"/>
        <v>16128</v>
      </c>
    </row>
    <row r="81" spans="1:10" x14ac:dyDescent="0.55000000000000004">
      <c r="A81" s="70"/>
    </row>
    <row r="82" spans="1:10" x14ac:dyDescent="0.55000000000000004">
      <c r="A82" s="70"/>
      <c r="B82" s="21" t="s">
        <v>83</v>
      </c>
    </row>
    <row r="83" spans="1:10" x14ac:dyDescent="0.55000000000000004">
      <c r="A83" s="70"/>
      <c r="B83" t="s">
        <v>84</v>
      </c>
      <c r="D83" s="8">
        <v>-280000</v>
      </c>
    </row>
    <row r="84" spans="1:10" x14ac:dyDescent="0.55000000000000004">
      <c r="A84" s="70"/>
      <c r="B84" t="s">
        <v>85</v>
      </c>
      <c r="C84" s="1">
        <v>0.05</v>
      </c>
      <c r="J84" s="17">
        <f>B43</f>
        <v>53603.825624999998</v>
      </c>
    </row>
    <row r="85" spans="1:10" x14ac:dyDescent="0.55000000000000004">
      <c r="A85" s="70"/>
      <c r="B85" t="s">
        <v>86</v>
      </c>
      <c r="J85" s="8">
        <f>-B46</f>
        <v>-21441.53025</v>
      </c>
    </row>
    <row r="86" spans="1:10" x14ac:dyDescent="0.55000000000000004">
      <c r="A86" s="70"/>
    </row>
    <row r="87" spans="1:10" x14ac:dyDescent="0.55000000000000004">
      <c r="A87" s="70"/>
      <c r="B87" s="21" t="s">
        <v>87</v>
      </c>
    </row>
    <row r="88" spans="1:10" x14ac:dyDescent="0.55000000000000004">
      <c r="A88" s="70"/>
      <c r="B88" t="s">
        <v>88</v>
      </c>
      <c r="D88" s="8">
        <v>140000</v>
      </c>
    </row>
    <row r="89" spans="1:10" x14ac:dyDescent="0.55000000000000004">
      <c r="A89" s="70"/>
      <c r="B89" t="s">
        <v>89</v>
      </c>
      <c r="E89" s="8">
        <f>-E55</f>
        <v>-17692.718902465538</v>
      </c>
      <c r="F89" s="8">
        <f>-E56</f>
        <v>-19638.917981736748</v>
      </c>
      <c r="G89" s="8">
        <f>-E57</f>
        <v>-21799.198959727786</v>
      </c>
      <c r="H89" s="8">
        <f>-E58</f>
        <v>-24197.110845297844</v>
      </c>
      <c r="I89" s="8">
        <f>-E59</f>
        <v>-26858.793038280608</v>
      </c>
      <c r="J89" s="8">
        <f>-E60</f>
        <v>-29813.260272491476</v>
      </c>
    </row>
    <row r="90" spans="1:10" x14ac:dyDescent="0.55000000000000004">
      <c r="A90" s="70"/>
    </row>
    <row r="91" spans="1:10" x14ac:dyDescent="0.55000000000000004">
      <c r="A91" s="70"/>
      <c r="B91" t="s">
        <v>90</v>
      </c>
      <c r="D91" s="8">
        <f>SUM(D79:D89)</f>
        <v>-140000</v>
      </c>
      <c r="E91" s="8">
        <f t="shared" ref="E91:J91" si="10">SUM(E79:E89)</f>
        <v>64467.281097534462</v>
      </c>
      <c r="F91" s="8">
        <f t="shared" si="10"/>
        <v>80578.801465825993</v>
      </c>
      <c r="G91" s="8">
        <f t="shared" si="10"/>
        <v>69001.189074629554</v>
      </c>
      <c r="H91" s="8">
        <f t="shared" si="10"/>
        <v>63244.049320401544</v>
      </c>
      <c r="I91" s="8">
        <f t="shared" si="10"/>
        <v>66173.182693208437</v>
      </c>
      <c r="J91" s="8">
        <f t="shared" si="10"/>
        <v>94895.987737024087</v>
      </c>
    </row>
    <row r="92" spans="1:10" x14ac:dyDescent="0.55000000000000004">
      <c r="B92" t="s">
        <v>93</v>
      </c>
      <c r="D92" s="10">
        <f>-PV($B$28,0,,D91)</f>
        <v>-140000</v>
      </c>
      <c r="E92" s="10">
        <f>-PV($B$28,1,,E91)</f>
        <v>56550.246576784608</v>
      </c>
      <c r="F92" s="10">
        <f>-PV($B$28,2,,F91)</f>
        <v>62002.771211007981</v>
      </c>
      <c r="G92" s="10">
        <f>-PV($B$28,3,,G91)</f>
        <v>46573.837209444697</v>
      </c>
      <c r="H92" s="10">
        <f>-PV($B$28,4,,H91)</f>
        <v>37445.554263637285</v>
      </c>
      <c r="I92" s="10">
        <f>-PV($B$28,5,,I91)</f>
        <v>34368.277511809705</v>
      </c>
      <c r="J92" s="10">
        <f>-PV($B$28,6,,J91)</f>
        <v>43233.335442178599</v>
      </c>
    </row>
    <row r="94" spans="1:10" x14ac:dyDescent="0.55000000000000004">
      <c r="A94" s="6" t="s">
        <v>91</v>
      </c>
    </row>
    <row r="95" spans="1:10" x14ac:dyDescent="0.55000000000000004">
      <c r="A95" s="6" t="s">
        <v>92</v>
      </c>
    </row>
    <row r="96" spans="1:10" x14ac:dyDescent="0.55000000000000004">
      <c r="A96" s="3" t="s">
        <v>25</v>
      </c>
      <c r="B96" s="25">
        <f>SUM(D92:J92)</f>
        <v>140174.02221486287</v>
      </c>
    </row>
    <row r="97" spans="1:5" x14ac:dyDescent="0.55000000000000004">
      <c r="A97" s="65" t="s">
        <v>94</v>
      </c>
      <c r="B97" s="65"/>
      <c r="C97" s="65"/>
      <c r="D97" s="65"/>
      <c r="E97" s="65"/>
    </row>
  </sheetData>
  <mergeCells count="6">
    <mergeCell ref="A97:E97"/>
    <mergeCell ref="A33:A40"/>
    <mergeCell ref="A48:A51"/>
    <mergeCell ref="A54:A60"/>
    <mergeCell ref="A64:A71"/>
    <mergeCell ref="A77:A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22" sqref="C22"/>
    </sheetView>
  </sheetViews>
  <sheetFormatPr defaultRowHeight="14.4" x14ac:dyDescent="0.55000000000000004"/>
  <sheetData>
    <row r="1" spans="1:5" x14ac:dyDescent="0.55000000000000004">
      <c r="A1" t="s">
        <v>95</v>
      </c>
    </row>
    <row r="2" spans="1:5" x14ac:dyDescent="0.55000000000000004">
      <c r="A2" t="s">
        <v>96</v>
      </c>
    </row>
    <row r="3" spans="1:5" x14ac:dyDescent="0.55000000000000004">
      <c r="A3" s="2" t="s">
        <v>97</v>
      </c>
      <c r="B3" s="2"/>
      <c r="C3" s="2"/>
    </row>
    <row r="5" spans="1:5" x14ac:dyDescent="0.55000000000000004">
      <c r="A5" t="s">
        <v>98</v>
      </c>
    </row>
    <row r="6" spans="1:5" x14ac:dyDescent="0.55000000000000004">
      <c r="A6" s="2" t="s">
        <v>99</v>
      </c>
      <c r="B6" s="2"/>
      <c r="C6" s="2"/>
      <c r="D6" s="2"/>
      <c r="E6" s="2"/>
    </row>
    <row r="9" spans="1:5" x14ac:dyDescent="0.55000000000000004">
      <c r="A9" t="s">
        <v>100</v>
      </c>
    </row>
    <row r="10" spans="1:5" x14ac:dyDescent="0.55000000000000004">
      <c r="A10" t="s">
        <v>101</v>
      </c>
    </row>
    <row r="11" spans="1:5" x14ac:dyDescent="0.55000000000000004">
      <c r="A11" s="2" t="b">
        <v>0</v>
      </c>
    </row>
    <row r="14" spans="1:5" x14ac:dyDescent="0.55000000000000004">
      <c r="A14" t="s">
        <v>102</v>
      </c>
    </row>
    <row r="15" spans="1:5" x14ac:dyDescent="0.55000000000000004">
      <c r="A15" t="s">
        <v>103</v>
      </c>
    </row>
    <row r="16" spans="1:5" x14ac:dyDescent="0.55000000000000004">
      <c r="A16" s="2" t="b">
        <v>1</v>
      </c>
    </row>
    <row r="18" spans="1:7" x14ac:dyDescent="0.55000000000000004">
      <c r="A18" t="s">
        <v>104</v>
      </c>
    </row>
    <row r="19" spans="1:7" x14ac:dyDescent="0.55000000000000004">
      <c r="A19" t="s">
        <v>105</v>
      </c>
    </row>
    <row r="20" spans="1:7" x14ac:dyDescent="0.55000000000000004">
      <c r="A20" s="2" t="s">
        <v>107</v>
      </c>
      <c r="B20" s="2"/>
      <c r="C20" s="2"/>
      <c r="D20" s="2"/>
      <c r="E20" s="2"/>
      <c r="F20" s="2"/>
      <c r="G20" s="2"/>
    </row>
    <row r="21" spans="1:7" x14ac:dyDescent="0.55000000000000004">
      <c r="A21" s="2" t="s">
        <v>106</v>
      </c>
      <c r="B21" s="2"/>
      <c r="C21" s="2"/>
      <c r="D21" s="2"/>
      <c r="E21" s="2"/>
      <c r="F21" s="2"/>
      <c r="G2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abSelected="1" topLeftCell="A75" zoomScaleNormal="100" workbookViewId="0">
      <selection activeCell="G90" sqref="G90"/>
    </sheetView>
  </sheetViews>
  <sheetFormatPr defaultRowHeight="14.4" x14ac:dyDescent="0.55000000000000004"/>
  <cols>
    <col min="1" max="1" width="12.15625" customWidth="1"/>
    <col min="2" max="2" width="11.41796875" customWidth="1"/>
    <col min="4" max="4" width="9.7890625" bestFit="1" customWidth="1"/>
    <col min="6" max="6" width="10.7890625" bestFit="1" customWidth="1"/>
    <col min="7" max="7" width="9.7890625" bestFit="1" customWidth="1"/>
    <col min="10" max="10" width="9.5234375" bestFit="1" customWidth="1"/>
    <col min="13" max="13" width="10.62890625" customWidth="1"/>
    <col min="15" max="15" width="9.89453125" customWidth="1"/>
    <col min="16" max="16" width="11.1015625" customWidth="1"/>
  </cols>
  <sheetData>
    <row r="1" spans="1:1" x14ac:dyDescent="0.55000000000000004">
      <c r="A1" t="s">
        <v>108</v>
      </c>
    </row>
    <row r="2" spans="1:1" x14ac:dyDescent="0.55000000000000004">
      <c r="A2" t="s">
        <v>109</v>
      </c>
    </row>
    <row r="3" spans="1:1" x14ac:dyDescent="0.55000000000000004">
      <c r="A3" t="s">
        <v>110</v>
      </c>
    </row>
    <row r="4" spans="1:1" x14ac:dyDescent="0.55000000000000004">
      <c r="A4" t="s">
        <v>111</v>
      </c>
    </row>
    <row r="5" spans="1:1" x14ac:dyDescent="0.55000000000000004">
      <c r="A5" t="s">
        <v>112</v>
      </c>
    </row>
    <row r="6" spans="1:1" x14ac:dyDescent="0.55000000000000004">
      <c r="A6" t="s">
        <v>113</v>
      </c>
    </row>
    <row r="7" spans="1:1" x14ac:dyDescent="0.55000000000000004">
      <c r="A7" t="s">
        <v>114</v>
      </c>
    </row>
    <row r="8" spans="1:1" x14ac:dyDescent="0.55000000000000004">
      <c r="A8" t="s">
        <v>115</v>
      </c>
    </row>
    <row r="9" spans="1:1" x14ac:dyDescent="0.55000000000000004">
      <c r="A9" t="s">
        <v>116</v>
      </c>
    </row>
    <row r="11" spans="1:1" x14ac:dyDescent="0.55000000000000004">
      <c r="A11" t="s">
        <v>117</v>
      </c>
    </row>
    <row r="12" spans="1:1" x14ac:dyDescent="0.55000000000000004">
      <c r="A12" t="s">
        <v>118</v>
      </c>
    </row>
    <row r="13" spans="1:1" x14ac:dyDescent="0.55000000000000004">
      <c r="A13" t="s">
        <v>119</v>
      </c>
    </row>
    <row r="14" spans="1:1" x14ac:dyDescent="0.55000000000000004">
      <c r="A14" t="s">
        <v>120</v>
      </c>
    </row>
    <row r="15" spans="1:1" x14ac:dyDescent="0.55000000000000004">
      <c r="A15" t="s">
        <v>121</v>
      </c>
    </row>
    <row r="16" spans="1:1" x14ac:dyDescent="0.55000000000000004">
      <c r="A16" t="s">
        <v>122</v>
      </c>
    </row>
    <row r="17" spans="1:15" x14ac:dyDescent="0.55000000000000004">
      <c r="A17" t="s">
        <v>123</v>
      </c>
    </row>
    <row r="18" spans="1:15" x14ac:dyDescent="0.55000000000000004">
      <c r="A18" t="s">
        <v>124</v>
      </c>
    </row>
    <row r="19" spans="1:15" x14ac:dyDescent="0.55000000000000004">
      <c r="A19" t="s">
        <v>125</v>
      </c>
    </row>
    <row r="20" spans="1:15" x14ac:dyDescent="0.55000000000000004">
      <c r="A20" t="s">
        <v>126</v>
      </c>
    </row>
    <row r="23" spans="1:15" x14ac:dyDescent="0.55000000000000004">
      <c r="A23" s="28" t="s">
        <v>128</v>
      </c>
      <c r="J23" s="71" t="s">
        <v>144</v>
      </c>
      <c r="K23" s="71"/>
    </row>
    <row r="24" spans="1:15" x14ac:dyDescent="0.55000000000000004">
      <c r="A24" t="s">
        <v>84</v>
      </c>
      <c r="B24" s="8">
        <v>50000</v>
      </c>
      <c r="J24" t="s">
        <v>84</v>
      </c>
      <c r="K24" s="8">
        <v>47000</v>
      </c>
    </row>
    <row r="25" spans="1:15" x14ac:dyDescent="0.55000000000000004">
      <c r="A25" t="s">
        <v>129</v>
      </c>
      <c r="B25">
        <v>5</v>
      </c>
      <c r="J25" t="s">
        <v>129</v>
      </c>
      <c r="K25">
        <v>5</v>
      </c>
    </row>
    <row r="26" spans="1:15" x14ac:dyDescent="0.55000000000000004">
      <c r="A26" t="s">
        <v>85</v>
      </c>
      <c r="B26" s="8">
        <v>19000</v>
      </c>
      <c r="C26" t="s">
        <v>133</v>
      </c>
      <c r="D26" s="1">
        <v>0.1</v>
      </c>
      <c r="E26" t="s">
        <v>131</v>
      </c>
      <c r="J26" t="s">
        <v>85</v>
      </c>
      <c r="K26" s="8">
        <v>16000</v>
      </c>
      <c r="L26" t="s">
        <v>133</v>
      </c>
      <c r="M26" s="1">
        <v>0.12</v>
      </c>
      <c r="N26" t="s">
        <v>131</v>
      </c>
    </row>
    <row r="27" spans="1:15" x14ac:dyDescent="0.55000000000000004">
      <c r="A27" t="s">
        <v>130</v>
      </c>
      <c r="B27" s="8">
        <v>6300</v>
      </c>
      <c r="C27" t="s">
        <v>132</v>
      </c>
      <c r="D27" s="1">
        <v>0.27</v>
      </c>
      <c r="E27" t="s">
        <v>131</v>
      </c>
      <c r="J27" t="s">
        <v>130</v>
      </c>
      <c r="K27" s="8">
        <v>5000</v>
      </c>
      <c r="L27" t="s">
        <v>132</v>
      </c>
      <c r="M27" s="1">
        <v>0.6</v>
      </c>
      <c r="N27" t="s">
        <v>131</v>
      </c>
    </row>
    <row r="28" spans="1:15" x14ac:dyDescent="0.55000000000000004">
      <c r="A28" t="s">
        <v>137</v>
      </c>
      <c r="B28" s="1">
        <v>0.18</v>
      </c>
      <c r="J28" t="s">
        <v>137</v>
      </c>
      <c r="K28" s="1">
        <v>0.18</v>
      </c>
    </row>
    <row r="30" spans="1:15" x14ac:dyDescent="0.55000000000000004">
      <c r="A30" s="5" t="s">
        <v>65</v>
      </c>
      <c r="B30" s="5" t="s">
        <v>84</v>
      </c>
      <c r="C30" s="5" t="s">
        <v>134</v>
      </c>
      <c r="D30" s="5" t="s">
        <v>85</v>
      </c>
      <c r="E30" s="5" t="s">
        <v>135</v>
      </c>
      <c r="F30" s="5" t="s">
        <v>136</v>
      </c>
      <c r="J30" s="5" t="s">
        <v>65</v>
      </c>
      <c r="K30" s="5" t="s">
        <v>84</v>
      </c>
      <c r="L30" s="5" t="s">
        <v>134</v>
      </c>
      <c r="M30" s="5" t="s">
        <v>85</v>
      </c>
      <c r="N30" s="5" t="s">
        <v>135</v>
      </c>
      <c r="O30" s="5" t="s">
        <v>136</v>
      </c>
    </row>
    <row r="31" spans="1:15" x14ac:dyDescent="0.55000000000000004">
      <c r="A31">
        <v>0</v>
      </c>
      <c r="B31" s="8">
        <f>B24</f>
        <v>50000</v>
      </c>
      <c r="J31">
        <v>0</v>
      </c>
      <c r="K31" s="8">
        <f>K24</f>
        <v>47000</v>
      </c>
    </row>
    <row r="32" spans="1:15" x14ac:dyDescent="0.55000000000000004">
      <c r="A32">
        <v>1</v>
      </c>
      <c r="C32" s="11">
        <f>-PMT($B$28,A32,1)</f>
        <v>1.1800000000000002</v>
      </c>
      <c r="D32" s="8">
        <f>B26</f>
        <v>19000</v>
      </c>
      <c r="E32" s="11">
        <f>-PMT($B$28,A32,,1)</f>
        <v>1</v>
      </c>
      <c r="F32" s="16">
        <f>$B$31*C32-D32*E32</f>
        <v>40000.000000000007</v>
      </c>
      <c r="J32">
        <v>1</v>
      </c>
      <c r="L32" s="11">
        <f>-PMT($K$28,J32,1)</f>
        <v>1.1800000000000002</v>
      </c>
      <c r="M32" s="8">
        <f>K26</f>
        <v>16000</v>
      </c>
      <c r="N32" s="11">
        <f>-PMT($K$28,J32,,1)</f>
        <v>1</v>
      </c>
      <c r="O32" s="16">
        <f>$K$31*L32-M32*N32</f>
        <v>39460.000000000007</v>
      </c>
    </row>
    <row r="33" spans="1:16" x14ac:dyDescent="0.55000000000000004">
      <c r="A33">
        <v>2</v>
      </c>
      <c r="C33" s="11">
        <f>-PMT($B$28,A33,1)</f>
        <v>0.63871559633027519</v>
      </c>
      <c r="D33" s="8">
        <f>D32-($D$26*D32)</f>
        <v>17100</v>
      </c>
      <c r="E33" s="11">
        <f>-PMT($B$28,A33,,1)</f>
        <v>0.45871559633027525</v>
      </c>
      <c r="F33" s="16">
        <f>$B$31*C33-D33*E33</f>
        <v>24091.743119266055</v>
      </c>
      <c r="J33">
        <v>2</v>
      </c>
      <c r="L33" s="11">
        <f>-PMT($K$28,J33,1)</f>
        <v>0.63871559633027519</v>
      </c>
      <c r="M33" s="8">
        <f>M32-($M$26*M32)</f>
        <v>14080</v>
      </c>
      <c r="N33" s="11">
        <f>-PMT($K$28,J33,,1)</f>
        <v>0.45871559633027525</v>
      </c>
      <c r="O33" s="16">
        <f>$K$31*L33-M33*N33</f>
        <v>23560.917431192658</v>
      </c>
    </row>
    <row r="34" spans="1:16" x14ac:dyDescent="0.55000000000000004">
      <c r="A34">
        <v>3</v>
      </c>
      <c r="C34" s="11">
        <f>-PMT($B$28,A34,1)</f>
        <v>0.45992386070988689</v>
      </c>
      <c r="D34" s="8">
        <f>D33-($D$26*D33)</f>
        <v>15390</v>
      </c>
      <c r="E34" s="11">
        <f>-PMT($B$28,A34,,1)</f>
        <v>0.2799238607098869</v>
      </c>
      <c r="F34" s="16">
        <f>$B$31*C34-D34*E34</f>
        <v>18688.164819169186</v>
      </c>
      <c r="J34">
        <v>3</v>
      </c>
      <c r="L34" s="11">
        <f>-PMT($K$28,J34,1)</f>
        <v>0.45992386070988689</v>
      </c>
      <c r="M34" s="8">
        <f>M33-($M$26*M33)</f>
        <v>12390.4</v>
      </c>
      <c r="N34" s="11">
        <f>-PMT($K$28,J34,,1)</f>
        <v>0.2799238607098869</v>
      </c>
      <c r="O34" s="16">
        <f>$K$31*L34-M34*N34</f>
        <v>18148.052849624903</v>
      </c>
    </row>
    <row r="35" spans="1:16" x14ac:dyDescent="0.55000000000000004">
      <c r="A35">
        <v>4</v>
      </c>
      <c r="C35" s="11">
        <f>-PMT($B$28,A35,1)</f>
        <v>0.37173867092888946</v>
      </c>
      <c r="D35" s="8">
        <f>D34-($D$26*D34)</f>
        <v>13851</v>
      </c>
      <c r="E35" s="11">
        <f>-PMT($B$28,A35,,1)</f>
        <v>0.19173867092888947</v>
      </c>
      <c r="F35" s="16">
        <f>$B$31*C35-D35*E35</f>
        <v>15931.161215408425</v>
      </c>
      <c r="J35">
        <v>4</v>
      </c>
      <c r="L35" s="11">
        <f>-PMT($K$28,J35,1)</f>
        <v>0.37173867092888946</v>
      </c>
      <c r="M35" s="8">
        <f>M34-($M$26*M34)</f>
        <v>10903.552</v>
      </c>
      <c r="N35" s="11">
        <f>-PMT($K$28,J35,,1)</f>
        <v>0.19173867092888947</v>
      </c>
      <c r="O35" s="16">
        <f>$K$31*L35-M35*N35</f>
        <v>15381.08496477377</v>
      </c>
    </row>
    <row r="36" spans="1:16" x14ac:dyDescent="0.55000000000000004">
      <c r="A36">
        <v>5</v>
      </c>
      <c r="C36" s="11">
        <f>-PMT($B$28,A36,1)</f>
        <v>0.31977784179478685</v>
      </c>
      <c r="D36" s="8">
        <f>D35-($D$26*D35)</f>
        <v>12465.9</v>
      </c>
      <c r="E36" s="11">
        <f>-PMT($B$28,A36,,1)</f>
        <v>0.13977784179478686</v>
      </c>
      <c r="F36" s="16">
        <f>$B$31*C36-D36*E36</f>
        <v>14246.435491709708</v>
      </c>
      <c r="J36">
        <v>5</v>
      </c>
      <c r="L36" s="11">
        <f>-PMT($K$28,J36,1)</f>
        <v>0.31977784179478685</v>
      </c>
      <c r="M36" s="8">
        <f>M35-($M$26*M35)</f>
        <v>9595.125759999999</v>
      </c>
      <c r="N36" s="11">
        <f>-PMT($K$28,J36,,1)</f>
        <v>0.13977784179478686</v>
      </c>
      <c r="O36" s="16">
        <f>$K$31*L36-M36*N36</f>
        <v>13688.372593872618</v>
      </c>
    </row>
    <row r="39" spans="1:16" x14ac:dyDescent="0.55000000000000004">
      <c r="A39" s="27" t="s">
        <v>65</v>
      </c>
      <c r="B39" s="27" t="s">
        <v>130</v>
      </c>
      <c r="C39" s="27" t="s">
        <v>139</v>
      </c>
      <c r="D39" s="27" t="s">
        <v>142</v>
      </c>
      <c r="E39" s="27" t="s">
        <v>143</v>
      </c>
      <c r="F39" s="27" t="s">
        <v>140</v>
      </c>
      <c r="G39" s="27" t="s">
        <v>141</v>
      </c>
      <c r="J39" s="27" t="s">
        <v>65</v>
      </c>
      <c r="K39" s="27" t="s">
        <v>130</v>
      </c>
      <c r="L39" s="27" t="s">
        <v>139</v>
      </c>
      <c r="M39" s="27" t="s">
        <v>142</v>
      </c>
      <c r="N39" s="27" t="s">
        <v>143</v>
      </c>
      <c r="O39" s="27" t="s">
        <v>140</v>
      </c>
      <c r="P39" s="27" t="s">
        <v>141</v>
      </c>
    </row>
    <row r="40" spans="1:16" x14ac:dyDescent="0.55000000000000004">
      <c r="A40">
        <v>1</v>
      </c>
      <c r="B40" s="8">
        <f>B27</f>
        <v>6300</v>
      </c>
      <c r="C40" s="11">
        <f>-PV($B$28,A40,,1)</f>
        <v>0.84745762711864414</v>
      </c>
      <c r="D40" s="16">
        <f>B40*C40</f>
        <v>5338.9830508474579</v>
      </c>
      <c r="E40" s="17">
        <f>D40</f>
        <v>5338.9830508474579</v>
      </c>
      <c r="F40" s="11">
        <f>-PMT($B$28,A40,1)</f>
        <v>1.1800000000000002</v>
      </c>
      <c r="G40" s="16">
        <f>E40*F40</f>
        <v>6300.0000000000009</v>
      </c>
      <c r="J40">
        <v>1</v>
      </c>
      <c r="K40" s="8">
        <f>K27</f>
        <v>5000</v>
      </c>
      <c r="L40" s="11">
        <f>-PV($K$28,J40,,1)</f>
        <v>0.84745762711864414</v>
      </c>
      <c r="M40" s="16">
        <f>K40*L40</f>
        <v>4237.2881355932204</v>
      </c>
      <c r="N40" s="17">
        <f>M40</f>
        <v>4237.2881355932204</v>
      </c>
      <c r="O40" s="11">
        <f>-PMT($K$28,J40,1)</f>
        <v>1.1800000000000002</v>
      </c>
      <c r="P40" s="16">
        <f>N40*O40</f>
        <v>5000.0000000000009</v>
      </c>
    </row>
    <row r="41" spans="1:16" x14ac:dyDescent="0.55000000000000004">
      <c r="A41">
        <v>2</v>
      </c>
      <c r="B41" s="8">
        <f>B40+($D$27*B40)</f>
        <v>8001</v>
      </c>
      <c r="C41" s="11">
        <f>-PV($B$28,A41,,1)</f>
        <v>0.71818442976156283</v>
      </c>
      <c r="D41" s="16">
        <f>B41*C41</f>
        <v>5746.1936225222644</v>
      </c>
      <c r="E41" s="17">
        <f>D41+E40</f>
        <v>11085.176673369722</v>
      </c>
      <c r="F41" s="11">
        <f>-PMT($B$28,A41,1)</f>
        <v>0.63871559633027519</v>
      </c>
      <c r="G41" s="16">
        <f>E41*F41</f>
        <v>7080.2752293577987</v>
      </c>
      <c r="J41">
        <v>2</v>
      </c>
      <c r="K41" s="8">
        <f>K40+($M$27*K40)</f>
        <v>8000</v>
      </c>
      <c r="L41" s="11">
        <f>-PV($K$28,J41,,1)</f>
        <v>0.71818442976156283</v>
      </c>
      <c r="M41" s="16">
        <f>K41*L41</f>
        <v>5745.4754380925024</v>
      </c>
      <c r="N41" s="17">
        <f>M41+N40</f>
        <v>9982.7635736857228</v>
      </c>
      <c r="O41" s="11">
        <f>-PMT($K$28,J41,1)</f>
        <v>0.63871559633027519</v>
      </c>
      <c r="P41" s="16">
        <f>N41*O41</f>
        <v>6376.1467889908254</v>
      </c>
    </row>
    <row r="42" spans="1:16" x14ac:dyDescent="0.55000000000000004">
      <c r="A42">
        <v>3</v>
      </c>
      <c r="B42" s="8">
        <f>B41+($D$27*B41)</f>
        <v>10161.27</v>
      </c>
      <c r="C42" s="11">
        <f>-PV($B$28,A42,,1)</f>
        <v>0.6086308726792905</v>
      </c>
      <c r="D42" s="16">
        <f>B42*C42</f>
        <v>6184.4626276298941</v>
      </c>
      <c r="E42" s="17">
        <f>D42+E41</f>
        <v>17269.639300999617</v>
      </c>
      <c r="F42" s="11">
        <f>-PMT($B$28,A42,1)</f>
        <v>0.45992386070988689</v>
      </c>
      <c r="G42" s="16">
        <f>E42*F42</f>
        <v>7942.7191803829364</v>
      </c>
      <c r="J42">
        <v>3</v>
      </c>
      <c r="K42" s="8">
        <f>K41+($M$27*K41)</f>
        <v>12800</v>
      </c>
      <c r="L42" s="11">
        <f>-PV($K$28,J42,,1)</f>
        <v>0.6086308726792905</v>
      </c>
      <c r="M42" s="16">
        <f>K42*L42</f>
        <v>7790.4751702949188</v>
      </c>
      <c r="N42" s="17">
        <f>M42+N41</f>
        <v>17773.238743980641</v>
      </c>
      <c r="O42" s="11">
        <f>-PMT($K$28,J42,1)</f>
        <v>0.45992386070988689</v>
      </c>
      <c r="P42" s="16">
        <f>N42*O42</f>
        <v>8174.3365804501173</v>
      </c>
    </row>
    <row r="43" spans="1:16" x14ac:dyDescent="0.55000000000000004">
      <c r="A43">
        <v>4</v>
      </c>
      <c r="B43" s="8">
        <f>B42+($D$27*B42)</f>
        <v>12904.812900000001</v>
      </c>
      <c r="C43" s="11">
        <f>-PV($B$28,A43,,1)</f>
        <v>0.51578887515194116</v>
      </c>
      <c r="D43" s="16">
        <f>B43*C43</f>
        <v>6656.1589297372602</v>
      </c>
      <c r="E43" s="17">
        <f>D43+E42</f>
        <v>23925.798230736877</v>
      </c>
      <c r="F43" s="11">
        <f>-PMT($B$28,A43,1)</f>
        <v>0.37173867092888946</v>
      </c>
      <c r="G43" s="16">
        <f>E43*F43</f>
        <v>8894.1444352069011</v>
      </c>
      <c r="J43">
        <v>4</v>
      </c>
      <c r="K43" s="8">
        <f>K42+($M$27*K42)</f>
        <v>20480</v>
      </c>
      <c r="L43" s="11">
        <f>-PV($K$28,J43,,1)</f>
        <v>0.51578887515194116</v>
      </c>
      <c r="M43" s="16">
        <f>K43*L43</f>
        <v>10563.356163111755</v>
      </c>
      <c r="N43" s="17">
        <f>M43+N42</f>
        <v>28336.594907092396</v>
      </c>
      <c r="O43" s="11">
        <f>-PMT($K$28,J43,1)</f>
        <v>0.37173867092888946</v>
      </c>
      <c r="P43" s="16">
        <f>N43*O43</f>
        <v>10533.808129412866</v>
      </c>
    </row>
    <row r="44" spans="1:16" x14ac:dyDescent="0.55000000000000004">
      <c r="A44">
        <v>5</v>
      </c>
      <c r="B44" s="8">
        <f>B43+($D$27*B43)</f>
        <v>16389.112383</v>
      </c>
      <c r="C44" s="11">
        <f>-PV($B$28,A44,,1)</f>
        <v>0.43710921623045873</v>
      </c>
      <c r="D44" s="16">
        <f>B44*C44</f>
        <v>7163.8320684460359</v>
      </c>
      <c r="E44" s="17">
        <f>D44+E43</f>
        <v>31089.630299182914</v>
      </c>
      <c r="F44" s="11">
        <f>-PMT($B$28,A44,1)</f>
        <v>0.31977784179478685</v>
      </c>
      <c r="G44" s="16">
        <f>E44*F44</f>
        <v>9941.7748792705261</v>
      </c>
      <c r="J44">
        <v>5</v>
      </c>
      <c r="K44" s="8">
        <f>K43+($M$27*K43)</f>
        <v>32768</v>
      </c>
      <c r="L44" s="11">
        <f>-PV($K$28,J44,,1)</f>
        <v>0.43710921623045873</v>
      </c>
      <c r="M44" s="16">
        <f>K44*L44</f>
        <v>14323.194797439672</v>
      </c>
      <c r="N44" s="17">
        <f>M44+N43</f>
        <v>42659.789704532071</v>
      </c>
      <c r="O44" s="11">
        <f>-PMT($K$28,J44,1)</f>
        <v>0.31977784179478685</v>
      </c>
      <c r="P44" s="16">
        <f>N44*O44</f>
        <v>13641.655483134733</v>
      </c>
    </row>
    <row r="46" spans="1:16" ht="14.7" thickBot="1" x14ac:dyDescent="0.6"/>
    <row r="47" spans="1:16" x14ac:dyDescent="0.55000000000000004">
      <c r="A47" s="30" t="s">
        <v>127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2"/>
    </row>
    <row r="48" spans="1:16" x14ac:dyDescent="0.55000000000000004">
      <c r="A48" s="33" t="s">
        <v>65</v>
      </c>
      <c r="B48" s="27" t="s">
        <v>136</v>
      </c>
      <c r="C48" s="27" t="s">
        <v>141</v>
      </c>
      <c r="D48" s="27" t="s">
        <v>145</v>
      </c>
      <c r="E48" s="26"/>
      <c r="F48" s="26"/>
      <c r="G48" s="26"/>
      <c r="H48" s="26"/>
      <c r="I48" s="26"/>
      <c r="J48" s="27" t="s">
        <v>65</v>
      </c>
      <c r="K48" s="27" t="s">
        <v>136</v>
      </c>
      <c r="L48" s="27" t="s">
        <v>141</v>
      </c>
      <c r="M48" s="27" t="s">
        <v>145</v>
      </c>
      <c r="N48" s="26"/>
      <c r="O48" s="26"/>
      <c r="P48" s="34"/>
    </row>
    <row r="49" spans="1:16" x14ac:dyDescent="0.55000000000000004">
      <c r="A49" s="35">
        <v>1</v>
      </c>
      <c r="B49" s="36">
        <f>F32</f>
        <v>40000.000000000007</v>
      </c>
      <c r="C49" s="36">
        <f>G40</f>
        <v>6300.0000000000009</v>
      </c>
      <c r="D49" s="36">
        <f>B49+C49</f>
        <v>46300.000000000007</v>
      </c>
      <c r="E49" s="26"/>
      <c r="F49" s="26"/>
      <c r="G49" s="26"/>
      <c r="H49" s="26"/>
      <c r="I49" s="26"/>
      <c r="J49" s="26">
        <v>1</v>
      </c>
      <c r="K49" s="36">
        <f>O32</f>
        <v>39460.000000000007</v>
      </c>
      <c r="L49" s="36">
        <f>P40</f>
        <v>5000.0000000000009</v>
      </c>
      <c r="M49" s="36">
        <f>K49+L49</f>
        <v>44460.000000000007</v>
      </c>
      <c r="N49" s="26"/>
      <c r="O49" s="26"/>
      <c r="P49" s="34"/>
    </row>
    <row r="50" spans="1:16" x14ac:dyDescent="0.55000000000000004">
      <c r="A50" s="35">
        <v>2</v>
      </c>
      <c r="B50" s="36">
        <f>F33</f>
        <v>24091.743119266055</v>
      </c>
      <c r="C50" s="36">
        <f>G41</f>
        <v>7080.2752293577987</v>
      </c>
      <c r="D50" s="36">
        <f>B50+C50</f>
        <v>31172.018348623853</v>
      </c>
      <c r="E50" s="26"/>
      <c r="F50" s="26"/>
      <c r="G50" s="26"/>
      <c r="H50" s="26"/>
      <c r="I50" s="26"/>
      <c r="J50" s="26">
        <v>2</v>
      </c>
      <c r="K50" s="36">
        <f>O33</f>
        <v>23560.917431192658</v>
      </c>
      <c r="L50" s="36">
        <f>P41</f>
        <v>6376.1467889908254</v>
      </c>
      <c r="M50" s="36">
        <f>K50+L50</f>
        <v>29937.064220183485</v>
      </c>
      <c r="N50" s="26"/>
      <c r="O50" s="26"/>
      <c r="P50" s="34"/>
    </row>
    <row r="51" spans="1:16" x14ac:dyDescent="0.55000000000000004">
      <c r="A51" s="35">
        <v>3</v>
      </c>
      <c r="B51" s="36">
        <f>F34</f>
        <v>18688.164819169186</v>
      </c>
      <c r="C51" s="36">
        <f>G42</f>
        <v>7942.7191803829364</v>
      </c>
      <c r="D51" s="36">
        <f>B51+C51</f>
        <v>26630.883999552123</v>
      </c>
      <c r="E51" s="26"/>
      <c r="F51" s="26"/>
      <c r="G51" s="26"/>
      <c r="H51" s="26"/>
      <c r="I51" s="26"/>
      <c r="J51" s="26">
        <v>3</v>
      </c>
      <c r="K51" s="36">
        <f>O34</f>
        <v>18148.052849624903</v>
      </c>
      <c r="L51" s="36">
        <f>P42</f>
        <v>8174.3365804501173</v>
      </c>
      <c r="M51" s="36">
        <f>K51+L51</f>
        <v>26322.389430075018</v>
      </c>
      <c r="N51" s="26"/>
      <c r="O51" s="26"/>
      <c r="P51" s="34"/>
    </row>
    <row r="52" spans="1:16" x14ac:dyDescent="0.55000000000000004">
      <c r="A52" s="35">
        <v>4</v>
      </c>
      <c r="B52" s="36">
        <f>F35</f>
        <v>15931.161215408425</v>
      </c>
      <c r="C52" s="36">
        <f>G43</f>
        <v>8894.1444352069011</v>
      </c>
      <c r="D52" s="36">
        <f>B52+C52</f>
        <v>24825.305650615326</v>
      </c>
      <c r="E52" s="26"/>
      <c r="F52" s="26"/>
      <c r="G52" s="26"/>
      <c r="H52" s="26"/>
      <c r="I52" s="26"/>
      <c r="J52" s="26">
        <v>4</v>
      </c>
      <c r="K52" s="36">
        <f>O35</f>
        <v>15381.08496477377</v>
      </c>
      <c r="L52" s="36">
        <f>P43</f>
        <v>10533.808129412866</v>
      </c>
      <c r="M52" s="37">
        <f>K52+L52</f>
        <v>25914.893094186635</v>
      </c>
      <c r="N52" s="26"/>
      <c r="O52" s="26"/>
      <c r="P52" s="34"/>
    </row>
    <row r="53" spans="1:16" x14ac:dyDescent="0.55000000000000004">
      <c r="A53" s="35">
        <v>5</v>
      </c>
      <c r="B53" s="36">
        <f>F36</f>
        <v>14246.435491709708</v>
      </c>
      <c r="C53" s="36">
        <f>G44</f>
        <v>9941.7748792705261</v>
      </c>
      <c r="D53" s="37">
        <f>B53+C53</f>
        <v>24188.210370980232</v>
      </c>
      <c r="E53" s="26"/>
      <c r="F53" s="26"/>
      <c r="G53" s="26"/>
      <c r="H53" s="26"/>
      <c r="I53" s="26"/>
      <c r="J53" s="26">
        <v>5</v>
      </c>
      <c r="K53" s="36">
        <f>O36</f>
        <v>13688.372593872618</v>
      </c>
      <c r="L53" s="36">
        <f>P44</f>
        <v>13641.655483134733</v>
      </c>
      <c r="M53" s="36">
        <f>K53+L53</f>
        <v>27330.028077007351</v>
      </c>
      <c r="N53" s="26"/>
      <c r="O53" s="26"/>
      <c r="P53" s="34"/>
    </row>
    <row r="54" spans="1:16" x14ac:dyDescent="0.55000000000000004">
      <c r="A54" s="35"/>
      <c r="B54" s="26"/>
      <c r="C54" s="38" t="s">
        <v>146</v>
      </c>
      <c r="D54" s="39">
        <f>MIN(D49:D53)</f>
        <v>24188.210370980232</v>
      </c>
      <c r="E54" s="26"/>
      <c r="F54" s="26"/>
      <c r="G54" s="26"/>
      <c r="H54" s="26"/>
      <c r="I54" s="26"/>
      <c r="J54" s="26"/>
      <c r="K54" s="26"/>
      <c r="L54" s="38" t="s">
        <v>146</v>
      </c>
      <c r="M54" s="39">
        <f>MIN(M49:M53)</f>
        <v>25914.893094186635</v>
      </c>
      <c r="N54" s="26"/>
      <c r="O54" s="26"/>
      <c r="P54" s="34"/>
    </row>
    <row r="55" spans="1:16" ht="14.7" thickBot="1" x14ac:dyDescent="0.6">
      <c r="A55" s="35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34"/>
    </row>
    <row r="56" spans="1:16" ht="15" thickTop="1" thickBot="1" x14ac:dyDescent="0.6">
      <c r="A56" s="72" t="s">
        <v>147</v>
      </c>
      <c r="B56" s="73"/>
      <c r="C56" s="73"/>
      <c r="D56" s="73"/>
      <c r="E56" s="73"/>
      <c r="F56" s="73"/>
      <c r="G56" s="73"/>
      <c r="H56" s="40"/>
      <c r="I56" s="40"/>
      <c r="J56" s="73" t="s">
        <v>148</v>
      </c>
      <c r="K56" s="73"/>
      <c r="L56" s="73"/>
      <c r="M56" s="73"/>
      <c r="N56" s="73"/>
      <c r="O56" s="73"/>
      <c r="P56" s="74"/>
    </row>
    <row r="58" spans="1:16" ht="14.7" thickBot="1" x14ac:dyDescent="0.6"/>
    <row r="59" spans="1:16" x14ac:dyDescent="0.55000000000000004">
      <c r="A59" s="30" t="s">
        <v>149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2"/>
    </row>
    <row r="60" spans="1:16" x14ac:dyDescent="0.55000000000000004">
      <c r="A60" s="3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34"/>
    </row>
    <row r="61" spans="1:16" x14ac:dyDescent="0.55000000000000004">
      <c r="A61" s="35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34"/>
    </row>
    <row r="62" spans="1:16" x14ac:dyDescent="0.55000000000000004">
      <c r="A62" s="35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34"/>
    </row>
    <row r="63" spans="1:16" x14ac:dyDescent="0.55000000000000004">
      <c r="A63" s="35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34"/>
    </row>
    <row r="64" spans="1:16" x14ac:dyDescent="0.55000000000000004">
      <c r="A64" s="35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34"/>
    </row>
    <row r="65" spans="1:16" x14ac:dyDescent="0.55000000000000004">
      <c r="A65" s="35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34"/>
    </row>
    <row r="66" spans="1:16" x14ac:dyDescent="0.55000000000000004">
      <c r="A66" s="3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34"/>
    </row>
    <row r="67" spans="1:16" x14ac:dyDescent="0.55000000000000004">
      <c r="A67" s="3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34"/>
    </row>
    <row r="68" spans="1:16" x14ac:dyDescent="0.55000000000000004">
      <c r="A68" s="3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34"/>
    </row>
    <row r="69" spans="1:16" x14ac:dyDescent="0.55000000000000004">
      <c r="A69" s="35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34"/>
    </row>
    <row r="70" spans="1:16" x14ac:dyDescent="0.55000000000000004">
      <c r="A70" s="35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34"/>
    </row>
    <row r="71" spans="1:16" x14ac:dyDescent="0.55000000000000004">
      <c r="A71" s="35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34"/>
    </row>
    <row r="72" spans="1:16" x14ac:dyDescent="0.55000000000000004">
      <c r="A72" s="3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34"/>
    </row>
    <row r="73" spans="1:16" x14ac:dyDescent="0.55000000000000004">
      <c r="A73" s="35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34"/>
    </row>
    <row r="74" spans="1:16" x14ac:dyDescent="0.55000000000000004">
      <c r="A74" s="35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34"/>
    </row>
    <row r="75" spans="1:16" x14ac:dyDescent="0.55000000000000004">
      <c r="A75" s="35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34"/>
    </row>
    <row r="76" spans="1:16" ht="14.7" thickBot="1" x14ac:dyDescent="0.6">
      <c r="A76" s="35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34"/>
    </row>
    <row r="77" spans="1:16" ht="15" thickTop="1" thickBot="1" x14ac:dyDescent="0.6">
      <c r="A77" s="72" t="s">
        <v>266</v>
      </c>
      <c r="B77" s="73"/>
      <c r="C77" s="73"/>
      <c r="D77" s="73"/>
      <c r="E77" s="73"/>
      <c r="F77" s="73"/>
      <c r="G77" s="73"/>
      <c r="H77" s="73"/>
      <c r="I77" s="40"/>
      <c r="J77" s="40"/>
      <c r="K77" s="40"/>
      <c r="L77" s="40"/>
      <c r="M77" s="40"/>
      <c r="N77" s="40"/>
      <c r="O77" s="40"/>
      <c r="P77" s="41"/>
    </row>
    <row r="80" spans="1:16" x14ac:dyDescent="0.55000000000000004">
      <c r="A80" s="6" t="s">
        <v>150</v>
      </c>
    </row>
    <row r="82" spans="1:6" x14ac:dyDescent="0.55000000000000004">
      <c r="A82" t="s">
        <v>137</v>
      </c>
      <c r="B82" s="1">
        <v>0.18</v>
      </c>
    </row>
    <row r="83" spans="1:6" x14ac:dyDescent="0.55000000000000004">
      <c r="A83" t="s">
        <v>24</v>
      </c>
      <c r="B83">
        <v>1</v>
      </c>
    </row>
    <row r="85" spans="1:6" x14ac:dyDescent="0.55000000000000004">
      <c r="A85" t="s">
        <v>151</v>
      </c>
    </row>
    <row r="86" spans="1:6" x14ac:dyDescent="0.55000000000000004">
      <c r="A86" t="s">
        <v>42</v>
      </c>
      <c r="B86" s="8">
        <f>M35</f>
        <v>10903.552</v>
      </c>
    </row>
    <row r="87" spans="1:6" x14ac:dyDescent="0.55000000000000004">
      <c r="A87" t="s">
        <v>152</v>
      </c>
      <c r="B87" s="8">
        <f>K43</f>
        <v>20480</v>
      </c>
    </row>
    <row r="88" spans="1:6" x14ac:dyDescent="0.55000000000000004">
      <c r="A88" t="s">
        <v>153</v>
      </c>
      <c r="B88" s="8">
        <f>M36</f>
        <v>9595.125759999999</v>
      </c>
    </row>
    <row r="89" spans="1:6" x14ac:dyDescent="0.55000000000000004">
      <c r="A89" t="s">
        <v>154</v>
      </c>
      <c r="B89" s="11">
        <f>-PMT(B82,B83,1)</f>
        <v>1.1800000000000002</v>
      </c>
    </row>
    <row r="90" spans="1:6" x14ac:dyDescent="0.55000000000000004">
      <c r="A90" t="s">
        <v>155</v>
      </c>
      <c r="B90" s="11">
        <f>-PMT(B82,B83,,1)</f>
        <v>1</v>
      </c>
    </row>
    <row r="91" spans="1:6" x14ac:dyDescent="0.55000000000000004">
      <c r="A91" t="s">
        <v>156</v>
      </c>
      <c r="B91" s="11">
        <f>-PV(B82,B83,,1)</f>
        <v>0.84745762711864414</v>
      </c>
    </row>
    <row r="92" spans="1:6" x14ac:dyDescent="0.55000000000000004">
      <c r="A92" t="s">
        <v>157</v>
      </c>
      <c r="B92" s="16">
        <f>B86*B89-B88*B90</f>
        <v>3271.0656000000017</v>
      </c>
    </row>
    <row r="93" spans="1:6" x14ac:dyDescent="0.55000000000000004">
      <c r="A93" t="s">
        <v>138</v>
      </c>
      <c r="B93" s="16">
        <f>B87*B91*B89</f>
        <v>20480.000000000004</v>
      </c>
    </row>
    <row r="94" spans="1:6" x14ac:dyDescent="0.55000000000000004">
      <c r="A94" t="s">
        <v>158</v>
      </c>
      <c r="B94" s="17">
        <f>B92+B93</f>
        <v>23751.065600000005</v>
      </c>
    </row>
    <row r="95" spans="1:6" x14ac:dyDescent="0.55000000000000004">
      <c r="A95" t="s">
        <v>159</v>
      </c>
    </row>
    <row r="96" spans="1:6" x14ac:dyDescent="0.55000000000000004">
      <c r="A96" s="88" t="s">
        <v>267</v>
      </c>
      <c r="B96" s="89"/>
      <c r="C96" s="89"/>
      <c r="D96" s="89"/>
      <c r="E96" s="89"/>
      <c r="F96" s="89"/>
    </row>
  </sheetData>
  <mergeCells count="5">
    <mergeCell ref="J23:K23"/>
    <mergeCell ref="A56:G56"/>
    <mergeCell ref="J56:P56"/>
    <mergeCell ref="A77:H77"/>
    <mergeCell ref="A96:F9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M19" sqref="M19"/>
    </sheetView>
  </sheetViews>
  <sheetFormatPr defaultRowHeight="14.4" x14ac:dyDescent="0.55000000000000004"/>
  <cols>
    <col min="2" max="2" width="10.5234375" customWidth="1"/>
    <col min="3" max="3" width="11.578125" customWidth="1"/>
    <col min="7" max="7" width="14" bestFit="1" customWidth="1"/>
    <col min="8" max="8" width="10.89453125" bestFit="1" customWidth="1"/>
  </cols>
  <sheetData>
    <row r="1" spans="1:8" x14ac:dyDescent="0.55000000000000004">
      <c r="A1" t="s">
        <v>160</v>
      </c>
    </row>
    <row r="3" spans="1:8" ht="28.8" x14ac:dyDescent="0.55000000000000004">
      <c r="A3" t="s">
        <v>161</v>
      </c>
      <c r="B3" s="20" t="s">
        <v>162</v>
      </c>
      <c r="C3" s="20" t="s">
        <v>163</v>
      </c>
    </row>
    <row r="4" spans="1:8" x14ac:dyDescent="0.55000000000000004">
      <c r="A4" t="s">
        <v>47</v>
      </c>
      <c r="B4" s="8">
        <v>300</v>
      </c>
      <c r="C4" s="8">
        <v>150</v>
      </c>
    </row>
    <row r="5" spans="1:8" x14ac:dyDescent="0.55000000000000004">
      <c r="A5" t="s">
        <v>164</v>
      </c>
      <c r="B5" s="8">
        <v>600</v>
      </c>
      <c r="C5" s="8">
        <v>180</v>
      </c>
    </row>
    <row r="6" spans="1:8" x14ac:dyDescent="0.55000000000000004">
      <c r="A6" t="s">
        <v>165</v>
      </c>
      <c r="B6" s="8">
        <v>900</v>
      </c>
      <c r="C6" s="8">
        <v>210</v>
      </c>
    </row>
    <row r="7" spans="1:8" x14ac:dyDescent="0.55000000000000004">
      <c r="A7" t="s">
        <v>166</v>
      </c>
      <c r="B7" s="8">
        <v>750</v>
      </c>
      <c r="C7" s="8">
        <v>150</v>
      </c>
    </row>
    <row r="8" spans="1:8" x14ac:dyDescent="0.55000000000000004">
      <c r="A8" t="s">
        <v>167</v>
      </c>
      <c r="B8" s="8">
        <v>300</v>
      </c>
      <c r="C8" s="8">
        <v>90</v>
      </c>
    </row>
    <row r="10" spans="1:8" x14ac:dyDescent="0.55000000000000004">
      <c r="A10" t="s">
        <v>168</v>
      </c>
    </row>
    <row r="11" spans="1:8" x14ac:dyDescent="0.55000000000000004">
      <c r="A11" t="s">
        <v>169</v>
      </c>
    </row>
    <row r="12" spans="1:8" x14ac:dyDescent="0.55000000000000004">
      <c r="A12" t="s">
        <v>170</v>
      </c>
    </row>
    <row r="14" spans="1:8" ht="14.7" thickBot="1" x14ac:dyDescent="0.6"/>
    <row r="15" spans="1:8" x14ac:dyDescent="0.55000000000000004">
      <c r="A15" s="30" t="s">
        <v>171</v>
      </c>
      <c r="B15" s="31"/>
      <c r="C15" s="31"/>
      <c r="D15" s="31"/>
      <c r="E15" s="31"/>
      <c r="F15" s="31"/>
      <c r="G15" s="31"/>
      <c r="H15" s="32"/>
    </row>
    <row r="16" spans="1:8" x14ac:dyDescent="0.55000000000000004">
      <c r="A16" s="42" t="s">
        <v>172</v>
      </c>
      <c r="B16" s="26"/>
      <c r="C16" s="26"/>
      <c r="D16" s="26"/>
      <c r="E16" s="26"/>
      <c r="F16" s="26"/>
      <c r="G16" s="26"/>
      <c r="H16" s="34"/>
    </row>
    <row r="17" spans="1:8" x14ac:dyDescent="0.55000000000000004">
      <c r="A17" s="42" t="s">
        <v>175</v>
      </c>
      <c r="B17" s="26"/>
      <c r="C17" s="26"/>
      <c r="D17" s="26"/>
      <c r="E17" s="26"/>
      <c r="F17" s="26"/>
      <c r="G17" s="26"/>
      <c r="H17" s="34"/>
    </row>
    <row r="18" spans="1:8" x14ac:dyDescent="0.55000000000000004">
      <c r="A18" s="42" t="s">
        <v>176</v>
      </c>
      <c r="B18" s="26"/>
      <c r="C18" s="26"/>
      <c r="D18" s="26"/>
      <c r="E18" s="26"/>
      <c r="F18" s="26"/>
      <c r="G18" s="26"/>
      <c r="H18" s="34"/>
    </row>
    <row r="19" spans="1:8" x14ac:dyDescent="0.55000000000000004">
      <c r="A19" s="35"/>
      <c r="B19" s="26"/>
      <c r="C19" s="26"/>
      <c r="D19" s="26"/>
      <c r="E19" s="26"/>
      <c r="F19" s="26"/>
      <c r="G19" s="26"/>
      <c r="H19" s="34"/>
    </row>
    <row r="20" spans="1:8" x14ac:dyDescent="0.55000000000000004">
      <c r="A20" s="33"/>
      <c r="B20" s="27" t="s">
        <v>47</v>
      </c>
      <c r="C20" s="27" t="s">
        <v>164</v>
      </c>
      <c r="D20" s="27" t="s">
        <v>165</v>
      </c>
      <c r="E20" s="27" t="s">
        <v>166</v>
      </c>
      <c r="F20" s="27" t="s">
        <v>167</v>
      </c>
      <c r="G20" s="27" t="s">
        <v>173</v>
      </c>
      <c r="H20" s="48" t="s">
        <v>174</v>
      </c>
    </row>
    <row r="21" spans="1:8" x14ac:dyDescent="0.55000000000000004">
      <c r="A21" s="35">
        <v>1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43">
        <f>$B21*$B$4+$C21*$B$5+$D21*$B$6+$E21*$B$7+$F21*$B$8</f>
        <v>0</v>
      </c>
      <c r="H21" s="44">
        <f>$C$4*$B21+$C$5*$C21+$C$6*$D21+$C$7*$E21+$C$8*$F21</f>
        <v>0</v>
      </c>
    </row>
    <row r="22" spans="1:8" x14ac:dyDescent="0.55000000000000004">
      <c r="A22" s="35">
        <v>2</v>
      </c>
      <c r="B22" s="26">
        <v>1</v>
      </c>
      <c r="C22" s="26">
        <v>0</v>
      </c>
      <c r="D22" s="26">
        <v>0</v>
      </c>
      <c r="E22" s="26">
        <v>0</v>
      </c>
      <c r="F22" s="26">
        <v>0</v>
      </c>
      <c r="G22" s="43">
        <f>$B22*$B$4+$C22*$B$5+$D22*$B$6+$E22*$B$7+$F22*$B$8</f>
        <v>300</v>
      </c>
      <c r="H22" s="44">
        <f>$C$4*$B22+$C$5*$C22+$C$6*$D22+$C$7*$E22+$C$8*$F22</f>
        <v>150</v>
      </c>
    </row>
    <row r="23" spans="1:8" x14ac:dyDescent="0.55000000000000004">
      <c r="A23" s="35">
        <v>3</v>
      </c>
      <c r="B23" s="26">
        <v>0</v>
      </c>
      <c r="C23" s="26">
        <v>1</v>
      </c>
      <c r="D23" s="26">
        <v>0</v>
      </c>
      <c r="E23" s="26">
        <v>0</v>
      </c>
      <c r="F23" s="26">
        <v>0</v>
      </c>
      <c r="G23" s="43">
        <f t="shared" ref="G23:G32" si="0">$B23*$B$4+$C23*$B$5+$D23*$B$6+$E23*$B$7+$F23*$B$8</f>
        <v>600</v>
      </c>
      <c r="H23" s="44">
        <f t="shared" ref="H23:H32" si="1">$C$4*$B23+$C$5*$C23+$C$6*$D23+$C$7*$E23+$C$8*$F23</f>
        <v>180</v>
      </c>
    </row>
    <row r="24" spans="1:8" x14ac:dyDescent="0.55000000000000004">
      <c r="A24" s="35">
        <v>4</v>
      </c>
      <c r="B24" s="26">
        <v>0</v>
      </c>
      <c r="C24" s="26">
        <v>0</v>
      </c>
      <c r="D24" s="26">
        <v>0</v>
      </c>
      <c r="E24" s="26">
        <v>1</v>
      </c>
      <c r="F24" s="26">
        <v>0</v>
      </c>
      <c r="G24" s="43">
        <f t="shared" si="0"/>
        <v>750</v>
      </c>
      <c r="H24" s="44">
        <f t="shared" si="1"/>
        <v>150</v>
      </c>
    </row>
    <row r="25" spans="1:8" x14ac:dyDescent="0.55000000000000004">
      <c r="A25" s="35">
        <v>5</v>
      </c>
      <c r="B25" s="26">
        <v>0</v>
      </c>
      <c r="C25" s="26">
        <v>0</v>
      </c>
      <c r="D25" s="26">
        <v>0</v>
      </c>
      <c r="E25" s="26">
        <v>0</v>
      </c>
      <c r="F25" s="26">
        <v>1</v>
      </c>
      <c r="G25" s="43">
        <f t="shared" si="0"/>
        <v>300</v>
      </c>
      <c r="H25" s="44">
        <f t="shared" si="1"/>
        <v>90</v>
      </c>
    </row>
    <row r="26" spans="1:8" x14ac:dyDescent="0.55000000000000004">
      <c r="A26" s="35">
        <v>6</v>
      </c>
      <c r="B26" s="26">
        <v>1</v>
      </c>
      <c r="C26" s="26">
        <v>0</v>
      </c>
      <c r="D26" s="26">
        <v>1</v>
      </c>
      <c r="E26" s="26">
        <v>0</v>
      </c>
      <c r="F26" s="26">
        <v>0</v>
      </c>
      <c r="G26" s="43">
        <f t="shared" si="0"/>
        <v>1200</v>
      </c>
      <c r="H26" s="44">
        <f t="shared" si="1"/>
        <v>360</v>
      </c>
    </row>
    <row r="27" spans="1:8" x14ac:dyDescent="0.55000000000000004">
      <c r="A27" s="35">
        <v>7</v>
      </c>
      <c r="B27" s="26">
        <v>1</v>
      </c>
      <c r="C27" s="26">
        <v>0</v>
      </c>
      <c r="D27" s="26">
        <v>0</v>
      </c>
      <c r="E27" s="26">
        <v>1</v>
      </c>
      <c r="F27" s="26">
        <v>0</v>
      </c>
      <c r="G27" s="43">
        <f t="shared" si="0"/>
        <v>1050</v>
      </c>
      <c r="H27" s="44">
        <f t="shared" si="1"/>
        <v>300</v>
      </c>
    </row>
    <row r="28" spans="1:8" x14ac:dyDescent="0.55000000000000004">
      <c r="A28" s="35">
        <v>8</v>
      </c>
      <c r="B28" s="26">
        <v>1</v>
      </c>
      <c r="C28" s="26">
        <v>0</v>
      </c>
      <c r="D28" s="26">
        <v>0</v>
      </c>
      <c r="E28" s="26">
        <v>0</v>
      </c>
      <c r="F28" s="26">
        <v>1</v>
      </c>
      <c r="G28" s="43">
        <f t="shared" si="0"/>
        <v>600</v>
      </c>
      <c r="H28" s="44">
        <f t="shared" si="1"/>
        <v>240</v>
      </c>
    </row>
    <row r="29" spans="1:8" x14ac:dyDescent="0.55000000000000004">
      <c r="A29" s="35">
        <v>9</v>
      </c>
      <c r="B29" s="26">
        <v>0</v>
      </c>
      <c r="C29" s="26">
        <v>1</v>
      </c>
      <c r="D29" s="26">
        <v>0</v>
      </c>
      <c r="E29" s="26">
        <v>1</v>
      </c>
      <c r="F29" s="26">
        <v>0</v>
      </c>
      <c r="G29" s="43">
        <f t="shared" si="0"/>
        <v>1350</v>
      </c>
      <c r="H29" s="44">
        <f t="shared" si="1"/>
        <v>330</v>
      </c>
    </row>
    <row r="30" spans="1:8" x14ac:dyDescent="0.55000000000000004">
      <c r="A30" s="35">
        <v>10</v>
      </c>
      <c r="B30" s="26">
        <v>0</v>
      </c>
      <c r="C30" s="26">
        <v>1</v>
      </c>
      <c r="D30" s="26">
        <v>0</v>
      </c>
      <c r="E30" s="26">
        <v>0</v>
      </c>
      <c r="F30" s="26">
        <v>1</v>
      </c>
      <c r="G30" s="43">
        <f t="shared" si="0"/>
        <v>900</v>
      </c>
      <c r="H30" s="44">
        <f t="shared" si="1"/>
        <v>270</v>
      </c>
    </row>
    <row r="31" spans="1:8" x14ac:dyDescent="0.55000000000000004">
      <c r="A31" s="35">
        <v>11</v>
      </c>
      <c r="B31" s="26">
        <v>1</v>
      </c>
      <c r="C31" s="26">
        <v>0</v>
      </c>
      <c r="D31" s="26">
        <v>1</v>
      </c>
      <c r="E31" s="26">
        <v>1</v>
      </c>
      <c r="F31" s="26">
        <v>0</v>
      </c>
      <c r="G31" s="43">
        <f t="shared" si="0"/>
        <v>1950</v>
      </c>
      <c r="H31" s="44">
        <f t="shared" si="1"/>
        <v>510</v>
      </c>
    </row>
    <row r="32" spans="1:8" ht="14.7" thickBot="1" x14ac:dyDescent="0.6">
      <c r="A32" s="45">
        <v>12</v>
      </c>
      <c r="B32" s="40">
        <v>1</v>
      </c>
      <c r="C32" s="40">
        <v>0</v>
      </c>
      <c r="D32" s="40">
        <v>1</v>
      </c>
      <c r="E32" s="40">
        <v>0</v>
      </c>
      <c r="F32" s="40">
        <v>1</v>
      </c>
      <c r="G32" s="46">
        <f t="shared" si="0"/>
        <v>1500</v>
      </c>
      <c r="H32" s="47">
        <f t="shared" si="1"/>
        <v>450</v>
      </c>
    </row>
    <row r="33" spans="6:8" ht="14.7" thickBot="1" x14ac:dyDescent="0.6">
      <c r="F33" s="49" t="s">
        <v>202</v>
      </c>
      <c r="G33" s="50">
        <f>SUM(G21:G32)</f>
        <v>10500</v>
      </c>
      <c r="H33" s="50">
        <f>SUM(H21:H32)</f>
        <v>3030</v>
      </c>
    </row>
    <row r="34" spans="6:8" ht="14.7" thickTop="1" x14ac:dyDescent="0.55000000000000004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2" workbookViewId="0">
      <selection activeCell="B35" sqref="B35"/>
    </sheetView>
  </sheetViews>
  <sheetFormatPr defaultRowHeight="14.4" x14ac:dyDescent="0.55000000000000004"/>
  <cols>
    <col min="1" max="1" width="16.7890625" customWidth="1"/>
    <col min="2" max="2" width="12.7890625" bestFit="1" customWidth="1"/>
    <col min="3" max="3" width="12.9453125" bestFit="1" customWidth="1"/>
  </cols>
  <sheetData>
    <row r="1" spans="1:3" x14ac:dyDescent="0.55000000000000004">
      <c r="A1" t="s">
        <v>177</v>
      </c>
    </row>
    <row r="2" spans="1:3" x14ac:dyDescent="0.55000000000000004">
      <c r="A2" t="s">
        <v>178</v>
      </c>
    </row>
    <row r="3" spans="1:3" x14ac:dyDescent="0.55000000000000004">
      <c r="A3" t="s">
        <v>179</v>
      </c>
    </row>
    <row r="4" spans="1:3" x14ac:dyDescent="0.55000000000000004">
      <c r="A4" t="s">
        <v>180</v>
      </c>
    </row>
    <row r="6" spans="1:3" x14ac:dyDescent="0.55000000000000004">
      <c r="A6" s="5" t="s">
        <v>181</v>
      </c>
      <c r="B6" s="5" t="s">
        <v>22</v>
      </c>
    </row>
    <row r="7" spans="1:3" x14ac:dyDescent="0.55000000000000004">
      <c r="A7" t="s">
        <v>182</v>
      </c>
      <c r="B7" s="8">
        <v>3300000</v>
      </c>
    </row>
    <row r="8" spans="1:3" x14ac:dyDescent="0.55000000000000004">
      <c r="A8" t="s">
        <v>183</v>
      </c>
      <c r="B8" s="8">
        <v>10000000</v>
      </c>
    </row>
    <row r="9" spans="1:3" x14ac:dyDescent="0.55000000000000004">
      <c r="A9" t="s">
        <v>184</v>
      </c>
      <c r="B9" s="8">
        <v>2800000</v>
      </c>
    </row>
    <row r="10" spans="1:3" ht="14.7" thickBot="1" x14ac:dyDescent="0.6">
      <c r="A10" s="49" t="s">
        <v>202</v>
      </c>
      <c r="B10" s="50">
        <f>SUM(B7:B9)</f>
        <v>16100000</v>
      </c>
    </row>
    <row r="11" spans="1:3" ht="14.7" thickTop="1" x14ac:dyDescent="0.55000000000000004"/>
    <row r="12" spans="1:3" x14ac:dyDescent="0.55000000000000004">
      <c r="A12" t="s">
        <v>185</v>
      </c>
    </row>
    <row r="13" spans="1:3" x14ac:dyDescent="0.55000000000000004">
      <c r="A13" t="s">
        <v>186</v>
      </c>
    </row>
    <row r="15" spans="1:3" x14ac:dyDescent="0.55000000000000004">
      <c r="A15" s="5"/>
      <c r="B15" s="5" t="s">
        <v>192</v>
      </c>
      <c r="C15" s="5" t="s">
        <v>184</v>
      </c>
    </row>
    <row r="16" spans="1:3" x14ac:dyDescent="0.55000000000000004">
      <c r="A16" t="s">
        <v>187</v>
      </c>
      <c r="B16" s="8">
        <v>63</v>
      </c>
      <c r="C16" s="8">
        <v>129</v>
      </c>
    </row>
    <row r="17" spans="1:3" ht="28.8" x14ac:dyDescent="0.55000000000000004">
      <c r="A17" s="20" t="s">
        <v>188</v>
      </c>
      <c r="B17" s="8">
        <v>9</v>
      </c>
      <c r="C17" s="8">
        <v>15</v>
      </c>
    </row>
    <row r="18" spans="1:3" ht="43.2" x14ac:dyDescent="0.55000000000000004">
      <c r="A18" s="20" t="s">
        <v>189</v>
      </c>
      <c r="B18" s="1">
        <v>0.11</v>
      </c>
    </row>
    <row r="19" spans="1:3" x14ac:dyDescent="0.55000000000000004">
      <c r="A19" t="s">
        <v>190</v>
      </c>
      <c r="B19" s="8">
        <v>59</v>
      </c>
      <c r="C19" s="8">
        <v>102</v>
      </c>
    </row>
    <row r="20" spans="1:3" x14ac:dyDescent="0.55000000000000004">
      <c r="A20" t="s">
        <v>191</v>
      </c>
      <c r="B20" s="1">
        <v>0.12</v>
      </c>
      <c r="C20" s="1">
        <v>0.08</v>
      </c>
    </row>
    <row r="23" spans="1:3" x14ac:dyDescent="0.55000000000000004">
      <c r="A23" s="6" t="s">
        <v>193</v>
      </c>
    </row>
    <row r="25" spans="1:3" x14ac:dyDescent="0.55000000000000004">
      <c r="A25" s="75" t="s">
        <v>194</v>
      </c>
      <c r="B25" s="75"/>
    </row>
    <row r="26" spans="1:3" x14ac:dyDescent="0.55000000000000004">
      <c r="A26" t="s">
        <v>195</v>
      </c>
      <c r="B26" s="7">
        <f>(B17/B16)+B18</f>
        <v>0.25285714285714284</v>
      </c>
    </row>
    <row r="28" spans="1:3" x14ac:dyDescent="0.55000000000000004">
      <c r="A28" s="75" t="s">
        <v>196</v>
      </c>
      <c r="B28" s="75"/>
    </row>
    <row r="29" spans="1:3" x14ac:dyDescent="0.55000000000000004">
      <c r="A29" t="s">
        <v>197</v>
      </c>
      <c r="B29" s="7">
        <f>(B17/(B16*(1-B20)))+B18</f>
        <v>0.27233766233766232</v>
      </c>
    </row>
    <row r="31" spans="1:3" x14ac:dyDescent="0.55000000000000004">
      <c r="A31" s="75" t="s">
        <v>198</v>
      </c>
      <c r="B31" s="75"/>
    </row>
    <row r="32" spans="1:3" x14ac:dyDescent="0.55000000000000004">
      <c r="A32" t="s">
        <v>199</v>
      </c>
      <c r="B32" s="15">
        <f>(C17/(C19*(1-C20)))</f>
        <v>0.15984654731457801</v>
      </c>
    </row>
    <row r="34" spans="1:2" x14ac:dyDescent="0.55000000000000004">
      <c r="A34" s="12" t="s">
        <v>200</v>
      </c>
    </row>
    <row r="35" spans="1:2" x14ac:dyDescent="0.55000000000000004">
      <c r="A35" t="s">
        <v>201</v>
      </c>
      <c r="B35" s="15">
        <f>((B7/B10)*B26)+((B8/B10)*B29)+((B9/B10)*B32)</f>
        <v>0.24878108865130513</v>
      </c>
    </row>
  </sheetData>
  <mergeCells count="3">
    <mergeCell ref="A25:B25"/>
    <mergeCell ref="A28:B28"/>
    <mergeCell ref="A31:B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4" workbookViewId="0">
      <selection activeCell="E48" sqref="E48"/>
    </sheetView>
  </sheetViews>
  <sheetFormatPr defaultRowHeight="14.4" x14ac:dyDescent="0.55000000000000004"/>
  <cols>
    <col min="1" max="1" width="15.89453125" customWidth="1"/>
    <col min="2" max="2" width="19.3125" bestFit="1" customWidth="1"/>
    <col min="3" max="4" width="13.3125" bestFit="1" customWidth="1"/>
    <col min="5" max="5" width="13.15625" bestFit="1" customWidth="1"/>
    <col min="6" max="6" width="11.20703125" bestFit="1" customWidth="1"/>
    <col min="7" max="7" width="11.734375" customWidth="1"/>
    <col min="9" max="9" width="10.20703125" bestFit="1" customWidth="1"/>
    <col min="12" max="12" width="10.20703125" bestFit="1" customWidth="1"/>
  </cols>
  <sheetData>
    <row r="1" spans="1:4" x14ac:dyDescent="0.55000000000000004">
      <c r="A1" t="s">
        <v>203</v>
      </c>
    </row>
    <row r="2" spans="1:4" x14ac:dyDescent="0.55000000000000004">
      <c r="A2" t="s">
        <v>204</v>
      </c>
    </row>
    <row r="3" spans="1:4" x14ac:dyDescent="0.55000000000000004">
      <c r="A3" t="s">
        <v>205</v>
      </c>
    </row>
    <row r="5" spans="1:4" x14ac:dyDescent="0.55000000000000004">
      <c r="A5" s="5" t="s">
        <v>206</v>
      </c>
      <c r="B5" s="5" t="s">
        <v>207</v>
      </c>
      <c r="C5" s="5" t="s">
        <v>208</v>
      </c>
      <c r="D5" s="5" t="s">
        <v>209</v>
      </c>
    </row>
    <row r="6" spans="1:4" x14ac:dyDescent="0.55000000000000004">
      <c r="A6" t="s">
        <v>210</v>
      </c>
      <c r="B6" s="1">
        <v>0.8</v>
      </c>
      <c r="C6" s="8">
        <v>2300000</v>
      </c>
      <c r="D6" s="1">
        <v>1.25</v>
      </c>
    </row>
    <row r="7" spans="1:4" x14ac:dyDescent="0.55000000000000004">
      <c r="A7" t="s">
        <v>211</v>
      </c>
      <c r="B7" s="1">
        <v>0.9</v>
      </c>
      <c r="C7" s="8">
        <v>6500000</v>
      </c>
      <c r="D7" s="1">
        <v>1.1000000000000001</v>
      </c>
    </row>
    <row r="8" spans="1:4" x14ac:dyDescent="0.55000000000000004">
      <c r="A8" t="s">
        <v>212</v>
      </c>
      <c r="B8" s="1">
        <v>0.9</v>
      </c>
      <c r="C8" s="8">
        <v>3500000</v>
      </c>
      <c r="D8" s="1">
        <v>1.1000000000000001</v>
      </c>
    </row>
    <row r="9" spans="1:4" x14ac:dyDescent="0.55000000000000004">
      <c r="A9" t="s">
        <v>213</v>
      </c>
      <c r="B9" s="1">
        <v>0.85</v>
      </c>
      <c r="C9" s="8">
        <v>700000</v>
      </c>
      <c r="D9" s="1">
        <v>1.1499999999999999</v>
      </c>
    </row>
    <row r="10" spans="1:4" ht="14.7" thickBot="1" x14ac:dyDescent="0.6">
      <c r="A10" s="49" t="s">
        <v>217</v>
      </c>
      <c r="B10" s="51"/>
      <c r="C10" s="50">
        <f>SUM(C6:C9)</f>
        <v>13000000</v>
      </c>
      <c r="D10" s="51"/>
    </row>
    <row r="11" spans="1:4" ht="14.7" thickTop="1" x14ac:dyDescent="0.55000000000000004"/>
    <row r="12" spans="1:4" x14ac:dyDescent="0.55000000000000004">
      <c r="A12" t="s">
        <v>214</v>
      </c>
    </row>
    <row r="13" spans="1:4" x14ac:dyDescent="0.55000000000000004">
      <c r="A13" t="s">
        <v>215</v>
      </c>
    </row>
    <row r="15" spans="1:4" x14ac:dyDescent="0.55000000000000004">
      <c r="A15" s="6" t="s">
        <v>216</v>
      </c>
    </row>
    <row r="16" spans="1:4" x14ac:dyDescent="0.55000000000000004">
      <c r="A16" s="6" t="s">
        <v>256</v>
      </c>
    </row>
    <row r="17" spans="1:5" x14ac:dyDescent="0.55000000000000004">
      <c r="A17" s="6" t="s">
        <v>257</v>
      </c>
    </row>
    <row r="19" spans="1:5" x14ac:dyDescent="0.55000000000000004">
      <c r="A19" t="s">
        <v>84</v>
      </c>
      <c r="B19" s="8">
        <v>11000000</v>
      </c>
    </row>
    <row r="20" spans="1:5" x14ac:dyDescent="0.55000000000000004">
      <c r="A20" t="s">
        <v>137</v>
      </c>
      <c r="B20" s="1">
        <v>0.21</v>
      </c>
    </row>
    <row r="21" spans="1:5" x14ac:dyDescent="0.55000000000000004">
      <c r="A21" t="s">
        <v>24</v>
      </c>
      <c r="B21">
        <v>7</v>
      </c>
    </row>
    <row r="23" spans="1:5" x14ac:dyDescent="0.55000000000000004">
      <c r="A23" t="s">
        <v>25</v>
      </c>
      <c r="B23" s="8">
        <f>-C6-C7-PV(B20,B21,C8-C9)</f>
        <v>1022249.9425856005</v>
      </c>
    </row>
    <row r="25" spans="1:5" x14ac:dyDescent="0.55000000000000004">
      <c r="A25" s="5" t="s">
        <v>218</v>
      </c>
      <c r="B25" s="5" t="s">
        <v>210</v>
      </c>
      <c r="C25" s="5" t="s">
        <v>211</v>
      </c>
      <c r="D25" s="5" t="s">
        <v>219</v>
      </c>
      <c r="E25" s="5" t="s">
        <v>220</v>
      </c>
    </row>
    <row r="26" spans="1:5" x14ac:dyDescent="0.55000000000000004">
      <c r="A26" s="1">
        <v>0.8</v>
      </c>
      <c r="B26" s="8">
        <f t="shared" ref="B26:B28" si="0">$B$30*A26</f>
        <v>1840000</v>
      </c>
    </row>
    <row r="27" spans="1:5" x14ac:dyDescent="0.55000000000000004">
      <c r="A27" s="1">
        <v>0.85</v>
      </c>
      <c r="B27" s="8">
        <f t="shared" si="0"/>
        <v>1955000</v>
      </c>
      <c r="E27" s="8">
        <f t="shared" ref="E27:E28" si="1">$E$30*A27</f>
        <v>595000</v>
      </c>
    </row>
    <row r="28" spans="1:5" x14ac:dyDescent="0.55000000000000004">
      <c r="A28" s="1">
        <v>0.9</v>
      </c>
      <c r="B28" s="8">
        <f t="shared" si="0"/>
        <v>2070000</v>
      </c>
      <c r="C28" s="8">
        <f>$C$30*A28</f>
        <v>5850000</v>
      </c>
      <c r="D28" s="8">
        <f>$D$30*A28</f>
        <v>3150000</v>
      </c>
      <c r="E28" s="8">
        <f t="shared" si="1"/>
        <v>630000</v>
      </c>
    </row>
    <row r="29" spans="1:5" x14ac:dyDescent="0.55000000000000004">
      <c r="A29" s="1">
        <v>0.95</v>
      </c>
      <c r="B29" s="8">
        <f>$B$30*A29</f>
        <v>2185000</v>
      </c>
      <c r="C29" s="8">
        <f>$C$30*A29</f>
        <v>6175000</v>
      </c>
      <c r="D29" s="8">
        <f>$D$30*A29</f>
        <v>3325000</v>
      </c>
      <c r="E29" s="8">
        <f>$E$30*A29</f>
        <v>665000</v>
      </c>
    </row>
    <row r="30" spans="1:5" x14ac:dyDescent="0.55000000000000004">
      <c r="A30" s="1">
        <v>1</v>
      </c>
      <c r="B30" s="8">
        <f>C6</f>
        <v>2300000</v>
      </c>
      <c r="C30" s="8">
        <f>C7</f>
        <v>6500000</v>
      </c>
      <c r="D30" s="8">
        <f>C8</f>
        <v>3500000</v>
      </c>
      <c r="E30" s="8">
        <f>C9</f>
        <v>700000</v>
      </c>
    </row>
    <row r="31" spans="1:5" x14ac:dyDescent="0.55000000000000004">
      <c r="A31" s="1">
        <v>1.05</v>
      </c>
      <c r="B31" s="8">
        <f t="shared" ref="B31:B35" si="2">$B$30*A31</f>
        <v>2415000</v>
      </c>
      <c r="C31" s="8">
        <f t="shared" ref="C31:C32" si="3">$C$30*A31</f>
        <v>6825000</v>
      </c>
      <c r="D31" s="8">
        <f t="shared" ref="D31:D32" si="4">$D$30*A31</f>
        <v>3675000</v>
      </c>
      <c r="E31" s="8">
        <f t="shared" ref="E31:E33" si="5">$E$30*A31</f>
        <v>735000</v>
      </c>
    </row>
    <row r="32" spans="1:5" x14ac:dyDescent="0.55000000000000004">
      <c r="A32" s="1">
        <v>1.1000000000000001</v>
      </c>
      <c r="B32" s="8">
        <f t="shared" si="2"/>
        <v>2530000</v>
      </c>
      <c r="C32" s="8">
        <f t="shared" si="3"/>
        <v>7150000.0000000009</v>
      </c>
      <c r="D32" s="8">
        <f t="shared" si="4"/>
        <v>3850000.0000000005</v>
      </c>
      <c r="E32" s="8">
        <f t="shared" si="5"/>
        <v>770000.00000000012</v>
      </c>
    </row>
    <row r="33" spans="1:14" x14ac:dyDescent="0.55000000000000004">
      <c r="A33" s="1">
        <v>1.1499999999999999</v>
      </c>
      <c r="B33" s="8">
        <f t="shared" si="2"/>
        <v>2645000</v>
      </c>
      <c r="E33" s="8">
        <f t="shared" si="5"/>
        <v>804999.99999999988</v>
      </c>
    </row>
    <row r="34" spans="1:14" x14ac:dyDescent="0.55000000000000004">
      <c r="A34" s="1">
        <v>1.2</v>
      </c>
      <c r="B34" s="8">
        <f t="shared" si="2"/>
        <v>2760000</v>
      </c>
    </row>
    <row r="35" spans="1:14" x14ac:dyDescent="0.55000000000000004">
      <c r="A35" s="1">
        <v>1.25</v>
      </c>
      <c r="B35" s="8">
        <f t="shared" si="2"/>
        <v>2875000</v>
      </c>
    </row>
    <row r="38" spans="1:14" x14ac:dyDescent="0.55000000000000004">
      <c r="A38" s="60"/>
      <c r="B38" s="60"/>
      <c r="C38" s="76" t="s">
        <v>210</v>
      </c>
      <c r="D38" s="76"/>
      <c r="E38" s="76"/>
      <c r="F38" s="76" t="s">
        <v>211</v>
      </c>
      <c r="G38" s="76"/>
      <c r="H38" s="76"/>
      <c r="I38" s="76" t="s">
        <v>219</v>
      </c>
      <c r="J38" s="76"/>
      <c r="K38" s="76"/>
      <c r="L38" s="76" t="s">
        <v>220</v>
      </c>
      <c r="M38" s="76"/>
      <c r="N38" s="76"/>
    </row>
    <row r="39" spans="1:14" ht="29.7" customHeight="1" x14ac:dyDescent="0.55000000000000004">
      <c r="A39" s="60" t="s">
        <v>258</v>
      </c>
      <c r="B39" s="20" t="s">
        <v>259</v>
      </c>
      <c r="C39" t="s">
        <v>260</v>
      </c>
      <c r="D39" s="20" t="s">
        <v>261</v>
      </c>
      <c r="E39" s="20" t="s">
        <v>262</v>
      </c>
      <c r="F39" t="s">
        <v>260</v>
      </c>
      <c r="G39" s="20" t="s">
        <v>261</v>
      </c>
      <c r="H39" s="20" t="s">
        <v>262</v>
      </c>
      <c r="I39" t="s">
        <v>260</v>
      </c>
      <c r="J39" s="20" t="s">
        <v>261</v>
      </c>
      <c r="K39" s="20" t="s">
        <v>262</v>
      </c>
      <c r="L39" t="s">
        <v>260</v>
      </c>
      <c r="M39" s="20" t="s">
        <v>261</v>
      </c>
      <c r="N39" s="20" t="s">
        <v>262</v>
      </c>
    </row>
    <row r="40" spans="1:14" x14ac:dyDescent="0.55000000000000004">
      <c r="A40" s="61">
        <v>0.8</v>
      </c>
      <c r="B40" s="1">
        <f t="shared" ref="B40:B48" si="6">A40-$A$44</f>
        <v>-0.19999999999999996</v>
      </c>
      <c r="C40" s="8">
        <f t="shared" ref="C40:C43" si="7">-B26-$C$7-PV($B$20,$B$21,$C$8-$C$9)</f>
        <v>1482249.9425856005</v>
      </c>
      <c r="D40" s="15">
        <f t="shared" ref="D40:D43" si="8">(C40-$C$44)/$C$44</f>
        <v>0.44998779734485611</v>
      </c>
      <c r="E40" s="62">
        <f>ABS(D40/B40)</f>
        <v>2.2499389867242812</v>
      </c>
    </row>
    <row r="41" spans="1:14" x14ac:dyDescent="0.55000000000000004">
      <c r="A41" s="1">
        <v>0.85</v>
      </c>
      <c r="B41" s="1">
        <f t="shared" si="6"/>
        <v>-0.15000000000000002</v>
      </c>
      <c r="C41" s="8">
        <f t="shared" si="7"/>
        <v>1367249.9425856005</v>
      </c>
      <c r="D41" s="15">
        <f t="shared" si="8"/>
        <v>0.3374908480086421</v>
      </c>
      <c r="E41" s="62">
        <f t="shared" ref="E41:E49" si="9">ABS(D41/B41)</f>
        <v>2.2499389867242803</v>
      </c>
      <c r="L41" s="8">
        <f t="shared" ref="L41:L43" si="10">-$C$6-$C$7-PV($B$20,$B$21,$C$8-E27)</f>
        <v>1390584.3154325597</v>
      </c>
      <c r="M41" s="15">
        <f t="shared" ref="M41:M43" si="11">(L41-$L$44)/$L$44</f>
        <v>0.36031733287783069</v>
      </c>
      <c r="N41" s="63">
        <f>ABS(M41/B41)</f>
        <v>2.4021155525188709</v>
      </c>
    </row>
    <row r="42" spans="1:14" x14ac:dyDescent="0.55000000000000004">
      <c r="A42" s="61">
        <v>0.9</v>
      </c>
      <c r="B42" s="1">
        <f t="shared" si="6"/>
        <v>-9.9999999999999978E-2</v>
      </c>
      <c r="C42" s="8">
        <f t="shared" si="7"/>
        <v>1252249.9425856005</v>
      </c>
      <c r="D42" s="15">
        <f t="shared" si="8"/>
        <v>0.22499389867242806</v>
      </c>
      <c r="E42" s="62">
        <f t="shared" si="9"/>
        <v>2.2499389867242812</v>
      </c>
      <c r="F42" s="8">
        <f t="shared" ref="F42:F43" si="12">-C28-$C$6-PV($B$20,$B$21,$C$8-$C$9)</f>
        <v>1672249.9425856005</v>
      </c>
      <c r="G42" s="15">
        <f t="shared" ref="G42:G43" si="13">(F42-$F$44)/$F$44</f>
        <v>0.63585232233512279</v>
      </c>
      <c r="H42" s="63">
        <f>ABS(G42/B42)</f>
        <v>6.358523223351229</v>
      </c>
      <c r="I42" s="8">
        <f t="shared" ref="I42:I43" si="14">-$C$6-$C$7-PV($B$20,$B$21,D28-$C$9)</f>
        <v>-205531.30023759976</v>
      </c>
      <c r="J42" s="15">
        <f t="shared" ref="J42:J43" si="15">(I42-$I$44)/$I$44</f>
        <v>-1.2010577762594388</v>
      </c>
      <c r="K42" s="63">
        <f>ABS(J42/B42)</f>
        <v>12.010577762594391</v>
      </c>
      <c r="L42" s="8">
        <f t="shared" si="10"/>
        <v>1267806.1911502406</v>
      </c>
      <c r="M42" s="15">
        <f t="shared" si="11"/>
        <v>0.24021155525188775</v>
      </c>
      <c r="N42" s="63">
        <f>ABS(M42/B42)</f>
        <v>2.402115552518878</v>
      </c>
    </row>
    <row r="43" spans="1:14" x14ac:dyDescent="0.55000000000000004">
      <c r="A43" s="1">
        <v>0.95</v>
      </c>
      <c r="B43" s="1">
        <f t="shared" si="6"/>
        <v>-5.0000000000000044E-2</v>
      </c>
      <c r="C43" s="8">
        <f t="shared" si="7"/>
        <v>1137249.9425856005</v>
      </c>
      <c r="D43" s="15">
        <f t="shared" si="8"/>
        <v>0.11249694933621403</v>
      </c>
      <c r="E43" s="62">
        <f t="shared" si="9"/>
        <v>2.2499389867242785</v>
      </c>
      <c r="F43" s="8">
        <f t="shared" si="12"/>
        <v>1347249.9425856005</v>
      </c>
      <c r="G43" s="15">
        <f t="shared" si="13"/>
        <v>0.31792616116756139</v>
      </c>
      <c r="H43" s="63">
        <f t="shared" ref="H43:H46" si="16">ABS(G43/B43)</f>
        <v>6.3585232233512219</v>
      </c>
      <c r="I43" s="8">
        <f t="shared" si="14"/>
        <v>408359.32117400132</v>
      </c>
      <c r="J43" s="15">
        <f t="shared" si="15"/>
        <v>-0.6005288881297185</v>
      </c>
      <c r="K43" s="63">
        <f t="shared" ref="K43:K46" si="17">ABS(J43/B43)</f>
        <v>12.010577762594359</v>
      </c>
      <c r="L43" s="8">
        <f t="shared" si="10"/>
        <v>1145028.0668679215</v>
      </c>
      <c r="M43" s="15">
        <f t="shared" si="11"/>
        <v>0.12010577762594478</v>
      </c>
      <c r="N43" s="63">
        <f>ABS(M43/B43)</f>
        <v>2.4021155525188935</v>
      </c>
    </row>
    <row r="44" spans="1:14" x14ac:dyDescent="0.55000000000000004">
      <c r="A44" s="61">
        <v>1</v>
      </c>
      <c r="B44" s="1">
        <f>A44-$A$44</f>
        <v>0</v>
      </c>
      <c r="C44" s="8">
        <f>-B30-$C$7-PV($B$20,$B$21,$C$8-$C$9)</f>
        <v>1022249.9425856005</v>
      </c>
      <c r="D44" s="15">
        <f>(C44-$C$44)/$C$44</f>
        <v>0</v>
      </c>
      <c r="E44" s="62" t="s">
        <v>263</v>
      </c>
      <c r="F44" s="8">
        <f>-C30-$C$6-PV($B$20,$B$21,$C$8-$C$9)</f>
        <v>1022249.9425856005</v>
      </c>
      <c r="G44" s="15">
        <f>(F44-$F$44)/$F$44</f>
        <v>0</v>
      </c>
      <c r="H44" s="63" t="s">
        <v>263</v>
      </c>
      <c r="I44" s="8">
        <f>-$C$6-$C$7-PV($B$20,$B$21,D30-$C$9)</f>
        <v>1022249.9425856005</v>
      </c>
      <c r="J44" s="15">
        <f>(I44-$I$44)/$I$44</f>
        <v>0</v>
      </c>
      <c r="K44" s="63" t="s">
        <v>263</v>
      </c>
      <c r="L44" s="8">
        <f>-$C$6-$C$7-PV($B$20,$B$21,$C$8-E30)</f>
        <v>1022249.9425856005</v>
      </c>
      <c r="M44" s="15">
        <f>(L44-$L$44)/$L$44</f>
        <v>0</v>
      </c>
      <c r="N44" s="63" t="s">
        <v>263</v>
      </c>
    </row>
    <row r="45" spans="1:14" x14ac:dyDescent="0.55000000000000004">
      <c r="A45" s="1">
        <v>1.05</v>
      </c>
      <c r="B45" s="1">
        <f t="shared" si="6"/>
        <v>5.0000000000000044E-2</v>
      </c>
      <c r="C45" s="8">
        <f t="shared" ref="C45:C49" si="18">-B31-$C$7-PV($B$20,$B$21,$C$8-$C$9)</f>
        <v>907249.94258560054</v>
      </c>
      <c r="D45" s="15">
        <f t="shared" ref="D45:D49" si="19">(C45-$C$44)/$C$44</f>
        <v>-0.11249694933621403</v>
      </c>
      <c r="E45" s="62">
        <f t="shared" si="9"/>
        <v>2.2499389867242785</v>
      </c>
      <c r="F45" s="8">
        <f t="shared" ref="F45:F46" si="20">-C31-$C$6-PV($B$20,$B$21,$C$8-$C$9)</f>
        <v>697249.94258560054</v>
      </c>
      <c r="G45" s="15">
        <f t="shared" ref="G45:G46" si="21">(F45-$F$44)/$F$44</f>
        <v>-0.31792616116756139</v>
      </c>
      <c r="H45" s="63">
        <f t="shared" si="16"/>
        <v>6.3585232233512219</v>
      </c>
      <c r="I45" s="8">
        <f t="shared" ref="I45:I46" si="22">-$C$6-$C$7-PV($B$20,$B$21,D31-$C$9)</f>
        <v>1636140.5639971998</v>
      </c>
      <c r="J45" s="15">
        <f t="shared" ref="J45:J46" si="23">(I45-$I$44)/$I$44</f>
        <v>0.6005288881297185</v>
      </c>
      <c r="K45" s="63">
        <f t="shared" si="17"/>
        <v>12.010577762594359</v>
      </c>
      <c r="L45" s="8">
        <f t="shared" ref="L45:L47" si="24">-$C$6-$C$7-PV($B$20,$B$21,$C$8-E31)</f>
        <v>899471.81830327958</v>
      </c>
      <c r="M45" s="15">
        <f t="shared" ref="M45:M47" si="25">(L45-$L$44)/$L$44</f>
        <v>-0.12010577762594478</v>
      </c>
      <c r="N45" s="63">
        <f t="shared" ref="N45:N47" si="26">ABS(M45/B45)</f>
        <v>2.4021155525188935</v>
      </c>
    </row>
    <row r="46" spans="1:14" x14ac:dyDescent="0.55000000000000004">
      <c r="A46" s="61">
        <v>1.1000000000000001</v>
      </c>
      <c r="B46" s="1">
        <f t="shared" si="6"/>
        <v>0.10000000000000009</v>
      </c>
      <c r="C46" s="8">
        <f t="shared" si="18"/>
        <v>792249.94258560054</v>
      </c>
      <c r="D46" s="15">
        <f t="shared" si="19"/>
        <v>-0.22499389867242806</v>
      </c>
      <c r="E46" s="62">
        <f t="shared" si="9"/>
        <v>2.2499389867242785</v>
      </c>
      <c r="F46" s="8">
        <f t="shared" si="20"/>
        <v>372249.94258560054</v>
      </c>
      <c r="G46" s="15">
        <f t="shared" si="21"/>
        <v>-0.63585232233512279</v>
      </c>
      <c r="H46" s="63">
        <f t="shared" si="16"/>
        <v>6.3585232233512219</v>
      </c>
      <c r="I46" s="8">
        <f t="shared" si="22"/>
        <v>2250031.1854088008</v>
      </c>
      <c r="J46" s="15">
        <f t="shared" si="23"/>
        <v>1.2010577762594388</v>
      </c>
      <c r="K46" s="63">
        <f t="shared" si="17"/>
        <v>12.010577762594377</v>
      </c>
      <c r="L46" s="8">
        <f t="shared" si="24"/>
        <v>776693.69402096048</v>
      </c>
      <c r="M46" s="15">
        <f t="shared" si="25"/>
        <v>-0.24021155525188775</v>
      </c>
      <c r="N46" s="63">
        <f t="shared" si="26"/>
        <v>2.4021155525188753</v>
      </c>
    </row>
    <row r="47" spans="1:14" x14ac:dyDescent="0.55000000000000004">
      <c r="A47" s="1">
        <v>1.1499999999999999</v>
      </c>
      <c r="B47" s="1">
        <f t="shared" si="6"/>
        <v>0.14999999999999991</v>
      </c>
      <c r="C47" s="8">
        <f t="shared" si="18"/>
        <v>677249.94258560054</v>
      </c>
      <c r="D47" s="15">
        <f t="shared" si="19"/>
        <v>-0.3374908480086421</v>
      </c>
      <c r="E47" s="62">
        <f t="shared" si="9"/>
        <v>2.2499389867242821</v>
      </c>
      <c r="L47" s="8">
        <f t="shared" si="24"/>
        <v>653915.56973863952</v>
      </c>
      <c r="M47" s="15">
        <f t="shared" si="25"/>
        <v>-0.36031733287783252</v>
      </c>
      <c r="N47" s="63">
        <f t="shared" si="26"/>
        <v>2.4021155525188851</v>
      </c>
    </row>
    <row r="48" spans="1:14" x14ac:dyDescent="0.55000000000000004">
      <c r="A48" s="61">
        <v>1.2</v>
      </c>
      <c r="B48" s="1">
        <f t="shared" si="6"/>
        <v>0.19999999999999996</v>
      </c>
      <c r="C48" s="8">
        <f t="shared" si="18"/>
        <v>562249.94258560054</v>
      </c>
      <c r="D48" s="15">
        <f t="shared" si="19"/>
        <v>-0.44998779734485611</v>
      </c>
      <c r="E48" s="62">
        <f t="shared" si="9"/>
        <v>2.2499389867242812</v>
      </c>
    </row>
    <row r="49" spans="1:5" x14ac:dyDescent="0.55000000000000004">
      <c r="A49" s="1">
        <v>1.25</v>
      </c>
      <c r="B49" s="1">
        <f>A49-$A$44</f>
        <v>0.25</v>
      </c>
      <c r="C49" s="8">
        <f t="shared" si="18"/>
        <v>447249.94258560054</v>
      </c>
      <c r="D49" s="15">
        <f t="shared" si="19"/>
        <v>-0.56248474668107018</v>
      </c>
      <c r="E49" s="62">
        <f t="shared" si="9"/>
        <v>2.2499389867242807</v>
      </c>
    </row>
    <row r="52" spans="1:5" x14ac:dyDescent="0.55000000000000004">
      <c r="A52" s="24" t="s">
        <v>264</v>
      </c>
    </row>
    <row r="53" spans="1:5" x14ac:dyDescent="0.55000000000000004">
      <c r="A53" s="64" t="s">
        <v>258</v>
      </c>
      <c r="B53" s="5" t="s">
        <v>210</v>
      </c>
      <c r="C53" s="5" t="s">
        <v>211</v>
      </c>
      <c r="D53" s="5" t="s">
        <v>219</v>
      </c>
      <c r="E53" s="5" t="s">
        <v>220</v>
      </c>
    </row>
    <row r="54" spans="1:5" x14ac:dyDescent="0.55000000000000004">
      <c r="A54" s="61">
        <v>0.8</v>
      </c>
      <c r="B54" s="16">
        <v>1482249.9425856005</v>
      </c>
      <c r="C54" s="16"/>
      <c r="D54" s="16"/>
    </row>
    <row r="55" spans="1:5" x14ac:dyDescent="0.55000000000000004">
      <c r="A55" s="1">
        <v>0.85</v>
      </c>
      <c r="B55" s="16">
        <v>1367249.9425856005</v>
      </c>
      <c r="C55" s="16"/>
      <c r="D55" s="16"/>
      <c r="E55" s="8">
        <v>1390584.3154325597</v>
      </c>
    </row>
    <row r="56" spans="1:5" x14ac:dyDescent="0.55000000000000004">
      <c r="A56" s="61">
        <v>0.9</v>
      </c>
      <c r="B56" s="16">
        <v>1252249.9425856005</v>
      </c>
      <c r="C56" s="16">
        <v>1672249.9425856005</v>
      </c>
      <c r="D56" s="16">
        <v>-205531.30023759976</v>
      </c>
      <c r="E56" s="8">
        <v>1267806.1911502406</v>
      </c>
    </row>
    <row r="57" spans="1:5" x14ac:dyDescent="0.55000000000000004">
      <c r="A57" s="1">
        <v>0.95</v>
      </c>
      <c r="B57" s="16">
        <v>1137249.9425856005</v>
      </c>
      <c r="C57" s="16">
        <v>1347249.9425856005</v>
      </c>
      <c r="D57" s="16">
        <v>408359.32117400132</v>
      </c>
      <c r="E57" s="8">
        <v>1145028.0668679215</v>
      </c>
    </row>
    <row r="58" spans="1:5" x14ac:dyDescent="0.55000000000000004">
      <c r="A58" s="61">
        <v>1</v>
      </c>
      <c r="B58" s="16">
        <v>1022249.9425856005</v>
      </c>
      <c r="C58" s="16">
        <v>1022249.9425856005</v>
      </c>
      <c r="D58" s="16">
        <v>1022249.9425856005</v>
      </c>
      <c r="E58" s="8">
        <v>1022249.9425856005</v>
      </c>
    </row>
    <row r="59" spans="1:5" x14ac:dyDescent="0.55000000000000004">
      <c r="A59" s="1">
        <v>1.05</v>
      </c>
      <c r="B59" s="16">
        <v>907249.94258560054</v>
      </c>
      <c r="C59" s="16">
        <v>697249.94258560054</v>
      </c>
      <c r="D59" s="16">
        <v>1636140.5639971998</v>
      </c>
      <c r="E59" s="8">
        <v>899471.81830327958</v>
      </c>
    </row>
    <row r="60" spans="1:5" x14ac:dyDescent="0.55000000000000004">
      <c r="A60" s="61">
        <v>1.1000000000000001</v>
      </c>
      <c r="B60" s="16">
        <v>792249.94258560054</v>
      </c>
      <c r="C60" s="16">
        <v>372249.94258560054</v>
      </c>
      <c r="D60" s="16">
        <v>2250031.1854088008</v>
      </c>
      <c r="E60" s="8">
        <v>776693.69402096048</v>
      </c>
    </row>
    <row r="61" spans="1:5" x14ac:dyDescent="0.55000000000000004">
      <c r="A61" s="1">
        <v>1.1499999999999999</v>
      </c>
      <c r="B61" s="16">
        <v>677249.94258560054</v>
      </c>
      <c r="C61" s="16"/>
      <c r="D61" s="16"/>
      <c r="E61" s="8">
        <v>653915.56973863952</v>
      </c>
    </row>
    <row r="62" spans="1:5" x14ac:dyDescent="0.55000000000000004">
      <c r="A62" s="61">
        <v>1.2</v>
      </c>
      <c r="B62" s="16">
        <v>562249.94258560054</v>
      </c>
      <c r="C62" s="16"/>
      <c r="D62" s="16"/>
    </row>
    <row r="63" spans="1:5" x14ac:dyDescent="0.55000000000000004">
      <c r="A63" s="1">
        <v>1.25</v>
      </c>
      <c r="B63" s="16">
        <v>447249.94258560054</v>
      </c>
      <c r="C63" s="16"/>
      <c r="D63" s="16"/>
    </row>
    <row r="65" spans="1:3" ht="14.7" thickBot="1" x14ac:dyDescent="0.6"/>
    <row r="66" spans="1:3" ht="15" thickTop="1" thickBot="1" x14ac:dyDescent="0.6">
      <c r="A66" s="29" t="s">
        <v>265</v>
      </c>
      <c r="B66" s="29"/>
      <c r="C66" s="29"/>
    </row>
    <row r="67" spans="1:3" ht="14.7" thickTop="1" x14ac:dyDescent="0.55000000000000004"/>
  </sheetData>
  <mergeCells count="4">
    <mergeCell ref="L38:N38"/>
    <mergeCell ref="C38:E38"/>
    <mergeCell ref="F38:H38"/>
    <mergeCell ref="I38:K3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23" sqref="A23:H24"/>
    </sheetView>
  </sheetViews>
  <sheetFormatPr defaultRowHeight="14.4" x14ac:dyDescent="0.55000000000000004"/>
  <sheetData>
    <row r="1" spans="1:2" x14ac:dyDescent="0.55000000000000004">
      <c r="A1" s="6" t="s">
        <v>221</v>
      </c>
    </row>
    <row r="2" spans="1:2" x14ac:dyDescent="0.55000000000000004">
      <c r="A2" s="6" t="s">
        <v>222</v>
      </c>
    </row>
    <row r="3" spans="1:2" x14ac:dyDescent="0.55000000000000004">
      <c r="A3" s="6" t="s">
        <v>223</v>
      </c>
    </row>
    <row r="4" spans="1:2" x14ac:dyDescent="0.55000000000000004">
      <c r="A4" s="6" t="s">
        <v>224</v>
      </c>
    </row>
    <row r="5" spans="1:2" x14ac:dyDescent="0.55000000000000004">
      <c r="A5" s="6" t="s">
        <v>225</v>
      </c>
    </row>
    <row r="6" spans="1:2" x14ac:dyDescent="0.55000000000000004">
      <c r="A6" s="2" t="s">
        <v>226</v>
      </c>
    </row>
    <row r="9" spans="1:2" x14ac:dyDescent="0.55000000000000004">
      <c r="A9" s="6" t="s">
        <v>227</v>
      </c>
    </row>
    <row r="10" spans="1:2" x14ac:dyDescent="0.55000000000000004">
      <c r="A10" s="77" t="s">
        <v>228</v>
      </c>
      <c r="B10" s="77"/>
    </row>
    <row r="13" spans="1:2" x14ac:dyDescent="0.55000000000000004">
      <c r="A13" s="6" t="s">
        <v>230</v>
      </c>
    </row>
    <row r="14" spans="1:2" x14ac:dyDescent="0.55000000000000004">
      <c r="A14" s="6" t="s">
        <v>229</v>
      </c>
    </row>
    <row r="15" spans="1:2" x14ac:dyDescent="0.55000000000000004">
      <c r="A15" s="2" t="b">
        <v>0</v>
      </c>
    </row>
    <row r="18" spans="1:8" x14ac:dyDescent="0.55000000000000004">
      <c r="A18" s="6" t="s">
        <v>231</v>
      </c>
    </row>
    <row r="19" spans="1:8" x14ac:dyDescent="0.55000000000000004">
      <c r="A19" s="77" t="s">
        <v>232</v>
      </c>
      <c r="B19" s="77"/>
      <c r="C19" s="77"/>
      <c r="D19" s="77"/>
      <c r="E19" s="77"/>
      <c r="F19" s="77"/>
      <c r="G19" s="77"/>
      <c r="H19" s="77"/>
    </row>
    <row r="22" spans="1:8" x14ac:dyDescent="0.55000000000000004">
      <c r="A22" s="6" t="s">
        <v>233</v>
      </c>
    </row>
    <row r="23" spans="1:8" x14ac:dyDescent="0.55000000000000004">
      <c r="A23" s="77" t="s">
        <v>234</v>
      </c>
      <c r="B23" s="77"/>
      <c r="C23" s="77"/>
      <c r="D23" s="77"/>
      <c r="E23" s="77"/>
      <c r="F23" s="77"/>
      <c r="G23" s="77"/>
      <c r="H23" s="77"/>
    </row>
    <row r="24" spans="1:8" x14ac:dyDescent="0.55000000000000004">
      <c r="A24" s="77" t="s">
        <v>235</v>
      </c>
      <c r="B24" s="77"/>
      <c r="C24" s="77"/>
      <c r="D24" s="77"/>
      <c r="E24" s="77"/>
      <c r="F24" s="77"/>
      <c r="G24" s="77"/>
      <c r="H24" s="77"/>
    </row>
  </sheetData>
  <mergeCells count="4">
    <mergeCell ref="A10:B10"/>
    <mergeCell ref="A19:H19"/>
    <mergeCell ref="A23:H23"/>
    <mergeCell ref="A24:H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C21" sqref="C21"/>
    </sheetView>
  </sheetViews>
  <sheetFormatPr defaultRowHeight="14.4" x14ac:dyDescent="0.55000000000000004"/>
  <cols>
    <col min="1" max="1" width="16.3125" customWidth="1"/>
    <col min="2" max="2" width="11.7890625" bestFit="1" customWidth="1"/>
    <col min="5" max="5" width="9.15625" bestFit="1" customWidth="1"/>
  </cols>
  <sheetData>
    <row r="1" spans="1:7" x14ac:dyDescent="0.55000000000000004">
      <c r="A1" t="s">
        <v>236</v>
      </c>
    </row>
    <row r="2" spans="1:7" x14ac:dyDescent="0.55000000000000004">
      <c r="A2" t="s">
        <v>237</v>
      </c>
    </row>
    <row r="3" spans="1:7" x14ac:dyDescent="0.55000000000000004">
      <c r="A3" t="s">
        <v>238</v>
      </c>
    </row>
    <row r="4" spans="1:7" ht="14.7" thickBot="1" x14ac:dyDescent="0.6"/>
    <row r="5" spans="1:7" ht="14.7" thickBot="1" x14ac:dyDescent="0.6">
      <c r="A5" s="54"/>
      <c r="B5" s="82" t="s">
        <v>239</v>
      </c>
      <c r="C5" s="83"/>
      <c r="D5" s="84"/>
      <c r="E5" s="82" t="s">
        <v>240</v>
      </c>
      <c r="F5" s="83"/>
      <c r="G5" s="84"/>
    </row>
    <row r="6" spans="1:7" ht="14.7" thickBot="1" x14ac:dyDescent="0.6">
      <c r="A6" s="56" t="s">
        <v>241</v>
      </c>
      <c r="B6" s="85">
        <v>9000</v>
      </c>
      <c r="C6" s="86"/>
      <c r="D6" s="87"/>
      <c r="E6" s="85">
        <v>8000</v>
      </c>
      <c r="F6" s="86"/>
      <c r="G6" s="87"/>
    </row>
    <row r="7" spans="1:7" ht="14.7" thickBot="1" x14ac:dyDescent="0.6">
      <c r="A7" s="55"/>
      <c r="B7" s="57" t="s">
        <v>242</v>
      </c>
      <c r="C7" s="56" t="s">
        <v>48</v>
      </c>
      <c r="D7" s="58" t="s">
        <v>246</v>
      </c>
      <c r="E7" s="57" t="s">
        <v>242</v>
      </c>
      <c r="F7" s="56" t="s">
        <v>48</v>
      </c>
      <c r="G7" s="58" t="s">
        <v>246</v>
      </c>
    </row>
    <row r="8" spans="1:7" x14ac:dyDescent="0.55000000000000004">
      <c r="A8" s="79" t="s">
        <v>243</v>
      </c>
      <c r="B8" s="35">
        <v>0.2</v>
      </c>
      <c r="C8" s="43">
        <v>10000</v>
      </c>
      <c r="D8" s="52">
        <f>B8*C8</f>
        <v>2000</v>
      </c>
      <c r="E8" s="35">
        <v>0.25</v>
      </c>
      <c r="F8" s="43">
        <v>9000</v>
      </c>
      <c r="G8" s="52">
        <f>E8*F8</f>
        <v>2250</v>
      </c>
    </row>
    <row r="9" spans="1:7" x14ac:dyDescent="0.55000000000000004">
      <c r="A9" s="80"/>
      <c r="B9" s="35">
        <v>0.55000000000000004</v>
      </c>
      <c r="C9" s="43">
        <v>11000</v>
      </c>
      <c r="D9" s="52">
        <f>B9*C9</f>
        <v>6050.0000000000009</v>
      </c>
      <c r="E9" s="35">
        <v>0.45</v>
      </c>
      <c r="F9" s="43">
        <v>10500</v>
      </c>
      <c r="G9" s="52">
        <f>E9*F9</f>
        <v>4725</v>
      </c>
    </row>
    <row r="10" spans="1:7" ht="14.7" thickBot="1" x14ac:dyDescent="0.6">
      <c r="A10" s="81"/>
      <c r="B10" s="45">
        <v>0.25</v>
      </c>
      <c r="C10" s="46">
        <v>12000</v>
      </c>
      <c r="D10" s="53">
        <f>B10*C10</f>
        <v>3000</v>
      </c>
      <c r="E10" s="45">
        <v>0.3</v>
      </c>
      <c r="F10" s="46">
        <v>11000</v>
      </c>
      <c r="G10" s="53">
        <f>E10*F10</f>
        <v>3300</v>
      </c>
    </row>
    <row r="12" spans="1:7" x14ac:dyDescent="0.55000000000000004">
      <c r="A12" t="s">
        <v>244</v>
      </c>
    </row>
    <row r="15" spans="1:7" x14ac:dyDescent="0.55000000000000004">
      <c r="A15" s="6" t="s">
        <v>245</v>
      </c>
    </row>
    <row r="16" spans="1:7" x14ac:dyDescent="0.55000000000000004">
      <c r="A16" s="35" t="s">
        <v>247</v>
      </c>
      <c r="B16" s="36">
        <f>SUM(D8:D10)</f>
        <v>11050</v>
      </c>
    </row>
    <row r="17" spans="1:9" x14ac:dyDescent="0.55000000000000004">
      <c r="A17" s="26" t="s">
        <v>248</v>
      </c>
      <c r="B17" s="36">
        <f>SUM(G8:G10)</f>
        <v>10275</v>
      </c>
      <c r="D17" t="s">
        <v>253</v>
      </c>
    </row>
    <row r="20" spans="1:9" x14ac:dyDescent="0.55000000000000004">
      <c r="A20" s="6" t="s">
        <v>249</v>
      </c>
    </row>
    <row r="21" spans="1:9" x14ac:dyDescent="0.55000000000000004">
      <c r="A21" t="s">
        <v>250</v>
      </c>
      <c r="B21" s="59">
        <f>(((C8-B16)^2)*B8)+(((C9-B16)^2)*B9)+(((C10-B16)^2)*B10)</f>
        <v>447500</v>
      </c>
    </row>
    <row r="22" spans="1:9" x14ac:dyDescent="0.55000000000000004">
      <c r="A22" t="s">
        <v>251</v>
      </c>
      <c r="B22" s="16">
        <f>(((F8-B17)^2)*E8)+(((F9-B17)^2)*E9)+(((F10-B17)^2)*E10)</f>
        <v>586875</v>
      </c>
      <c r="D22" t="s">
        <v>254</v>
      </c>
    </row>
    <row r="25" spans="1:9" ht="14.7" thickBot="1" x14ac:dyDescent="0.6">
      <c r="A25" s="6" t="s">
        <v>252</v>
      </c>
    </row>
    <row r="26" spans="1:9" ht="15" thickTop="1" thickBot="1" x14ac:dyDescent="0.6">
      <c r="A26" s="78" t="s">
        <v>255</v>
      </c>
      <c r="B26" s="78"/>
      <c r="C26" s="78"/>
      <c r="D26" s="78"/>
      <c r="E26" s="78"/>
      <c r="F26" s="78"/>
      <c r="G26" s="78"/>
      <c r="H26" s="78"/>
      <c r="I26" s="78"/>
    </row>
    <row r="27" spans="1:9" ht="14.7" thickTop="1" x14ac:dyDescent="0.55000000000000004"/>
  </sheetData>
  <mergeCells count="6">
    <mergeCell ref="A26:I26"/>
    <mergeCell ref="A8:A10"/>
    <mergeCell ref="B5:D5"/>
    <mergeCell ref="B6:D6"/>
    <mergeCell ref="E5:G5"/>
    <mergeCell ref="E6:G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2018-05-07T00:15:37Z</dcterms:created>
  <dcterms:modified xsi:type="dcterms:W3CDTF">2018-05-10T18:12:54Z</dcterms:modified>
</cp:coreProperties>
</file>