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D:\Personal Documents\Rushabh's Documents\Stevens\Engineering Management\Rushabh\Subjects\SYS 660 Decision Making via Risk Analysis\Finals\"/>
    </mc:Choice>
  </mc:AlternateContent>
  <xr:revisionPtr revIDLastSave="0" documentId="13_ncr:1_{8B10592F-D009-4DEE-9CB5-6775894CC89D}" xr6:coauthVersionLast="43" xr6:coauthVersionMax="43" xr10:uidLastSave="{00000000-0000-0000-0000-000000000000}"/>
  <bookViews>
    <workbookView xWindow="38760" yWindow="270" windowWidth="18456" windowHeight="9978" firstSheet="1" activeTab="5" xr2:uid="{00000000-000D-0000-FFFF-FFFF00000000}"/>
  </bookViews>
  <sheets>
    <sheet name="RiskSerializationData" sheetId="3" state="hidden" r:id="rId1"/>
    <sheet name="2017" sheetId="1" r:id="rId2"/>
    <sheet name="2016 (2)" sheetId="17" r:id="rId3"/>
    <sheet name="EWR (2)" sheetId="18" r:id="rId4"/>
    <sheet name="Small Airports (2)" sheetId="19" r:id="rId5"/>
    <sheet name="Sheet1" sheetId="20" r:id="rId6"/>
    <sheet name="2016" sheetId="11" state="hidden" r:id="rId7"/>
    <sheet name="EWR" sheetId="12" state="hidden" r:id="rId8"/>
    <sheet name="Small Airports" sheetId="13" state="hidden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1</definedName>
    <definedName name="_AtRisk_SimSetting_ReportOptionCustomItemSummaryGraphType02" hidden="1">1</definedName>
    <definedName name="_AtRisk_SimSetting_ReportOptionCustomItemSummaryGraphType03" hidden="1">1</definedName>
    <definedName name="_AtRisk_SimSetting_ReportOptionCustomItemSummaryGraphType04" hidden="1">1</definedName>
    <definedName name="_AtRisk_SimSetting_ReportOptionCustomItemSummaryGraphType05" hidden="1">1</definedName>
    <definedName name="_AtRisk_SimSetting_ReportOptionCustomItemSummaryGraphType06" hidden="1">1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26464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26464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"6QFQLPEAQ7M87BE6I4HZY8Z2"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5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electedCell" hidden="1">"$B$16"</definedName>
    <definedName name="RiskSelectedNameCell1" hidden="1">"$A$16"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20" l="1"/>
  <c r="E5" i="20"/>
  <c r="H5" i="20"/>
  <c r="D6" i="20"/>
  <c r="D5" i="20"/>
  <c r="H3" i="20"/>
  <c r="J5" i="18"/>
  <c r="H6" i="20" l="1"/>
  <c r="J8" i="20" s="1"/>
  <c r="H4" i="20"/>
  <c r="H7" i="20" l="1"/>
  <c r="H9" i="20"/>
  <c r="C6" i="19"/>
  <c r="C8" i="19" s="1"/>
  <c r="M4" i="19"/>
  <c r="D6" i="19"/>
  <c r="D7" i="19" s="1"/>
  <c r="E6" i="19"/>
  <c r="E7" i="19" s="1"/>
  <c r="M3" i="19"/>
  <c r="J11" i="19" s="1"/>
  <c r="G6" i="19"/>
  <c r="G8" i="19" s="1"/>
  <c r="J13" i="19"/>
  <c r="J5" i="19"/>
  <c r="B10" i="19"/>
  <c r="B11" i="19" s="1"/>
  <c r="J24" i="19"/>
  <c r="J25" i="19" s="1"/>
  <c r="D6" i="18"/>
  <c r="D8" i="18" s="1"/>
  <c r="M4" i="18"/>
  <c r="C6" i="18"/>
  <c r="C8" i="18" s="1"/>
  <c r="G6" i="18"/>
  <c r="G8" i="18" s="1"/>
  <c r="M3" i="18"/>
  <c r="J11" i="18" s="1"/>
  <c r="E6" i="18"/>
  <c r="E7" i="18" s="1"/>
  <c r="F6" i="18"/>
  <c r="F7" i="18" s="1"/>
  <c r="J18" i="18"/>
  <c r="J24" i="18"/>
  <c r="J25" i="18" s="1"/>
  <c r="B10" i="18"/>
  <c r="B11" i="18" s="1"/>
  <c r="D6" i="17"/>
  <c r="D8" i="17" s="1"/>
  <c r="E6" i="17"/>
  <c r="E8" i="17" s="1"/>
  <c r="J13" i="17"/>
  <c r="J27" i="17"/>
  <c r="J18" i="17"/>
  <c r="M4" i="17"/>
  <c r="J5" i="17"/>
  <c r="K5" i="17" s="1"/>
  <c r="G6" i="17"/>
  <c r="G8" i="17" s="1"/>
  <c r="J24" i="17"/>
  <c r="J25" i="17" s="1"/>
  <c r="B10" i="17"/>
  <c r="B11" i="17" s="1"/>
  <c r="J5" i="1"/>
  <c r="K5" i="1" s="1"/>
  <c r="G6" i="1"/>
  <c r="J18" i="1"/>
  <c r="F6" i="1"/>
  <c r="E6" i="1"/>
  <c r="E8" i="1" s="1"/>
  <c r="D6" i="1"/>
  <c r="D8" i="1" s="1"/>
  <c r="J4" i="1"/>
  <c r="J27" i="1"/>
  <c r="J24" i="1"/>
  <c r="J25" i="1" s="1"/>
  <c r="B10" i="1"/>
  <c r="B11" i="1" s="1"/>
  <c r="J13" i="13"/>
  <c r="C6" i="13"/>
  <c r="C8" i="13" s="1"/>
  <c r="D6" i="13"/>
  <c r="D8" i="13" s="1"/>
  <c r="E6" i="13"/>
  <c r="F6" i="13"/>
  <c r="F8" i="13" s="1"/>
  <c r="G6" i="13"/>
  <c r="G7" i="13" s="1"/>
  <c r="J5" i="13"/>
  <c r="K5" i="13" s="1"/>
  <c r="M4" i="13"/>
  <c r="J4" i="13"/>
  <c r="M3" i="13"/>
  <c r="J13" i="12"/>
  <c r="C6" i="12"/>
  <c r="C7" i="12" s="1"/>
  <c r="D6" i="12"/>
  <c r="D7" i="12" s="1"/>
  <c r="E6" i="12"/>
  <c r="E8" i="12" s="1"/>
  <c r="F6" i="12"/>
  <c r="F8" i="12" s="1"/>
  <c r="G6" i="12"/>
  <c r="G8" i="12" s="1"/>
  <c r="J5" i="12"/>
  <c r="K5" i="12" s="1"/>
  <c r="M4" i="12"/>
  <c r="J4" i="12"/>
  <c r="M3" i="12"/>
  <c r="J11" i="12" s="1"/>
  <c r="J13" i="11"/>
  <c r="C6" i="11"/>
  <c r="C7" i="11" s="1"/>
  <c r="D6" i="11"/>
  <c r="E6" i="11"/>
  <c r="E8" i="11" s="1"/>
  <c r="F6" i="11"/>
  <c r="F7" i="11" s="1"/>
  <c r="G6" i="11"/>
  <c r="G8" i="11" s="1"/>
  <c r="J5" i="11"/>
  <c r="K5" i="11" s="1"/>
  <c r="M4" i="11"/>
  <c r="J4" i="11"/>
  <c r="M3" i="11"/>
  <c r="J11" i="11" s="1"/>
  <c r="J27" i="19"/>
  <c r="J21" i="19"/>
  <c r="J18" i="19"/>
  <c r="F6" i="19"/>
  <c r="F8" i="19" s="1"/>
  <c r="J4" i="19"/>
  <c r="J27" i="18"/>
  <c r="J21" i="18"/>
  <c r="J13" i="18"/>
  <c r="J4" i="18"/>
  <c r="J21" i="17"/>
  <c r="C6" i="17"/>
  <c r="C8" i="17" s="1"/>
  <c r="F6" i="17"/>
  <c r="F8" i="17" s="1"/>
  <c r="J4" i="17"/>
  <c r="M3" i="17"/>
  <c r="J11" i="17" s="1"/>
  <c r="J21" i="1"/>
  <c r="J13" i="1"/>
  <c r="C6" i="1"/>
  <c r="C7" i="1" s="1"/>
  <c r="M4" i="1"/>
  <c r="M3" i="1"/>
  <c r="J19" i="19"/>
  <c r="J20" i="19"/>
  <c r="J10" i="19"/>
  <c r="J9" i="19"/>
  <c r="M5" i="19"/>
  <c r="M2" i="19"/>
  <c r="J22" i="19"/>
  <c r="J19" i="18"/>
  <c r="J20" i="18"/>
  <c r="J10" i="18"/>
  <c r="J9" i="18"/>
  <c r="M5" i="18"/>
  <c r="M2" i="18"/>
  <c r="J19" i="17"/>
  <c r="J10" i="17"/>
  <c r="J9" i="17"/>
  <c r="M5" i="17"/>
  <c r="M2" i="17"/>
  <c r="J8" i="17"/>
  <c r="J19" i="1"/>
  <c r="J20" i="1" s="1"/>
  <c r="J10" i="13"/>
  <c r="J9" i="13"/>
  <c r="M5" i="13"/>
  <c r="M2" i="13"/>
  <c r="J8" i="13"/>
  <c r="J10" i="12"/>
  <c r="J9" i="12"/>
  <c r="M5" i="12"/>
  <c r="M2" i="12"/>
  <c r="J10" i="11"/>
  <c r="J9" i="11"/>
  <c r="M5" i="11"/>
  <c r="M2" i="11"/>
  <c r="J8" i="11"/>
  <c r="M5" i="1"/>
  <c r="M2" i="1"/>
  <c r="J10" i="1"/>
  <c r="J9" i="1"/>
  <c r="J8" i="19"/>
  <c r="J8" i="12"/>
  <c r="J22" i="18"/>
  <c r="J8" i="18"/>
  <c r="H10" i="20" l="1"/>
  <c r="J6" i="13"/>
  <c r="F8" i="11"/>
  <c r="G8" i="13"/>
  <c r="C7" i="13"/>
  <c r="G7" i="11"/>
  <c r="D7" i="13"/>
  <c r="F7" i="12"/>
  <c r="E7" i="11"/>
  <c r="E7" i="1"/>
  <c r="G7" i="18"/>
  <c r="J11" i="13"/>
  <c r="F7" i="17"/>
  <c r="D7" i="1"/>
  <c r="E8" i="18"/>
  <c r="J6" i="11"/>
  <c r="D19" i="11" s="1"/>
  <c r="C8" i="1"/>
  <c r="J26" i="17"/>
  <c r="J6" i="19"/>
  <c r="D19" i="19" s="1"/>
  <c r="J14" i="12"/>
  <c r="J16" i="12" s="1"/>
  <c r="D21" i="12" s="1"/>
  <c r="J21" i="11"/>
  <c r="J21" i="12"/>
  <c r="E7" i="12"/>
  <c r="D7" i="17"/>
  <c r="C7" i="18"/>
  <c r="J14" i="11"/>
  <c r="J16" i="11" s="1"/>
  <c r="D21" i="11" s="1"/>
  <c r="F7" i="13"/>
  <c r="C8" i="12"/>
  <c r="F7" i="19"/>
  <c r="D8" i="19"/>
  <c r="J6" i="12"/>
  <c r="D19" i="12" s="1"/>
  <c r="C7" i="19"/>
  <c r="G7" i="19"/>
  <c r="C7" i="17"/>
  <c r="J6" i="1"/>
  <c r="D7" i="18"/>
  <c r="G7" i="12"/>
  <c r="J21" i="13"/>
  <c r="J14" i="13"/>
  <c r="J16" i="13" s="1"/>
  <c r="D21" i="13" s="1"/>
  <c r="C8" i="11"/>
  <c r="G7" i="1"/>
  <c r="G8" i="1"/>
  <c r="D8" i="12"/>
  <c r="H8" i="12" s="1"/>
  <c r="J12" i="12" s="1"/>
  <c r="D20" i="12" s="1"/>
  <c r="J26" i="1"/>
  <c r="H8" i="17"/>
  <c r="J14" i="17"/>
  <c r="D8" i="11"/>
  <c r="D7" i="11"/>
  <c r="J11" i="1"/>
  <c r="J8" i="1"/>
  <c r="K22" i="1"/>
  <c r="J6" i="17"/>
  <c r="D19" i="17" s="1"/>
  <c r="K5" i="18"/>
  <c r="J26" i="18" s="1"/>
  <c r="G7" i="17"/>
  <c r="J22" i="17"/>
  <c r="J20" i="17"/>
  <c r="E8" i="13"/>
  <c r="E7" i="13"/>
  <c r="F7" i="1"/>
  <c r="F8" i="1"/>
  <c r="E7" i="17"/>
  <c r="F8" i="18"/>
  <c r="J6" i="18"/>
  <c r="E8" i="19"/>
  <c r="K5" i="19"/>
  <c r="J26" i="19" s="1"/>
  <c r="D19" i="13" l="1"/>
  <c r="H8" i="11"/>
  <c r="J12" i="11" s="1"/>
  <c r="D20" i="11" s="1"/>
  <c r="D23" i="11" s="1"/>
  <c r="H8" i="13"/>
  <c r="J12" i="13" s="1"/>
  <c r="D20" i="13" s="1"/>
  <c r="G9" i="12"/>
  <c r="I24" i="12" s="1"/>
  <c r="H8" i="18"/>
  <c r="J16" i="18" s="1"/>
  <c r="C18" i="13"/>
  <c r="C23" i="13" s="1"/>
  <c r="G9" i="1"/>
  <c r="G26" i="1" s="1"/>
  <c r="D19" i="1"/>
  <c r="G9" i="19"/>
  <c r="G26" i="19" s="1"/>
  <c r="H8" i="1"/>
  <c r="J12" i="1" s="1"/>
  <c r="D20" i="1" s="1"/>
  <c r="C18" i="19"/>
  <c r="C23" i="19" s="1"/>
  <c r="G9" i="18"/>
  <c r="G26" i="18" s="1"/>
  <c r="D23" i="12"/>
  <c r="B9" i="12"/>
  <c r="C18" i="18"/>
  <c r="C23" i="18" s="1"/>
  <c r="C18" i="12"/>
  <c r="C23" i="12" s="1"/>
  <c r="J12" i="17"/>
  <c r="D20" i="17" s="1"/>
  <c r="J28" i="17"/>
  <c r="J16" i="17"/>
  <c r="C18" i="17"/>
  <c r="C23" i="17" s="1"/>
  <c r="G9" i="17"/>
  <c r="G9" i="13"/>
  <c r="I24" i="13" s="1"/>
  <c r="J14" i="1"/>
  <c r="C18" i="11"/>
  <c r="C23" i="11" s="1"/>
  <c r="J14" i="19"/>
  <c r="H8" i="19"/>
  <c r="G9" i="11"/>
  <c r="I24" i="11" s="1"/>
  <c r="D19" i="18"/>
  <c r="J14" i="18"/>
  <c r="C18" i="1"/>
  <c r="C23" i="1" s="1"/>
  <c r="D23" i="13" l="1"/>
  <c r="C24" i="13" s="1"/>
  <c r="J28" i="1"/>
  <c r="B9" i="11"/>
  <c r="C24" i="12"/>
  <c r="J16" i="1"/>
  <c r="D21" i="1" s="1"/>
  <c r="D23" i="1" s="1"/>
  <c r="C24" i="1" s="1"/>
  <c r="C24" i="11"/>
  <c r="B9" i="13"/>
  <c r="J28" i="18"/>
  <c r="J12" i="18"/>
  <c r="D20" i="18" s="1"/>
  <c r="J17" i="17"/>
  <c r="D21" i="17"/>
  <c r="D23" i="17" s="1"/>
  <c r="C24" i="17" s="1"/>
  <c r="J12" i="19"/>
  <c r="J16" i="19"/>
  <c r="J28" i="19"/>
  <c r="J17" i="18"/>
  <c r="D21" i="18"/>
  <c r="G26" i="17"/>
  <c r="B16" i="17"/>
  <c r="B16" i="18" l="1"/>
  <c r="J17" i="1"/>
  <c r="B16" i="1" s="1"/>
  <c r="D23" i="18"/>
  <c r="C24" i="18" s="1"/>
  <c r="D21" i="19"/>
  <c r="J17" i="19"/>
  <c r="B16" i="19" s="1"/>
  <c r="D20" i="19"/>
  <c r="D23" i="19" l="1"/>
  <c r="C24" i="19" s="1"/>
</calcChain>
</file>

<file path=xl/sharedStrings.xml><?xml version="1.0" encoding="utf-8"?>
<sst xmlns="http://schemas.openxmlformats.org/spreadsheetml/2006/main" count="397" uniqueCount="80">
  <si>
    <t>Bags</t>
  </si>
  <si>
    <t>Enplanements</t>
  </si>
  <si>
    <t>Check Fees</t>
  </si>
  <si>
    <t>Liability Costs</t>
  </si>
  <si>
    <t>Proportion of passengers</t>
  </si>
  <si>
    <t>Mishandled Reports</t>
  </si>
  <si>
    <t>Proportion Ranges</t>
  </si>
  <si>
    <t>Money Earned by airlines</t>
  </si>
  <si>
    <t xml:space="preserve">Cost to Airlines </t>
  </si>
  <si>
    <t>Profit</t>
  </si>
  <si>
    <t>Total Money</t>
  </si>
  <si>
    <t>Airline Earnings</t>
  </si>
  <si>
    <t>Airline Costs</t>
  </si>
  <si>
    <t>Take off and landing fee</t>
  </si>
  <si>
    <t>MTOW</t>
  </si>
  <si>
    <t>Asssume 100000 lbs max</t>
  </si>
  <si>
    <t>Assumed to be  same for day and night</t>
  </si>
  <si>
    <t>Take off/land fixed cost</t>
  </si>
  <si>
    <t>Public Ramp &amp; Apron area charges</t>
  </si>
  <si>
    <t>Take off Variables cost per pound</t>
  </si>
  <si>
    <t>No of flights</t>
  </si>
  <si>
    <t>ignore for now</t>
  </si>
  <si>
    <t>Parking and storage area</t>
  </si>
  <si>
    <t>Assuming aircraft does not stay more than 8 hours in parking or storage</t>
  </si>
  <si>
    <t>General Terminal Charge</t>
  </si>
  <si>
    <t>Facility Charge</t>
  </si>
  <si>
    <t xml:space="preserve">No police tour </t>
  </si>
  <si>
    <t>Airtrain</t>
  </si>
  <si>
    <t>Bag costs</t>
  </si>
  <si>
    <t>Passengers for bags</t>
  </si>
  <si>
    <t>People included for liability</t>
  </si>
  <si>
    <t>We are not including the salaries, maintainence costs, operational costs, etc…</t>
  </si>
  <si>
    <t>Stolen Bags % in 2016</t>
  </si>
  <si>
    <t>Stolen Bags % in 2017</t>
  </si>
  <si>
    <t>Number of Reports</t>
  </si>
  <si>
    <t>Liability for Stolen</t>
  </si>
  <si>
    <t>Stolen Bags Percent</t>
  </si>
  <si>
    <t>Stolen Liability</t>
  </si>
  <si>
    <t>Revenue</t>
  </si>
  <si>
    <t>Cost</t>
  </si>
  <si>
    <t>Checked Bags</t>
  </si>
  <si>
    <t>Mishandled Bags</t>
  </si>
  <si>
    <t>Matrix (Airlines Perspective)</t>
  </si>
  <si>
    <t>Airport Charges</t>
  </si>
  <si>
    <t>Stolen Bags</t>
  </si>
  <si>
    <t>Balance</t>
  </si>
  <si>
    <t>Checked passengers</t>
  </si>
  <si>
    <t xml:space="preserve">Cost per stolen bag </t>
  </si>
  <si>
    <t>Stolen bag costs</t>
  </si>
  <si>
    <t>Delivery of delayed bags</t>
  </si>
  <si>
    <t>Seat Miles</t>
  </si>
  <si>
    <t>Miles flown</t>
  </si>
  <si>
    <t>Fuel prices: $/gallon</t>
  </si>
  <si>
    <t>Airfare</t>
  </si>
  <si>
    <t>Total airfare earnings</t>
  </si>
  <si>
    <t>Fuel Costs/year</t>
  </si>
  <si>
    <t>2016 employments</t>
  </si>
  <si>
    <t>Employed people</t>
  </si>
  <si>
    <t>Employee pay</t>
  </si>
  <si>
    <t>Employee pay costs</t>
  </si>
  <si>
    <t>Delayed 74% to 80%</t>
  </si>
  <si>
    <t>Delayed Bags percent</t>
  </si>
  <si>
    <t>Delayed Bags cost</t>
  </si>
  <si>
    <t>Before System</t>
  </si>
  <si>
    <t>After System</t>
  </si>
  <si>
    <t xml:space="preserve">Difference </t>
  </si>
  <si>
    <t>% change</t>
  </si>
  <si>
    <t>Emplanemnets</t>
  </si>
  <si>
    <t>Bags No.</t>
  </si>
  <si>
    <t>Liability Loss</t>
  </si>
  <si>
    <t>Stolen</t>
  </si>
  <si>
    <t>Stolen New</t>
  </si>
  <si>
    <t>Mishandled Bags  Report</t>
  </si>
  <si>
    <t>Mishandled</t>
  </si>
  <si>
    <t>Stolen Report</t>
  </si>
  <si>
    <t>Stolen New Report</t>
  </si>
  <si>
    <t>Bags Scanned</t>
  </si>
  <si>
    <t>Liability Cost</t>
  </si>
  <si>
    <t>Stolen New Liability</t>
  </si>
  <si>
    <t>hybrid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</si>
</sst>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5" borderId="3" applyNumberFormat="0" applyAlignment="0" applyProtection="0"/>
    <xf numFmtId="0" fontId="4" fillId="5" borderId="2" applyNumberFormat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164" fontId="0" fillId="0" borderId="0" xfId="1" applyFont="1"/>
    <xf numFmtId="164" fontId="0" fillId="0" borderId="0" xfId="0" applyNumberFormat="1"/>
    <xf numFmtId="164" fontId="0" fillId="3" borderId="0" xfId="1" applyFont="1" applyFill="1"/>
    <xf numFmtId="43" fontId="0" fillId="0" borderId="0" xfId="0" applyNumberFormat="1"/>
    <xf numFmtId="43" fontId="0" fillId="4" borderId="0" xfId="0" applyNumberFormat="1" applyFill="1"/>
    <xf numFmtId="9" fontId="0" fillId="0" borderId="0" xfId="0" applyNumberFormat="1"/>
    <xf numFmtId="0" fontId="2" fillId="0" borderId="1" xfId="2"/>
    <xf numFmtId="0" fontId="4" fillId="5" borderId="2" xfId="4"/>
    <xf numFmtId="164" fontId="4" fillId="5" borderId="2" xfId="4" applyNumberFormat="1"/>
    <xf numFmtId="0" fontId="0" fillId="6" borderId="0" xfId="0" applyFill="1"/>
    <xf numFmtId="164" fontId="0" fillId="7" borderId="0" xfId="1" applyFont="1" applyFill="1"/>
    <xf numFmtId="0" fontId="0" fillId="7" borderId="0" xfId="0" applyFill="1"/>
    <xf numFmtId="0" fontId="0" fillId="8" borderId="0" xfId="0" applyFill="1"/>
    <xf numFmtId="0" fontId="0" fillId="4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43" fontId="3" fillId="5" borderId="4" xfId="3" applyNumberFormat="1" applyFont="1" applyBorder="1" applyAlignment="1">
      <alignment horizontal="center" vertical="center"/>
    </xf>
    <xf numFmtId="43" fontId="3" fillId="5" borderId="5" xfId="3" applyNumberFormat="1" applyFont="1" applyBorder="1" applyAlignment="1">
      <alignment horizontal="center" vertical="center"/>
    </xf>
    <xf numFmtId="2" fontId="0" fillId="0" borderId="0" xfId="0" applyNumberFormat="1"/>
    <xf numFmtId="1" fontId="0" fillId="0" borderId="0" xfId="0" applyNumberFormat="1"/>
    <xf numFmtId="44" fontId="0" fillId="0" borderId="0" xfId="5" applyFont="1"/>
    <xf numFmtId="10" fontId="0" fillId="0" borderId="0" xfId="6" applyNumberFormat="1" applyFont="1"/>
  </cellXfs>
  <cellStyles count="7">
    <cellStyle name="Calculation" xfId="4" builtinId="22"/>
    <cellStyle name="Comma" xfId="1" builtinId="3"/>
    <cellStyle name="Currency" xfId="5" builtinId="4"/>
    <cellStyle name="Heading 3" xfId="2" builtinId="18"/>
    <cellStyle name="Normal" xfId="0" builtinId="0"/>
    <cellStyle name="Output" xfId="3" builtinId="21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"/>
  <sheetViews>
    <sheetView workbookViewId="0"/>
  </sheetViews>
  <sheetFormatPr defaultRowHeight="14.4" x14ac:dyDescent="0.55000000000000004"/>
  <sheetData>
    <row r="1" spans="1:33" x14ac:dyDescent="0.55000000000000004">
      <c r="A1">
        <v>0</v>
      </c>
      <c r="B1">
        <v>0</v>
      </c>
    </row>
    <row r="2" spans="1:33" x14ac:dyDescent="0.55000000000000004">
      <c r="A2">
        <v>0</v>
      </c>
    </row>
    <row r="3" spans="1:33" x14ac:dyDescent="0.55000000000000004">
      <c r="A3" s="3">
        <v>0</v>
      </c>
      <c r="G3" s="3"/>
    </row>
    <row r="4" spans="1:33" x14ac:dyDescent="0.55000000000000004">
      <c r="A4" s="3" t="b">
        <v>0</v>
      </c>
      <c r="B4">
        <v>16800</v>
      </c>
      <c r="C4">
        <v>8475</v>
      </c>
      <c r="D4">
        <v>6240</v>
      </c>
      <c r="E4">
        <v>0</v>
      </c>
      <c r="G4" s="3"/>
    </row>
    <row r="5" spans="1:33" x14ac:dyDescent="0.55000000000000004">
      <c r="A5" s="3" t="b">
        <v>0</v>
      </c>
      <c r="B5">
        <v>16800</v>
      </c>
      <c r="C5">
        <v>8475</v>
      </c>
      <c r="D5">
        <v>6240</v>
      </c>
      <c r="E5">
        <v>0</v>
      </c>
      <c r="G5" s="3"/>
      <c r="AG5" s="3"/>
    </row>
    <row r="6" spans="1:33" x14ac:dyDescent="0.55000000000000004">
      <c r="A6" s="3" t="b">
        <v>0</v>
      </c>
      <c r="B6">
        <v>16800</v>
      </c>
      <c r="C6">
        <v>8475</v>
      </c>
      <c r="D6">
        <v>6240</v>
      </c>
      <c r="E6">
        <v>0</v>
      </c>
      <c r="G6" s="3"/>
    </row>
    <row r="7" spans="1:33" x14ac:dyDescent="0.55000000000000004">
      <c r="A7" s="3" t="b">
        <v>0</v>
      </c>
      <c r="B7">
        <v>16800</v>
      </c>
      <c r="C7">
        <v>8475</v>
      </c>
      <c r="D7">
        <v>6240</v>
      </c>
      <c r="E7">
        <v>0</v>
      </c>
      <c r="AG7" s="3"/>
    </row>
    <row r="8" spans="1:33" x14ac:dyDescent="0.55000000000000004">
      <c r="A8" t="b">
        <v>0</v>
      </c>
      <c r="B8">
        <v>16800</v>
      </c>
      <c r="C8">
        <v>8475</v>
      </c>
      <c r="D8">
        <v>6240</v>
      </c>
      <c r="E8">
        <v>0</v>
      </c>
    </row>
    <row r="9" spans="1:33" x14ac:dyDescent="0.55000000000000004">
      <c r="A9">
        <v>0</v>
      </c>
    </row>
    <row r="10" spans="1:33" x14ac:dyDescent="0.55000000000000004">
      <c r="A10">
        <v>0</v>
      </c>
      <c r="B10" t="b">
        <v>0</v>
      </c>
      <c r="C10" t="b">
        <v>0</v>
      </c>
      <c r="D10">
        <v>10</v>
      </c>
      <c r="E10">
        <v>0.95</v>
      </c>
      <c r="F1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8"/>
  <sheetViews>
    <sheetView zoomScale="77" zoomScaleNormal="77" workbookViewId="0">
      <selection activeCell="J17" sqref="J17"/>
    </sheetView>
  </sheetViews>
  <sheetFormatPr defaultRowHeight="14.4" x14ac:dyDescent="0.55000000000000004"/>
  <cols>
    <col min="1" max="1" width="24.41796875" customWidth="1"/>
    <col min="2" max="2" width="21.83984375" customWidth="1"/>
    <col min="3" max="3" width="22.68359375" customWidth="1"/>
    <col min="4" max="4" width="19.83984375" customWidth="1"/>
    <col min="5" max="5" width="18.26171875" customWidth="1"/>
    <col min="6" max="6" width="26.41796875" customWidth="1"/>
    <col min="7" max="7" width="20.83984375" customWidth="1"/>
    <col min="8" max="8" width="22" bestFit="1" customWidth="1"/>
    <col min="9" max="9" width="25.83984375" customWidth="1"/>
    <col min="10" max="10" width="29.41796875" customWidth="1"/>
    <col min="11" max="11" width="10.578125" customWidth="1"/>
    <col min="12" max="12" width="41.41796875" customWidth="1"/>
    <col min="13" max="13" width="16.68359375" customWidth="1"/>
  </cols>
  <sheetData>
    <row r="1" spans="1:19" x14ac:dyDescent="0.55000000000000004">
      <c r="A1" t="s">
        <v>11</v>
      </c>
      <c r="I1" t="s">
        <v>12</v>
      </c>
    </row>
    <row r="2" spans="1:19" x14ac:dyDescent="0.55000000000000004">
      <c r="L2" t="s">
        <v>20</v>
      </c>
      <c r="M2" s="3">
        <f>J3/76</f>
        <v>11279122.539473685</v>
      </c>
      <c r="O2" t="s">
        <v>15</v>
      </c>
    </row>
    <row r="3" spans="1:19" x14ac:dyDescent="0.55000000000000004">
      <c r="A3" t="s">
        <v>0</v>
      </c>
      <c r="C3" s="1">
        <v>0</v>
      </c>
      <c r="D3" s="1">
        <v>1</v>
      </c>
      <c r="E3" s="1">
        <v>2</v>
      </c>
      <c r="F3" s="1">
        <v>3</v>
      </c>
      <c r="G3" s="1">
        <v>4</v>
      </c>
      <c r="I3" t="s">
        <v>1</v>
      </c>
      <c r="J3" s="2">
        <v>857213313</v>
      </c>
      <c r="L3" t="s">
        <v>14</v>
      </c>
      <c r="M3">
        <f ca="1">_xll.RiskTriang(50000,86000,100000)</f>
        <v>78666.666666666672</v>
      </c>
      <c r="O3" t="s">
        <v>16</v>
      </c>
    </row>
    <row r="4" spans="1:19" x14ac:dyDescent="0.55000000000000004">
      <c r="A4" t="s">
        <v>2</v>
      </c>
      <c r="C4">
        <v>0</v>
      </c>
      <c r="D4">
        <v>30</v>
      </c>
      <c r="E4">
        <v>70</v>
      </c>
      <c r="F4">
        <v>170</v>
      </c>
      <c r="G4">
        <v>240</v>
      </c>
      <c r="I4" t="s">
        <v>3</v>
      </c>
      <c r="J4">
        <f ca="1">_xll.RiskUniform(0,3300)</f>
        <v>1650</v>
      </c>
      <c r="L4" t="s">
        <v>17</v>
      </c>
      <c r="M4">
        <f ca="1">_xll.RiskUniform(20,100)</f>
        <v>60</v>
      </c>
      <c r="O4" t="s">
        <v>23</v>
      </c>
    </row>
    <row r="5" spans="1:19" x14ac:dyDescent="0.55000000000000004">
      <c r="A5" t="s">
        <v>4</v>
      </c>
      <c r="C5">
        <v>0.24</v>
      </c>
      <c r="D5">
        <v>0.59</v>
      </c>
      <c r="E5">
        <v>0.15</v>
      </c>
      <c r="F5">
        <v>0.01</v>
      </c>
      <c r="G5">
        <v>0.01</v>
      </c>
      <c r="I5" t="s">
        <v>5</v>
      </c>
      <c r="J5">
        <f ca="1">_xll.RiskUniform(2.02,3.32)</f>
        <v>2.67</v>
      </c>
      <c r="K5">
        <f ca="1">(J5/1000)*J3</f>
        <v>2288759.5457100002</v>
      </c>
      <c r="L5" t="s">
        <v>19</v>
      </c>
      <c r="M5">
        <f>7.44/1000</f>
        <v>7.4400000000000004E-3</v>
      </c>
      <c r="O5" t="s">
        <v>26</v>
      </c>
    </row>
    <row r="6" spans="1:19" x14ac:dyDescent="0.55000000000000004">
      <c r="A6" t="s">
        <v>6</v>
      </c>
      <c r="C6">
        <f ca="1">_xll.RiskUniform(0.22,0.26)</f>
        <v>0.24</v>
      </c>
      <c r="D6">
        <f ca="1">_xll.RiskUniform(0.57,0.61)</f>
        <v>0.59</v>
      </c>
      <c r="E6">
        <f ca="1">_xll.RiskUniform(0.13,0.17)</f>
        <v>0.15000000000000002</v>
      </c>
      <c r="F6">
        <f ca="1">_xll.RiskUniform(0.01,0.02)</f>
        <v>1.4999999999999999E-2</v>
      </c>
      <c r="G6">
        <f ca="1">_xll.RiskUniform(0.01,0.02)</f>
        <v>1.4999999999999999E-2</v>
      </c>
      <c r="H6" s="15" t="s">
        <v>30</v>
      </c>
      <c r="I6" s="11" t="s">
        <v>13</v>
      </c>
      <c r="J6" s="3">
        <f ca="1">(M4+M5*M3)*M2</f>
        <v>7278192192.2715797</v>
      </c>
      <c r="O6" t="s">
        <v>18</v>
      </c>
      <c r="S6" t="s">
        <v>21</v>
      </c>
    </row>
    <row r="7" spans="1:19" x14ac:dyDescent="0.55000000000000004">
      <c r="A7" s="13" t="s">
        <v>7</v>
      </c>
      <c r="C7">
        <f ca="1">C6*$J$3*C4</f>
        <v>0</v>
      </c>
      <c r="D7" s="2">
        <f ca="1">D6*$J$3*D4</f>
        <v>15172675640.099998</v>
      </c>
      <c r="E7" s="2">
        <f ca="1">E6*$J$3*E4</f>
        <v>9000739786.5000019</v>
      </c>
      <c r="F7" s="2">
        <f ca="1">F6*$J$3*F4</f>
        <v>2185893948.1500001</v>
      </c>
      <c r="G7" s="2">
        <f ca="1">G6*$J$3*G4</f>
        <v>3085967926.8000002</v>
      </c>
      <c r="H7" s="15"/>
      <c r="I7" s="11"/>
    </row>
    <row r="8" spans="1:19" x14ac:dyDescent="0.55000000000000004">
      <c r="A8" t="s">
        <v>29</v>
      </c>
      <c r="C8" s="5">
        <f ca="1">$J$3*C6</f>
        <v>205731195.12</v>
      </c>
      <c r="D8" s="5">
        <f ca="1">$J$3*D6</f>
        <v>505755854.66999996</v>
      </c>
      <c r="E8" s="5">
        <f ca="1">$J$3*E6</f>
        <v>128581996.95000002</v>
      </c>
      <c r="F8" s="5">
        <f ca="1">$J$3*F6</f>
        <v>12858199.695</v>
      </c>
      <c r="G8" s="5">
        <f ca="1">$J$3*G6</f>
        <v>12858199.695</v>
      </c>
      <c r="H8" s="6">
        <f ca="1">SUM(D8:G8)</f>
        <v>660054251.01000011</v>
      </c>
      <c r="I8" s="11" t="s">
        <v>22</v>
      </c>
      <c r="J8" s="3">
        <f>M2*45</f>
        <v>507560514.27631581</v>
      </c>
    </row>
    <row r="9" spans="1:19" x14ac:dyDescent="0.55000000000000004">
      <c r="F9" t="s">
        <v>10</v>
      </c>
      <c r="G9" s="12">
        <f ca="1">SUM(C7:G7)</f>
        <v>29445277301.549999</v>
      </c>
      <c r="I9" s="11" t="s">
        <v>24</v>
      </c>
      <c r="J9" s="3">
        <f>4.65*J3</f>
        <v>3986041905.4500003</v>
      </c>
      <c r="L9" t="s">
        <v>32</v>
      </c>
      <c r="M9" s="7">
        <v>7.0000000000000007E-2</v>
      </c>
    </row>
    <row r="10" spans="1:19" x14ac:dyDescent="0.55000000000000004">
      <c r="A10" t="s">
        <v>53</v>
      </c>
      <c r="B10">
        <f ca="1">_xll.RiskNormal(347.63,100)</f>
        <v>347.63</v>
      </c>
      <c r="I10" s="11" t="s">
        <v>25</v>
      </c>
      <c r="J10" s="3">
        <f>4.5*J3</f>
        <v>3857459908.5</v>
      </c>
      <c r="L10" t="s">
        <v>33</v>
      </c>
      <c r="M10" s="7">
        <v>0.05</v>
      </c>
    </row>
    <row r="11" spans="1:19" x14ac:dyDescent="0.55000000000000004">
      <c r="A11" s="13" t="s">
        <v>54</v>
      </c>
      <c r="B11" s="3">
        <f ca="1">B10*J3</f>
        <v>297993063998.19</v>
      </c>
      <c r="I11" s="11" t="s">
        <v>27</v>
      </c>
      <c r="J11" s="3">
        <f ca="1">(2.22*(M3/1000))*M2</f>
        <v>1969785960.2936845</v>
      </c>
      <c r="L11" t="s">
        <v>60</v>
      </c>
    </row>
    <row r="12" spans="1:19" x14ac:dyDescent="0.55000000000000004">
      <c r="I12" s="11" t="s">
        <v>28</v>
      </c>
      <c r="J12" s="5">
        <f ca="1">((H8*(J5/1000))*J4)</f>
        <v>2907869002.8245554</v>
      </c>
    </row>
    <row r="13" spans="1:19" x14ac:dyDescent="0.55000000000000004">
      <c r="I13" t="s">
        <v>36</v>
      </c>
      <c r="J13" s="2">
        <f ca="1">_xll.RiskUniform(0.05,0.07)</f>
        <v>6.0000000000000005E-2</v>
      </c>
    </row>
    <row r="14" spans="1:19" x14ac:dyDescent="0.55000000000000004">
      <c r="I14" t="s">
        <v>46</v>
      </c>
      <c r="J14" s="2">
        <f ca="1">SUM(D8:G8)</f>
        <v>660054251.01000011</v>
      </c>
    </row>
    <row r="15" spans="1:19" x14ac:dyDescent="0.55000000000000004">
      <c r="I15" t="s">
        <v>47</v>
      </c>
      <c r="J15" s="2">
        <v>3300</v>
      </c>
    </row>
    <row r="16" spans="1:19" x14ac:dyDescent="0.55000000000000004">
      <c r="A16" t="s">
        <v>9</v>
      </c>
      <c r="B16" s="12">
        <f ca="1">_xll.RiskOutput()+FV(3%,2,,-((G9+B11)-(J6+J8+J9+J10+J11+J12+J17+J22+J25+J28)))</f>
        <v>234904805758.04187</v>
      </c>
      <c r="I16" t="s">
        <v>44</v>
      </c>
      <c r="J16" s="2">
        <f ca="1">J13*(J5/1000)*H8</f>
        <v>105740.69101180203</v>
      </c>
      <c r="L16" s="16" t="s">
        <v>31</v>
      </c>
      <c r="M16" s="16"/>
    </row>
    <row r="17" spans="2:13" ht="14.7" thickBot="1" x14ac:dyDescent="0.6">
      <c r="B17" s="8" t="s">
        <v>42</v>
      </c>
      <c r="C17" s="8" t="s">
        <v>38</v>
      </c>
      <c r="D17" s="8" t="s">
        <v>39</v>
      </c>
      <c r="I17" s="11" t="s">
        <v>48</v>
      </c>
      <c r="J17" s="2">
        <f ca="1">J15*J16</f>
        <v>348944280.3389467</v>
      </c>
      <c r="L17" s="16"/>
      <c r="M17" s="16"/>
    </row>
    <row r="18" spans="2:13" x14ac:dyDescent="0.55000000000000004">
      <c r="B18" t="s">
        <v>40</v>
      </c>
      <c r="C18" s="2">
        <f ca="1">SUM(C7:G7)</f>
        <v>29445277301.549999</v>
      </c>
      <c r="D18" s="2"/>
      <c r="I18" s="11" t="s">
        <v>49</v>
      </c>
      <c r="J18">
        <f ca="1">_xll.RiskUniform(200,400)</f>
        <v>300</v>
      </c>
    </row>
    <row r="19" spans="2:13" x14ac:dyDescent="0.55000000000000004">
      <c r="B19" t="s">
        <v>43</v>
      </c>
      <c r="C19" s="2"/>
      <c r="D19" s="2">
        <f ca="1">SUM(J6,J8,J9,J10,J11)</f>
        <v>17599040480.79158</v>
      </c>
      <c r="F19" s="2"/>
      <c r="I19" t="s">
        <v>50</v>
      </c>
      <c r="J19" s="2">
        <f>808.3*1000000000</f>
        <v>808300000000</v>
      </c>
    </row>
    <row r="20" spans="2:13" x14ac:dyDescent="0.55000000000000004">
      <c r="B20" t="s">
        <v>41</v>
      </c>
      <c r="C20" s="2"/>
      <c r="D20" s="2">
        <f ca="1">J12</f>
        <v>2907869002.8245554</v>
      </c>
      <c r="I20" t="s">
        <v>51</v>
      </c>
      <c r="J20" s="3">
        <f>(J19/76)*M2</f>
        <v>1.1995940458758658E+17</v>
      </c>
    </row>
    <row r="21" spans="2:13" x14ac:dyDescent="0.55000000000000004">
      <c r="B21" t="s">
        <v>44</v>
      </c>
      <c r="C21" s="2"/>
      <c r="D21" s="2">
        <f ca="1">J16</f>
        <v>105740.69101180203</v>
      </c>
      <c r="I21" t="s">
        <v>52</v>
      </c>
      <c r="J21">
        <f ca="1">_xll.RiskUniform(4.57,5.77)</f>
        <v>5.17</v>
      </c>
    </row>
    <row r="22" spans="2:13" x14ac:dyDescent="0.55000000000000004">
      <c r="C22" s="2"/>
      <c r="D22" s="2"/>
      <c r="I22" s="11" t="s">
        <v>55</v>
      </c>
      <c r="J22" s="2">
        <v>19728276932</v>
      </c>
      <c r="K22">
        <f>J22/M2</f>
        <v>1749.0967815055387</v>
      </c>
    </row>
    <row r="23" spans="2:13" x14ac:dyDescent="0.55000000000000004">
      <c r="B23" s="9" t="s">
        <v>45</v>
      </c>
      <c r="C23" s="10">
        <f ca="1">SUM(C18:C22)</f>
        <v>29445277301.549999</v>
      </c>
      <c r="D23" s="10">
        <f ca="1">SUM(D18:D22)</f>
        <v>20507015224.307148</v>
      </c>
      <c r="I23" t="s">
        <v>57</v>
      </c>
      <c r="J23">
        <v>433512</v>
      </c>
    </row>
    <row r="24" spans="2:13" x14ac:dyDescent="0.55000000000000004">
      <c r="C24" s="17">
        <f ca="1">C23-D23</f>
        <v>8938262077.2428513</v>
      </c>
      <c r="D24" s="18"/>
      <c r="I24" t="s">
        <v>58</v>
      </c>
      <c r="J24">
        <f ca="1">_xll.RiskTriang(30000,70000,350000)</f>
        <v>150000</v>
      </c>
    </row>
    <row r="25" spans="2:13" x14ac:dyDescent="0.55000000000000004">
      <c r="I25" s="11" t="s">
        <v>59</v>
      </c>
      <c r="J25">
        <f ca="1">J23*J24</f>
        <v>65026800000</v>
      </c>
    </row>
    <row r="26" spans="2:13" x14ac:dyDescent="0.55000000000000004">
      <c r="G26" s="2">
        <f ca="1">G9-J26</f>
        <v>25668824051.128498</v>
      </c>
      <c r="I26" t="s">
        <v>8</v>
      </c>
      <c r="J26" s="2">
        <f ca="1">K5*J4</f>
        <v>3776453250.4215002</v>
      </c>
    </row>
    <row r="27" spans="2:13" x14ac:dyDescent="0.55000000000000004">
      <c r="I27" s="14" t="s">
        <v>61</v>
      </c>
      <c r="J27">
        <f ca="1">_xll.RiskUniform(0.74,0.8)</f>
        <v>0.77</v>
      </c>
    </row>
    <row r="28" spans="2:13" x14ac:dyDescent="0.55000000000000004">
      <c r="I28" s="11" t="s">
        <v>62</v>
      </c>
      <c r="J28" s="3">
        <f ca="1">J27*(J5/1000)*H8*J18</f>
        <v>407101660.39543784</v>
      </c>
    </row>
  </sheetData>
  <mergeCells count="3">
    <mergeCell ref="H6:H7"/>
    <mergeCell ref="L16:M17"/>
    <mergeCell ref="C24:D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7613B-8073-49F7-936F-6EE3356005F8}">
  <dimension ref="A1:S28"/>
  <sheetViews>
    <sheetView zoomScale="77" zoomScaleNormal="77" workbookViewId="0">
      <selection activeCell="B11" sqref="B11"/>
    </sheetView>
  </sheetViews>
  <sheetFormatPr defaultRowHeight="14.4" x14ac:dyDescent="0.55000000000000004"/>
  <cols>
    <col min="1" max="1" width="24.41796875" customWidth="1"/>
    <col min="2" max="2" width="21.83984375" customWidth="1"/>
    <col min="3" max="3" width="22.68359375" customWidth="1"/>
    <col min="4" max="4" width="19.83984375" customWidth="1"/>
    <col min="5" max="5" width="18.26171875" customWidth="1"/>
    <col min="6" max="6" width="26.41796875" customWidth="1"/>
    <col min="7" max="7" width="20.83984375" customWidth="1"/>
    <col min="8" max="8" width="22" bestFit="1" customWidth="1"/>
    <col min="9" max="9" width="25.83984375" customWidth="1"/>
    <col min="10" max="10" width="29.41796875" customWidth="1"/>
    <col min="11" max="11" width="10.578125" customWidth="1"/>
    <col min="12" max="12" width="41.41796875" customWidth="1"/>
    <col min="13" max="13" width="16.68359375" customWidth="1"/>
  </cols>
  <sheetData>
    <row r="1" spans="1:19" x14ac:dyDescent="0.55000000000000004">
      <c r="A1" t="s">
        <v>11</v>
      </c>
      <c r="I1" t="s">
        <v>12</v>
      </c>
    </row>
    <row r="2" spans="1:19" x14ac:dyDescent="0.55000000000000004">
      <c r="L2" t="s">
        <v>20</v>
      </c>
      <c r="M2" s="3">
        <f>J3/76</f>
        <v>10911715.157894736</v>
      </c>
      <c r="O2" t="s">
        <v>15</v>
      </c>
    </row>
    <row r="3" spans="1:19" x14ac:dyDescent="0.55000000000000004">
      <c r="A3" t="s">
        <v>0</v>
      </c>
      <c r="C3" s="1">
        <v>0</v>
      </c>
      <c r="D3" s="1">
        <v>1</v>
      </c>
      <c r="E3" s="1">
        <v>2</v>
      </c>
      <c r="F3" s="1">
        <v>3</v>
      </c>
      <c r="G3" s="1">
        <v>4</v>
      </c>
      <c r="I3" t="s">
        <v>1</v>
      </c>
      <c r="J3" s="2">
        <v>829290352</v>
      </c>
      <c r="L3" t="s">
        <v>14</v>
      </c>
      <c r="M3">
        <f ca="1">_xll.RiskTriang(50000,86000,100000)</f>
        <v>78666.666666666672</v>
      </c>
      <c r="O3" t="s">
        <v>16</v>
      </c>
    </row>
    <row r="4" spans="1:19" x14ac:dyDescent="0.55000000000000004">
      <c r="A4" t="s">
        <v>2</v>
      </c>
      <c r="C4">
        <v>0</v>
      </c>
      <c r="D4">
        <v>30</v>
      </c>
      <c r="E4">
        <v>70</v>
      </c>
      <c r="F4">
        <v>170</v>
      </c>
      <c r="G4">
        <v>240</v>
      </c>
      <c r="I4" t="s">
        <v>3</v>
      </c>
      <c r="J4">
        <f ca="1">_xll.RiskUniform(0,3300)</f>
        <v>1650</v>
      </c>
      <c r="L4" t="s">
        <v>17</v>
      </c>
      <c r="M4">
        <f ca="1">_xll.RiskUniform(20,100)</f>
        <v>60</v>
      </c>
      <c r="O4" t="s">
        <v>23</v>
      </c>
    </row>
    <row r="5" spans="1:19" x14ac:dyDescent="0.55000000000000004">
      <c r="A5" t="s">
        <v>4</v>
      </c>
      <c r="C5">
        <v>0.24</v>
      </c>
      <c r="D5">
        <v>0.59</v>
      </c>
      <c r="E5">
        <v>0.15</v>
      </c>
      <c r="F5">
        <v>0.01</v>
      </c>
      <c r="G5">
        <v>0.01</v>
      </c>
      <c r="I5" t="s">
        <v>5</v>
      </c>
      <c r="J5">
        <f ca="1">_xll.RiskUniform(2.02,3.32)</f>
        <v>2.67</v>
      </c>
      <c r="K5">
        <f ca="1">(J5/1000)*J3</f>
        <v>2214205.2398399999</v>
      </c>
      <c r="L5" t="s">
        <v>19</v>
      </c>
      <c r="M5">
        <f>7.44/1000</f>
        <v>7.4400000000000004E-3</v>
      </c>
      <c r="O5" t="s">
        <v>26</v>
      </c>
    </row>
    <row r="6" spans="1:19" x14ac:dyDescent="0.55000000000000004">
      <c r="A6" t="s">
        <v>6</v>
      </c>
      <c r="C6">
        <f ca="1">_xll.RiskUniform(0.22,0.26)</f>
        <v>0.24</v>
      </c>
      <c r="D6">
        <f ca="1">_xll.RiskUniform(0.57,0.61)</f>
        <v>0.59</v>
      </c>
      <c r="E6">
        <f ca="1">_xll.RiskUniform(0.13,0.17)</f>
        <v>0.15000000000000002</v>
      </c>
      <c r="F6">
        <f ca="1">_xll.RiskUniform(0.01,0.02)</f>
        <v>1.4999999999999999E-2</v>
      </c>
      <c r="G6">
        <f ca="1">_xll.RiskUniform(0.01,0.02)</f>
        <v>1.4999999999999999E-2</v>
      </c>
      <c r="H6" s="15" t="s">
        <v>30</v>
      </c>
      <c r="I6" s="11" t="s">
        <v>13</v>
      </c>
      <c r="J6" s="3">
        <f ca="1">(M4+M5*M3)*M2</f>
        <v>7041111557.0863161</v>
      </c>
      <c r="O6" t="s">
        <v>18</v>
      </c>
      <c r="S6" t="s">
        <v>21</v>
      </c>
    </row>
    <row r="7" spans="1:19" x14ac:dyDescent="0.55000000000000004">
      <c r="A7" s="13" t="s">
        <v>7</v>
      </c>
      <c r="C7">
        <f ca="1">C6*$J$3*C4</f>
        <v>0</v>
      </c>
      <c r="D7" s="2">
        <f ca="1">D6*$J$3*D4</f>
        <v>14678439230.399998</v>
      </c>
      <c r="E7" s="2">
        <f ca="1">E6*$J$3*E4</f>
        <v>8707548696</v>
      </c>
      <c r="F7" s="2">
        <f ca="1">F6*$J$3*F4</f>
        <v>2114690397.5999999</v>
      </c>
      <c r="G7" s="2">
        <f ca="1">G6*$J$3*G4</f>
        <v>2985445267.1999998</v>
      </c>
      <c r="H7" s="15"/>
      <c r="I7" s="11"/>
    </row>
    <row r="8" spans="1:19" x14ac:dyDescent="0.55000000000000004">
      <c r="A8" t="s">
        <v>29</v>
      </c>
      <c r="C8" s="5">
        <f ca="1">$J$3*C6</f>
        <v>199029684.47999999</v>
      </c>
      <c r="D8" s="5">
        <f ca="1">$J$3*D6</f>
        <v>489281307.67999995</v>
      </c>
      <c r="E8" s="5">
        <f ca="1">$J$3*E6</f>
        <v>124393552.80000001</v>
      </c>
      <c r="F8" s="5">
        <f ca="1">$J$3*F6</f>
        <v>12439355.279999999</v>
      </c>
      <c r="G8" s="5">
        <f ca="1">$J$3*G6</f>
        <v>12439355.279999999</v>
      </c>
      <c r="H8" s="6">
        <f ca="1">SUM(D8:G8)</f>
        <v>638553571.03999996</v>
      </c>
      <c r="I8" s="11" t="s">
        <v>22</v>
      </c>
      <c r="J8" s="3">
        <f>M2*45</f>
        <v>491027182.10526311</v>
      </c>
    </row>
    <row r="9" spans="1:19" x14ac:dyDescent="0.55000000000000004">
      <c r="F9" t="s">
        <v>10</v>
      </c>
      <c r="G9" s="12">
        <f ca="1">SUM(C7:G7)</f>
        <v>28486123591.199997</v>
      </c>
      <c r="I9" s="11" t="s">
        <v>24</v>
      </c>
      <c r="J9" s="3">
        <f>4.65*J3</f>
        <v>3856200136.8000002</v>
      </c>
      <c r="L9" t="s">
        <v>32</v>
      </c>
      <c r="M9" s="7">
        <v>7.0000000000000007E-2</v>
      </c>
    </row>
    <row r="10" spans="1:19" x14ac:dyDescent="0.55000000000000004">
      <c r="A10" t="s">
        <v>53</v>
      </c>
      <c r="B10">
        <f ca="1">_xll.RiskNormal(350.37,100)</f>
        <v>350.37</v>
      </c>
      <c r="I10" s="11" t="s">
        <v>25</v>
      </c>
      <c r="J10" s="3">
        <f>4.5*J3</f>
        <v>3731806584</v>
      </c>
      <c r="L10" t="s">
        <v>33</v>
      </c>
      <c r="M10" s="7">
        <v>0.05</v>
      </c>
    </row>
    <row r="11" spans="1:19" x14ac:dyDescent="0.55000000000000004">
      <c r="A11" s="13" t="s">
        <v>54</v>
      </c>
      <c r="B11" s="3">
        <f ca="1">B10*J3</f>
        <v>290558460630.23999</v>
      </c>
      <c r="I11" s="11" t="s">
        <v>27</v>
      </c>
      <c r="J11" s="3">
        <f ca="1">(2.22*(M3/1000))*M2</f>
        <v>1905621935.174737</v>
      </c>
      <c r="L11" t="s">
        <v>60</v>
      </c>
    </row>
    <row r="12" spans="1:19" x14ac:dyDescent="0.55000000000000004">
      <c r="I12" s="11" t="s">
        <v>28</v>
      </c>
      <c r="J12" s="5">
        <f ca="1">((H8*(J5/1000))*J4)</f>
        <v>2813147757.2167201</v>
      </c>
    </row>
    <row r="13" spans="1:19" x14ac:dyDescent="0.55000000000000004">
      <c r="I13" t="s">
        <v>36</v>
      </c>
      <c r="J13" s="2">
        <f ca="1">_xll.RiskUniform(0.05,0.07)</f>
        <v>6.0000000000000005E-2</v>
      </c>
    </row>
    <row r="14" spans="1:19" x14ac:dyDescent="0.55000000000000004">
      <c r="I14" t="s">
        <v>46</v>
      </c>
      <c r="J14" s="2">
        <f ca="1">SUM(D8:G8)</f>
        <v>638553571.03999996</v>
      </c>
    </row>
    <row r="15" spans="1:19" x14ac:dyDescent="0.55000000000000004">
      <c r="I15" t="s">
        <v>47</v>
      </c>
      <c r="J15" s="2">
        <v>3300</v>
      </c>
    </row>
    <row r="16" spans="1:19" x14ac:dyDescent="0.55000000000000004">
      <c r="A16" t="s">
        <v>9</v>
      </c>
      <c r="B16" s="12">
        <f ca="1">_xll.RiskOutput()+FV(3%,3,,-((G9+B11)-(J6+J8+J9+J10+J11+J12+J17+J22+J25+J28)))</f>
        <v>236683307524.10294</v>
      </c>
      <c r="I16" t="s">
        <v>44</v>
      </c>
      <c r="J16" s="2">
        <f ca="1">J13*(J5/1000)*H8</f>
        <v>102296.28208060801</v>
      </c>
      <c r="L16" s="16" t="s">
        <v>31</v>
      </c>
      <c r="M16" s="16"/>
    </row>
    <row r="17" spans="2:13" ht="14.7" thickBot="1" x14ac:dyDescent="0.6">
      <c r="B17" s="8" t="s">
        <v>42</v>
      </c>
      <c r="C17" s="8" t="s">
        <v>38</v>
      </c>
      <c r="D17" s="8" t="s">
        <v>39</v>
      </c>
      <c r="I17" s="11" t="s">
        <v>48</v>
      </c>
      <c r="J17" s="2">
        <f ca="1">J15*J16</f>
        <v>337577730.86600643</v>
      </c>
      <c r="L17" s="16"/>
      <c r="M17" s="16"/>
    </row>
    <row r="18" spans="2:13" x14ac:dyDescent="0.55000000000000004">
      <c r="B18" t="s">
        <v>40</v>
      </c>
      <c r="C18" s="2">
        <f ca="1">SUM(C7:G7)</f>
        <v>28486123591.199997</v>
      </c>
      <c r="D18" s="2"/>
      <c r="I18" s="11" t="s">
        <v>49</v>
      </c>
      <c r="J18">
        <f ca="1">_xll.RiskUniform(200,400)</f>
        <v>300</v>
      </c>
    </row>
    <row r="19" spans="2:13" x14ac:dyDescent="0.55000000000000004">
      <c r="B19" t="s">
        <v>43</v>
      </c>
      <c r="C19" s="2"/>
      <c r="D19" s="2">
        <f ca="1">SUM(J6,J8,J9,J10,J11)</f>
        <v>17025767395.166317</v>
      </c>
      <c r="F19" s="2"/>
      <c r="I19" t="s">
        <v>50</v>
      </c>
      <c r="J19" s="2">
        <f>808.3*1000000000</f>
        <v>808300000000</v>
      </c>
    </row>
    <row r="20" spans="2:13" x14ac:dyDescent="0.55000000000000004">
      <c r="B20" t="s">
        <v>41</v>
      </c>
      <c r="C20" s="2"/>
      <c r="D20" s="2">
        <f ca="1">J12</f>
        <v>2813147757.2167201</v>
      </c>
      <c r="I20" t="s">
        <v>51</v>
      </c>
      <c r="J20" s="3">
        <f>(J19/76)*M2</f>
        <v>1.1605183371218837E+17</v>
      </c>
    </row>
    <row r="21" spans="2:13" x14ac:dyDescent="0.55000000000000004">
      <c r="B21" t="s">
        <v>44</v>
      </c>
      <c r="C21" s="2"/>
      <c r="D21" s="2">
        <f ca="1">J16</f>
        <v>102296.28208060801</v>
      </c>
      <c r="I21" t="s">
        <v>52</v>
      </c>
      <c r="J21">
        <f ca="1">_xll.RiskUniform(4.57,5.77)</f>
        <v>5.17</v>
      </c>
    </row>
    <row r="22" spans="2:13" x14ac:dyDescent="0.55000000000000004">
      <c r="C22" s="2"/>
      <c r="D22" s="2"/>
      <c r="I22" s="11" t="s">
        <v>55</v>
      </c>
      <c r="J22" s="2">
        <f>K22*M2</f>
        <v>19085645863.378883</v>
      </c>
      <c r="K22">
        <v>1749.0967815055387</v>
      </c>
    </row>
    <row r="23" spans="2:13" x14ac:dyDescent="0.55000000000000004">
      <c r="B23" s="9" t="s">
        <v>45</v>
      </c>
      <c r="C23" s="10">
        <f ca="1">SUM(C18:C22)</f>
        <v>28486123591.199997</v>
      </c>
      <c r="D23" s="10">
        <f ca="1">SUM(D18:D22)</f>
        <v>19839017448.665119</v>
      </c>
      <c r="I23" t="s">
        <v>57</v>
      </c>
      <c r="J23">
        <v>418599</v>
      </c>
    </row>
    <row r="24" spans="2:13" x14ac:dyDescent="0.55000000000000004">
      <c r="C24" s="17">
        <f ca="1">C23-D23</f>
        <v>8647106142.5348778</v>
      </c>
      <c r="D24" s="18"/>
      <c r="I24" t="s">
        <v>58</v>
      </c>
      <c r="J24">
        <f ca="1">_xll.RiskTriang(30000,70000,350000)</f>
        <v>150000</v>
      </c>
    </row>
    <row r="25" spans="2:13" x14ac:dyDescent="0.55000000000000004">
      <c r="I25" s="11" t="s">
        <v>59</v>
      </c>
      <c r="J25">
        <f ca="1">J23*J24</f>
        <v>62789850000</v>
      </c>
    </row>
    <row r="26" spans="2:13" x14ac:dyDescent="0.55000000000000004">
      <c r="G26" s="2">
        <f ca="1">G9-J26</f>
        <v>24832684945.463997</v>
      </c>
      <c r="I26" t="s">
        <v>8</v>
      </c>
      <c r="J26" s="2">
        <f ca="1">K5*J4</f>
        <v>3653438645.7360001</v>
      </c>
    </row>
    <row r="27" spans="2:13" x14ac:dyDescent="0.55000000000000004">
      <c r="I27" s="14" t="s">
        <v>61</v>
      </c>
      <c r="J27">
        <f ca="1">_xll.RiskUniform(0.74,0.8)</f>
        <v>0.77</v>
      </c>
    </row>
    <row r="28" spans="2:13" x14ac:dyDescent="0.55000000000000004">
      <c r="I28" s="11" t="s">
        <v>62</v>
      </c>
      <c r="J28" s="3">
        <f ca="1">J27*(J5/1000)*H8*J18</f>
        <v>393840686.01034081</v>
      </c>
    </row>
  </sheetData>
  <mergeCells count="3">
    <mergeCell ref="H6:H7"/>
    <mergeCell ref="L16:M17"/>
    <mergeCell ref="C24:D2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0E7B7-F745-47F6-A41B-D37DB60E7A87}">
  <dimension ref="A1:S28"/>
  <sheetViews>
    <sheetView topLeftCell="C1" zoomScale="77" zoomScaleNormal="77" workbookViewId="0">
      <selection activeCell="J13" sqref="J13"/>
    </sheetView>
  </sheetViews>
  <sheetFormatPr defaultRowHeight="14.4" x14ac:dyDescent="0.55000000000000004"/>
  <cols>
    <col min="1" max="1" width="24.41796875" customWidth="1"/>
    <col min="2" max="2" width="21.83984375" customWidth="1"/>
    <col min="3" max="3" width="22.68359375" customWidth="1"/>
    <col min="4" max="4" width="19.83984375" customWidth="1"/>
    <col min="5" max="5" width="18.26171875" customWidth="1"/>
    <col min="6" max="6" width="26.41796875" customWidth="1"/>
    <col min="7" max="7" width="20.83984375" customWidth="1"/>
    <col min="8" max="8" width="22" bestFit="1" customWidth="1"/>
    <col min="9" max="9" width="25.83984375" customWidth="1"/>
    <col min="10" max="10" width="29.41796875" customWidth="1"/>
    <col min="11" max="11" width="10.578125" customWidth="1"/>
    <col min="12" max="12" width="41.41796875" customWidth="1"/>
    <col min="13" max="13" width="16.68359375" customWidth="1"/>
  </cols>
  <sheetData>
    <row r="1" spans="1:19" x14ac:dyDescent="0.55000000000000004">
      <c r="A1" t="s">
        <v>11</v>
      </c>
      <c r="I1" t="s">
        <v>12</v>
      </c>
    </row>
    <row r="2" spans="1:19" x14ac:dyDescent="0.55000000000000004">
      <c r="L2" t="s">
        <v>20</v>
      </c>
      <c r="M2" s="3">
        <f>J3/76</f>
        <v>526315.78947368416</v>
      </c>
      <c r="O2" t="s">
        <v>15</v>
      </c>
    </row>
    <row r="3" spans="1:19" x14ac:dyDescent="0.55000000000000004">
      <c r="A3" t="s">
        <v>0</v>
      </c>
      <c r="C3" s="1">
        <v>0</v>
      </c>
      <c r="D3" s="1">
        <v>1</v>
      </c>
      <c r="E3" s="1">
        <v>2</v>
      </c>
      <c r="F3" s="1">
        <v>3</v>
      </c>
      <c r="G3" s="1">
        <v>4</v>
      </c>
      <c r="I3" t="s">
        <v>1</v>
      </c>
      <c r="J3" s="2">
        <v>40000000</v>
      </c>
      <c r="L3" t="s">
        <v>14</v>
      </c>
      <c r="M3">
        <f ca="1">_xll.RiskTriang(50000,86000,100000)</f>
        <v>78666.666666666672</v>
      </c>
      <c r="O3" t="s">
        <v>16</v>
      </c>
    </row>
    <row r="4" spans="1:19" x14ac:dyDescent="0.55000000000000004">
      <c r="A4" t="s">
        <v>2</v>
      </c>
      <c r="C4">
        <v>0</v>
      </c>
      <c r="D4">
        <v>30</v>
      </c>
      <c r="E4">
        <v>70</v>
      </c>
      <c r="F4">
        <v>170</v>
      </c>
      <c r="G4">
        <v>240</v>
      </c>
      <c r="I4" t="s">
        <v>3</v>
      </c>
      <c r="J4">
        <f ca="1">_xll.RiskUniform(0,3300)</f>
        <v>1650</v>
      </c>
      <c r="L4" t="s">
        <v>17</v>
      </c>
      <c r="M4">
        <f ca="1">_xll.RiskUniform(20,100)</f>
        <v>60</v>
      </c>
      <c r="O4" t="s">
        <v>23</v>
      </c>
    </row>
    <row r="5" spans="1:19" x14ac:dyDescent="0.55000000000000004">
      <c r="A5" t="s">
        <v>4</v>
      </c>
      <c r="C5">
        <v>0.24</v>
      </c>
      <c r="D5">
        <v>0.59</v>
      </c>
      <c r="E5">
        <v>0.15</v>
      </c>
      <c r="F5">
        <v>0.01</v>
      </c>
      <c r="G5">
        <v>0.01</v>
      </c>
      <c r="I5" t="s">
        <v>5</v>
      </c>
      <c r="J5">
        <f ca="1">_xll.RiskUniform(2.02,3.32)</f>
        <v>2.67</v>
      </c>
      <c r="K5">
        <f ca="1">(J5/1000)*J3</f>
        <v>106800</v>
      </c>
      <c r="L5" t="s">
        <v>19</v>
      </c>
      <c r="M5">
        <f>7.44/1000</f>
        <v>7.4400000000000004E-3</v>
      </c>
      <c r="O5" t="s">
        <v>26</v>
      </c>
    </row>
    <row r="6" spans="1:19" x14ac:dyDescent="0.55000000000000004">
      <c r="A6" t="s">
        <v>6</v>
      </c>
      <c r="C6">
        <f ca="1">_xll.RiskUniform(0.22,0.26)</f>
        <v>0.24</v>
      </c>
      <c r="D6">
        <f ca="1">_xll.RiskUniform(0.57,0.61)</f>
        <v>0.59</v>
      </c>
      <c r="E6">
        <f ca="1">_xll.RiskUniform(0.13,0.17)</f>
        <v>0.15000000000000002</v>
      </c>
      <c r="F6">
        <f ca="1">_xll.RiskUniform(0.01,0.02)</f>
        <v>1.4999999999999999E-2</v>
      </c>
      <c r="G6">
        <f ca="1">_xll.RiskUniform(0.01,0.02)</f>
        <v>1.4999999999999999E-2</v>
      </c>
      <c r="H6" s="15" t="s">
        <v>30</v>
      </c>
      <c r="I6" s="11" t="s">
        <v>13</v>
      </c>
      <c r="J6" s="3">
        <f ca="1">(M4+M5*M3)*M2</f>
        <v>339621052.63157898</v>
      </c>
      <c r="O6" t="s">
        <v>18</v>
      </c>
      <c r="S6" t="s">
        <v>21</v>
      </c>
    </row>
    <row r="7" spans="1:19" x14ac:dyDescent="0.55000000000000004">
      <c r="A7" s="13" t="s">
        <v>7</v>
      </c>
      <c r="C7">
        <f ca="1">C6*$J$3*C4</f>
        <v>0</v>
      </c>
      <c r="D7" s="2">
        <f ca="1">D6*$J$3*D4</f>
        <v>708000000</v>
      </c>
      <c r="E7" s="2">
        <f ca="1">E6*$J$3*E4</f>
        <v>420000000.00000006</v>
      </c>
      <c r="F7" s="2">
        <f ca="1">F6*$J$3*F4</f>
        <v>102000000</v>
      </c>
      <c r="G7" s="2">
        <f ca="1">G6*$J$3*G4</f>
        <v>144000000</v>
      </c>
      <c r="H7" s="15"/>
      <c r="I7" s="11"/>
    </row>
    <row r="8" spans="1:19" x14ac:dyDescent="0.55000000000000004">
      <c r="A8" t="s">
        <v>29</v>
      </c>
      <c r="C8" s="5">
        <f ca="1">$J$3*C6</f>
        <v>9600000</v>
      </c>
      <c r="D8" s="5">
        <f ca="1">$J$3*D6</f>
        <v>23600000</v>
      </c>
      <c r="E8" s="5">
        <f ca="1">$J$3*E6</f>
        <v>6000000.0000000009</v>
      </c>
      <c r="F8" s="5">
        <f ca="1">$J$3*F6</f>
        <v>600000</v>
      </c>
      <c r="G8" s="5">
        <f ca="1">$J$3*G6</f>
        <v>600000</v>
      </c>
      <c r="H8" s="6">
        <f ca="1">SUM(D8:G8)</f>
        <v>30800000</v>
      </c>
      <c r="I8" s="11" t="s">
        <v>22</v>
      </c>
      <c r="J8" s="3">
        <f>M2*45</f>
        <v>23684210.526315786</v>
      </c>
    </row>
    <row r="9" spans="1:19" x14ac:dyDescent="0.55000000000000004">
      <c r="F9" t="s">
        <v>10</v>
      </c>
      <c r="G9" s="12">
        <f ca="1">SUM(C7:G7)</f>
        <v>1374000000</v>
      </c>
      <c r="I9" s="11" t="s">
        <v>24</v>
      </c>
      <c r="J9" s="3">
        <f>4.65*J3</f>
        <v>186000000</v>
      </c>
      <c r="L9" t="s">
        <v>32</v>
      </c>
      <c r="M9" s="7">
        <v>7.0000000000000007E-2</v>
      </c>
    </row>
    <row r="10" spans="1:19" x14ac:dyDescent="0.55000000000000004">
      <c r="A10" t="s">
        <v>53</v>
      </c>
      <c r="B10">
        <f ca="1">_xll.RiskNormal(350.37,100)</f>
        <v>350.37</v>
      </c>
      <c r="I10" s="11" t="s">
        <v>25</v>
      </c>
      <c r="J10" s="3">
        <f>4.5*J3</f>
        <v>180000000</v>
      </c>
      <c r="L10" t="s">
        <v>33</v>
      </c>
      <c r="M10" s="7">
        <v>0.05</v>
      </c>
    </row>
    <row r="11" spans="1:19" x14ac:dyDescent="0.55000000000000004">
      <c r="A11" s="13" t="s">
        <v>54</v>
      </c>
      <c r="B11" s="3">
        <f ca="1">B10*J3</f>
        <v>14014800000</v>
      </c>
      <c r="I11" s="11" t="s">
        <v>27</v>
      </c>
      <c r="J11" s="3">
        <f ca="1">(2.22*(M3/1000))*M2</f>
        <v>91915789.473684207</v>
      </c>
      <c r="L11" t="s">
        <v>60</v>
      </c>
    </row>
    <row r="12" spans="1:19" x14ac:dyDescent="0.55000000000000004">
      <c r="I12" s="11" t="s">
        <v>28</v>
      </c>
      <c r="J12" s="5">
        <f ca="1">((H8*(J5/1000))*J4)</f>
        <v>135689400</v>
      </c>
    </row>
    <row r="13" spans="1:19" x14ac:dyDescent="0.55000000000000004">
      <c r="I13" t="s">
        <v>36</v>
      </c>
      <c r="J13" s="2">
        <f ca="1">_xll.RiskUniform(0.05,0.07)</f>
        <v>6.0000000000000005E-2</v>
      </c>
    </row>
    <row r="14" spans="1:19" x14ac:dyDescent="0.55000000000000004">
      <c r="I14" t="s">
        <v>46</v>
      </c>
      <c r="J14" s="2">
        <f ca="1">SUM(D8:G8)</f>
        <v>30800000</v>
      </c>
    </row>
    <row r="15" spans="1:19" x14ac:dyDescent="0.55000000000000004">
      <c r="I15" t="s">
        <v>47</v>
      </c>
      <c r="J15" s="2">
        <v>3300</v>
      </c>
    </row>
    <row r="16" spans="1:19" x14ac:dyDescent="0.55000000000000004">
      <c r="A16" t="s">
        <v>9</v>
      </c>
      <c r="B16" s="12">
        <f ca="1">_xll.RiskOutput()+(G9+B11)-(J6+J8+J9+J10+J11+J12+J17+J22+J25+J28)</f>
        <v>8976033049.9444542</v>
      </c>
      <c r="I16" t="s">
        <v>44</v>
      </c>
      <c r="J16" s="2">
        <f ca="1">J13*(J5/1000)*H8</f>
        <v>4934.1600000000008</v>
      </c>
      <c r="L16" s="16" t="s">
        <v>31</v>
      </c>
      <c r="M16" s="16"/>
    </row>
    <row r="17" spans="2:13" ht="14.7" thickBot="1" x14ac:dyDescent="0.6">
      <c r="B17" s="8" t="s">
        <v>42</v>
      </c>
      <c r="C17" s="8" t="s">
        <v>38</v>
      </c>
      <c r="D17" s="8" t="s">
        <v>39</v>
      </c>
      <c r="I17" s="11" t="s">
        <v>48</v>
      </c>
      <c r="J17" s="2">
        <f ca="1">J15*J16</f>
        <v>16282728.000000002</v>
      </c>
      <c r="L17" s="16"/>
      <c r="M17" s="16"/>
    </row>
    <row r="18" spans="2:13" x14ac:dyDescent="0.55000000000000004">
      <c r="B18" t="s">
        <v>40</v>
      </c>
      <c r="C18" s="2">
        <f ca="1">SUM(C7:G7)</f>
        <v>1374000000</v>
      </c>
      <c r="D18" s="2"/>
      <c r="I18" s="11" t="s">
        <v>49</v>
      </c>
      <c r="J18">
        <f ca="1">_xll.RiskUniform(200,400)</f>
        <v>300</v>
      </c>
    </row>
    <row r="19" spans="2:13" x14ac:dyDescent="0.55000000000000004">
      <c r="B19" t="s">
        <v>43</v>
      </c>
      <c r="C19" s="2"/>
      <c r="D19" s="2">
        <f ca="1">SUM(J6,J8,J9,J10,J11)</f>
        <v>821221052.63157904</v>
      </c>
      <c r="F19" s="2"/>
      <c r="I19" t="s">
        <v>50</v>
      </c>
      <c r="J19" s="2">
        <f>808.3*1000000000</f>
        <v>808300000000</v>
      </c>
    </row>
    <row r="20" spans="2:13" x14ac:dyDescent="0.55000000000000004">
      <c r="B20" t="s">
        <v>41</v>
      </c>
      <c r="C20" s="2"/>
      <c r="D20" s="2">
        <f ca="1">J12</f>
        <v>135689400</v>
      </c>
      <c r="I20" t="s">
        <v>51</v>
      </c>
      <c r="J20" s="3">
        <f>(J19/76)*M2</f>
        <v>5597645429362881</v>
      </c>
    </row>
    <row r="21" spans="2:13" x14ac:dyDescent="0.55000000000000004">
      <c r="B21" t="s">
        <v>44</v>
      </c>
      <c r="C21" s="2"/>
      <c r="D21" s="2">
        <f ca="1">J16</f>
        <v>4934.1600000000008</v>
      </c>
      <c r="I21" t="s">
        <v>52</v>
      </c>
      <c r="J21">
        <f ca="1">_xll.RiskUniform(4.57,5.77)</f>
        <v>5.17</v>
      </c>
    </row>
    <row r="22" spans="2:13" x14ac:dyDescent="0.55000000000000004">
      <c r="C22" s="2"/>
      <c r="D22" s="2"/>
      <c r="I22" s="11" t="s">
        <v>55</v>
      </c>
      <c r="J22" s="2">
        <f>K22*M2</f>
        <v>920577253.4239676</v>
      </c>
      <c r="K22">
        <v>1749.0967815055387</v>
      </c>
    </row>
    <row r="23" spans="2:13" x14ac:dyDescent="0.55000000000000004">
      <c r="B23" s="9" t="s">
        <v>45</v>
      </c>
      <c r="C23" s="10">
        <f ca="1">SUM(C18:C22)</f>
        <v>1374000000</v>
      </c>
      <c r="D23" s="10">
        <f ca="1">SUM(D18:D22)</f>
        <v>956915386.79157901</v>
      </c>
      <c r="I23" t="s">
        <v>57</v>
      </c>
      <c r="J23">
        <v>30000</v>
      </c>
    </row>
    <row r="24" spans="2:13" x14ac:dyDescent="0.55000000000000004">
      <c r="C24" s="17">
        <f ca="1">C23-D23</f>
        <v>417084613.20842099</v>
      </c>
      <c r="D24" s="18"/>
      <c r="I24" t="s">
        <v>58</v>
      </c>
      <c r="J24">
        <f ca="1">_xll.RiskTriang(30000,70000,350000)</f>
        <v>150000</v>
      </c>
    </row>
    <row r="25" spans="2:13" x14ac:dyDescent="0.55000000000000004">
      <c r="I25" s="11" t="s">
        <v>59</v>
      </c>
      <c r="J25">
        <f ca="1">J23*J24</f>
        <v>4500000000</v>
      </c>
    </row>
    <row r="26" spans="2:13" x14ac:dyDescent="0.55000000000000004">
      <c r="G26" s="2">
        <f ca="1">G9-J26</f>
        <v>1197780000</v>
      </c>
      <c r="I26" t="s">
        <v>8</v>
      </c>
      <c r="J26" s="2">
        <f ca="1">K5*J4</f>
        <v>176220000</v>
      </c>
    </row>
    <row r="27" spans="2:13" x14ac:dyDescent="0.55000000000000004">
      <c r="I27" s="14" t="s">
        <v>61</v>
      </c>
      <c r="J27">
        <f ca="1">_xll.RiskUniform(0.74,0.8)</f>
        <v>0.77</v>
      </c>
    </row>
    <row r="28" spans="2:13" x14ac:dyDescent="0.55000000000000004">
      <c r="I28" s="11" t="s">
        <v>62</v>
      </c>
      <c r="J28" s="3">
        <f ca="1">J27*(J5/1000)*H8*J18</f>
        <v>18996516.000000004</v>
      </c>
    </row>
  </sheetData>
  <mergeCells count="3">
    <mergeCell ref="H6:H7"/>
    <mergeCell ref="L16:M17"/>
    <mergeCell ref="C24:D2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8EAA8-3AFB-43BF-8590-A426090AD2A2}">
  <dimension ref="A1:S28"/>
  <sheetViews>
    <sheetView zoomScale="60" zoomScaleNormal="60" workbookViewId="0">
      <selection activeCell="B16" sqref="B16"/>
    </sheetView>
  </sheetViews>
  <sheetFormatPr defaultRowHeight="14.4" x14ac:dyDescent="0.55000000000000004"/>
  <cols>
    <col min="1" max="1" width="24.41796875" customWidth="1"/>
    <col min="2" max="2" width="21.83984375" customWidth="1"/>
    <col min="3" max="3" width="22.68359375" customWidth="1"/>
    <col min="4" max="4" width="19.83984375" customWidth="1"/>
    <col min="5" max="5" width="18.26171875" customWidth="1"/>
    <col min="6" max="6" width="26.41796875" customWidth="1"/>
    <col min="7" max="7" width="20.83984375" customWidth="1"/>
    <col min="8" max="8" width="22" bestFit="1" customWidth="1"/>
    <col min="9" max="9" width="25.83984375" customWidth="1"/>
    <col min="10" max="10" width="29.41796875" customWidth="1"/>
    <col min="11" max="11" width="10.578125" customWidth="1"/>
    <col min="12" max="12" width="41.41796875" customWidth="1"/>
    <col min="13" max="13" width="16.68359375" customWidth="1"/>
  </cols>
  <sheetData>
    <row r="1" spans="1:19" x14ac:dyDescent="0.55000000000000004">
      <c r="A1" t="s">
        <v>11</v>
      </c>
      <c r="I1" t="s">
        <v>12</v>
      </c>
    </row>
    <row r="2" spans="1:19" x14ac:dyDescent="0.55000000000000004">
      <c r="L2" t="s">
        <v>20</v>
      </c>
      <c r="M2" s="3">
        <f>J3/76</f>
        <v>65.78947368421052</v>
      </c>
      <c r="O2" t="s">
        <v>15</v>
      </c>
    </row>
    <row r="3" spans="1:19" x14ac:dyDescent="0.55000000000000004">
      <c r="A3" t="s">
        <v>0</v>
      </c>
      <c r="C3" s="1">
        <v>0</v>
      </c>
      <c r="D3" s="1">
        <v>1</v>
      </c>
      <c r="E3" s="1">
        <v>2</v>
      </c>
      <c r="F3" s="1">
        <v>3</v>
      </c>
      <c r="G3" s="1">
        <v>4</v>
      </c>
      <c r="I3" t="s">
        <v>1</v>
      </c>
      <c r="J3" s="2">
        <v>5000</v>
      </c>
      <c r="L3" t="s">
        <v>14</v>
      </c>
      <c r="M3">
        <f ca="1">_xll.RiskTriang(50000,86000,100000)</f>
        <v>78666.666666666672</v>
      </c>
      <c r="O3" t="s">
        <v>16</v>
      </c>
    </row>
    <row r="4" spans="1:19" x14ac:dyDescent="0.55000000000000004">
      <c r="A4" t="s">
        <v>2</v>
      </c>
      <c r="C4">
        <v>0</v>
      </c>
      <c r="D4">
        <v>30</v>
      </c>
      <c r="E4">
        <v>70</v>
      </c>
      <c r="F4">
        <v>170</v>
      </c>
      <c r="G4">
        <v>240</v>
      </c>
      <c r="I4" t="s">
        <v>3</v>
      </c>
      <c r="J4">
        <f ca="1">_xll.RiskUniform(0,3300)</f>
        <v>1650</v>
      </c>
      <c r="L4" t="s">
        <v>17</v>
      </c>
      <c r="M4">
        <f ca="1">_xll.RiskUniform(20,100)</f>
        <v>60</v>
      </c>
      <c r="O4" t="s">
        <v>23</v>
      </c>
    </row>
    <row r="5" spans="1:19" x14ac:dyDescent="0.55000000000000004">
      <c r="A5" t="s">
        <v>4</v>
      </c>
      <c r="C5">
        <v>0.24</v>
      </c>
      <c r="D5">
        <v>0.59</v>
      </c>
      <c r="E5">
        <v>0.15</v>
      </c>
      <c r="F5">
        <v>0.01</v>
      </c>
      <c r="G5">
        <v>0.01</v>
      </c>
      <c r="I5" t="s">
        <v>5</v>
      </c>
      <c r="J5">
        <f ca="1">_xll.RiskUniform(2.02,3.32)</f>
        <v>2.67</v>
      </c>
      <c r="K5">
        <f ca="1">(J5/1000)*J3</f>
        <v>13.35</v>
      </c>
      <c r="L5" t="s">
        <v>19</v>
      </c>
      <c r="M5">
        <f>7.44/1000</f>
        <v>7.4400000000000004E-3</v>
      </c>
      <c r="O5" t="s">
        <v>26</v>
      </c>
    </row>
    <row r="6" spans="1:19" x14ac:dyDescent="0.55000000000000004">
      <c r="A6" t="s">
        <v>6</v>
      </c>
      <c r="C6">
        <f ca="1">_xll.RiskUniform(0.22,0.26)</f>
        <v>0.24</v>
      </c>
      <c r="D6">
        <f ca="1">_xll.RiskUniform(0.57,0.61)</f>
        <v>0.59</v>
      </c>
      <c r="E6">
        <f ca="1">_xll.RiskUniform(0.13,0.17)</f>
        <v>0.15000000000000002</v>
      </c>
      <c r="F6">
        <f ca="1">_xll.RiskUniform(0.01,0.02)</f>
        <v>1.4999999999999999E-2</v>
      </c>
      <c r="G6">
        <f ca="1">_xll.RiskUniform(0.01,0.02)</f>
        <v>1.4999999999999999E-2</v>
      </c>
      <c r="H6" s="15" t="s">
        <v>30</v>
      </c>
      <c r="I6" s="11" t="s">
        <v>13</v>
      </c>
      <c r="J6" s="3">
        <f ca="1">(M4+M5*M3)*M2</f>
        <v>42452.631578947374</v>
      </c>
      <c r="O6" t="s">
        <v>18</v>
      </c>
      <c r="S6" t="s">
        <v>21</v>
      </c>
    </row>
    <row r="7" spans="1:19" x14ac:dyDescent="0.55000000000000004">
      <c r="A7" s="13" t="s">
        <v>7</v>
      </c>
      <c r="C7">
        <f ca="1">C6*$J$3*C4</f>
        <v>0</v>
      </c>
      <c r="D7" s="2">
        <f ca="1">D6*$J$3*D4</f>
        <v>88500</v>
      </c>
      <c r="E7" s="2">
        <f ca="1">E6*$J$3*E4</f>
        <v>52500.000000000007</v>
      </c>
      <c r="F7" s="2">
        <f ca="1">F6*$J$3*F4</f>
        <v>12750</v>
      </c>
      <c r="G7" s="2">
        <f ca="1">G6*$J$3*G4</f>
        <v>18000</v>
      </c>
      <c r="H7" s="15"/>
      <c r="I7" s="11"/>
    </row>
    <row r="8" spans="1:19" x14ac:dyDescent="0.55000000000000004">
      <c r="A8" t="s">
        <v>29</v>
      </c>
      <c r="C8" s="5">
        <f ca="1">$J$3*C6</f>
        <v>1200</v>
      </c>
      <c r="D8" s="5">
        <f ca="1">$J$3*D6</f>
        <v>2950</v>
      </c>
      <c r="E8" s="5">
        <f ca="1">$J$3*E6</f>
        <v>750.00000000000011</v>
      </c>
      <c r="F8" s="5">
        <f ca="1">$J$3*F6</f>
        <v>75</v>
      </c>
      <c r="G8" s="5">
        <f ca="1">$J$3*G6</f>
        <v>75</v>
      </c>
      <c r="H8" s="6">
        <f ca="1">SUM(D8:G8)</f>
        <v>3850</v>
      </c>
      <c r="I8" s="11" t="s">
        <v>22</v>
      </c>
      <c r="J8" s="3">
        <f>M2*45</f>
        <v>2960.5263157894733</v>
      </c>
    </row>
    <row r="9" spans="1:19" x14ac:dyDescent="0.55000000000000004">
      <c r="F9" t="s">
        <v>10</v>
      </c>
      <c r="G9" s="12">
        <f ca="1">SUM(C7:G7)</f>
        <v>171750</v>
      </c>
      <c r="I9" s="11" t="s">
        <v>24</v>
      </c>
      <c r="J9" s="3">
        <f>4.65*J3</f>
        <v>23250</v>
      </c>
      <c r="L9" t="s">
        <v>32</v>
      </c>
      <c r="M9" s="7">
        <v>7.0000000000000007E-2</v>
      </c>
    </row>
    <row r="10" spans="1:19" x14ac:dyDescent="0.55000000000000004">
      <c r="A10" t="s">
        <v>53</v>
      </c>
      <c r="B10">
        <f ca="1">_xll.RiskNormal(350.37,100)</f>
        <v>350.37</v>
      </c>
      <c r="I10" s="11" t="s">
        <v>25</v>
      </c>
      <c r="J10" s="3">
        <f>4.5*J3</f>
        <v>22500</v>
      </c>
      <c r="L10" t="s">
        <v>33</v>
      </c>
      <c r="M10" s="7">
        <v>0.05</v>
      </c>
    </row>
    <row r="11" spans="1:19" x14ac:dyDescent="0.55000000000000004">
      <c r="A11" s="13" t="s">
        <v>54</v>
      </c>
      <c r="B11" s="3">
        <f ca="1">B10*J3</f>
        <v>1751850</v>
      </c>
      <c r="I11" s="11" t="s">
        <v>27</v>
      </c>
      <c r="J11" s="3">
        <f ca="1">(2.22*(M3/1000))*M2</f>
        <v>11489.473684210527</v>
      </c>
      <c r="L11" t="s">
        <v>60</v>
      </c>
    </row>
    <row r="12" spans="1:19" x14ac:dyDescent="0.55000000000000004">
      <c r="I12" s="11" t="s">
        <v>28</v>
      </c>
      <c r="J12" s="5">
        <f ca="1">((H8*(J5/1000))*J4)</f>
        <v>16961.174999999999</v>
      </c>
    </row>
    <row r="13" spans="1:19" x14ac:dyDescent="0.55000000000000004">
      <c r="I13" t="s">
        <v>36</v>
      </c>
      <c r="J13" s="2">
        <f ca="1">_xll.RiskUniform(0.05,0.07)</f>
        <v>6.0000000000000005E-2</v>
      </c>
    </row>
    <row r="14" spans="1:19" x14ac:dyDescent="0.55000000000000004">
      <c r="I14" t="s">
        <v>46</v>
      </c>
      <c r="J14" s="2">
        <f ca="1">SUM(D8:G8)</f>
        <v>3850</v>
      </c>
    </row>
    <row r="15" spans="1:19" x14ac:dyDescent="0.55000000000000004">
      <c r="I15" t="s">
        <v>47</v>
      </c>
      <c r="J15" s="2">
        <v>3300</v>
      </c>
    </row>
    <row r="16" spans="1:19" x14ac:dyDescent="0.55000000000000004">
      <c r="A16" t="s">
        <v>9</v>
      </c>
      <c r="B16" s="12">
        <f ca="1">_xll.RiskOutput()+(G9+B11)-(J6+J11+J12+J17+J22+J25)</f>
        <v>-4931077.4446078204</v>
      </c>
      <c r="I16" t="s">
        <v>44</v>
      </c>
      <c r="J16" s="2">
        <f ca="1">J13*(J5/1000)*H8</f>
        <v>0.61677000000000004</v>
      </c>
      <c r="L16" s="16" t="s">
        <v>31</v>
      </c>
      <c r="M16" s="16"/>
    </row>
    <row r="17" spans="2:13" ht="14.7" thickBot="1" x14ac:dyDescent="0.6">
      <c r="B17" s="8" t="s">
        <v>42</v>
      </c>
      <c r="C17" s="8" t="s">
        <v>38</v>
      </c>
      <c r="D17" s="8" t="s">
        <v>39</v>
      </c>
      <c r="I17" s="11" t="s">
        <v>48</v>
      </c>
      <c r="J17" s="2">
        <f ca="1">J15*J16</f>
        <v>2035.3410000000001</v>
      </c>
      <c r="L17" s="16"/>
      <c r="M17" s="16"/>
    </row>
    <row r="18" spans="2:13" x14ac:dyDescent="0.55000000000000004">
      <c r="B18" t="s">
        <v>40</v>
      </c>
      <c r="C18" s="2">
        <f ca="1">SUM(C7:G7)</f>
        <v>171750</v>
      </c>
      <c r="D18" s="2"/>
      <c r="I18" s="11" t="s">
        <v>49</v>
      </c>
      <c r="J18">
        <f ca="1">_xll.RiskUniform(200,400)</f>
        <v>300</v>
      </c>
    </row>
    <row r="19" spans="2:13" x14ac:dyDescent="0.55000000000000004">
      <c r="B19" t="s">
        <v>43</v>
      </c>
      <c r="C19" s="2"/>
      <c r="D19" s="2">
        <f ca="1">SUM(J6,J8,J9,J10,J11)</f>
        <v>102652.63157894739</v>
      </c>
      <c r="F19" s="2"/>
      <c r="I19" t="s">
        <v>50</v>
      </c>
      <c r="J19" s="2">
        <f>808.3*1000000000</f>
        <v>808300000000</v>
      </c>
    </row>
    <row r="20" spans="2:13" x14ac:dyDescent="0.55000000000000004">
      <c r="B20" t="s">
        <v>41</v>
      </c>
      <c r="C20" s="2"/>
      <c r="D20" s="2">
        <f ca="1">J12</f>
        <v>16961.174999999999</v>
      </c>
      <c r="I20" t="s">
        <v>51</v>
      </c>
      <c r="J20" s="3">
        <f>(J19/76)*M2</f>
        <v>699705678670.36011</v>
      </c>
    </row>
    <row r="21" spans="2:13" x14ac:dyDescent="0.55000000000000004">
      <c r="B21" t="s">
        <v>44</v>
      </c>
      <c r="C21" s="2"/>
      <c r="D21" s="2">
        <f ca="1">J16</f>
        <v>0.61677000000000004</v>
      </c>
      <c r="I21" t="s">
        <v>52</v>
      </c>
      <c r="J21">
        <f ca="1">_xll.RiskUniform(4.57,5.77)</f>
        <v>5.17</v>
      </c>
    </row>
    <row r="22" spans="2:13" x14ac:dyDescent="0.55000000000000004">
      <c r="C22" s="2"/>
      <c r="D22" s="2"/>
      <c r="I22" s="11" t="s">
        <v>55</v>
      </c>
      <c r="J22" s="2">
        <f>K22*M2</f>
        <v>115072.15667799595</v>
      </c>
      <c r="K22">
        <v>1749.0967815055387</v>
      </c>
    </row>
    <row r="23" spans="2:13" x14ac:dyDescent="0.55000000000000004">
      <c r="B23" s="9" t="s">
        <v>45</v>
      </c>
      <c r="C23" s="10">
        <f ca="1">SUM(C18:C22)</f>
        <v>171750</v>
      </c>
      <c r="D23" s="10">
        <f ca="1">SUM(D18:D22)</f>
        <v>119614.42334894738</v>
      </c>
      <c r="I23" t="s">
        <v>57</v>
      </c>
      <c r="J23">
        <v>100</v>
      </c>
    </row>
    <row r="24" spans="2:13" x14ac:dyDescent="0.55000000000000004">
      <c r="C24" s="17">
        <f ca="1">C23-D23</f>
        <v>52135.576651052615</v>
      </c>
      <c r="D24" s="18"/>
      <c r="I24" t="s">
        <v>58</v>
      </c>
      <c r="J24" s="2">
        <f ca="1">_xll.RiskTriang(30000,70000,100000)</f>
        <v>66666.666666666672</v>
      </c>
    </row>
    <row r="25" spans="2:13" x14ac:dyDescent="0.55000000000000004">
      <c r="I25" s="11" t="s">
        <v>59</v>
      </c>
      <c r="J25" s="2">
        <f ca="1">J23*J24</f>
        <v>6666666.666666667</v>
      </c>
    </row>
    <row r="26" spans="2:13" x14ac:dyDescent="0.55000000000000004">
      <c r="G26" s="2">
        <f ca="1">G9-J26</f>
        <v>149722.5</v>
      </c>
      <c r="I26" t="s">
        <v>8</v>
      </c>
      <c r="J26" s="2">
        <f ca="1">K5*J4</f>
        <v>22027.5</v>
      </c>
    </row>
    <row r="27" spans="2:13" x14ac:dyDescent="0.55000000000000004">
      <c r="I27" s="14" t="s">
        <v>61</v>
      </c>
      <c r="J27" s="2">
        <f ca="1">_xll.RiskUniform(0.74,0.8)</f>
        <v>0.77</v>
      </c>
    </row>
    <row r="28" spans="2:13" x14ac:dyDescent="0.55000000000000004">
      <c r="I28" s="11" t="s">
        <v>62</v>
      </c>
      <c r="J28" s="2">
        <f ca="1">J27*(J5/1000)*H8*J18</f>
        <v>2374.5645000000004</v>
      </c>
    </row>
  </sheetData>
  <mergeCells count="3">
    <mergeCell ref="H6:H7"/>
    <mergeCell ref="L16:M17"/>
    <mergeCell ref="C24:D2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6FCDE-B574-4C1F-BE6F-E8977907EEAE}">
  <dimension ref="A1:J12"/>
  <sheetViews>
    <sheetView tabSelected="1" workbookViewId="0">
      <selection activeCell="G17" sqref="G17"/>
    </sheetView>
  </sheetViews>
  <sheetFormatPr defaultRowHeight="14.4" x14ac:dyDescent="0.55000000000000004"/>
  <cols>
    <col min="1" max="1" width="10.47265625" bestFit="1" customWidth="1"/>
    <col min="2" max="2" width="14.3125" bestFit="1" customWidth="1"/>
    <col min="3" max="3" width="13.3125" bestFit="1" customWidth="1"/>
    <col min="4" max="4" width="14.3125" bestFit="1" customWidth="1"/>
    <col min="7" max="7" width="20.20703125" bestFit="1" customWidth="1"/>
    <col min="8" max="8" width="18.83984375" style="19" bestFit="1" customWidth="1"/>
  </cols>
  <sheetData>
    <row r="1" spans="1:10" x14ac:dyDescent="0.55000000000000004">
      <c r="G1" t="s">
        <v>76</v>
      </c>
      <c r="H1" s="19">
        <v>30800000</v>
      </c>
    </row>
    <row r="2" spans="1:10" x14ac:dyDescent="0.55000000000000004">
      <c r="G2" t="s">
        <v>67</v>
      </c>
      <c r="H2" s="19">
        <v>40000000</v>
      </c>
    </row>
    <row r="3" spans="1:10" x14ac:dyDescent="0.55000000000000004">
      <c r="G3" t="s">
        <v>72</v>
      </c>
      <c r="H3" s="19">
        <f ca="1">_xll.RiskUniform(2.02,3.32)</f>
        <v>2.67</v>
      </c>
    </row>
    <row r="4" spans="1:10" x14ac:dyDescent="0.55000000000000004">
      <c r="B4" t="s">
        <v>63</v>
      </c>
      <c r="C4" t="s">
        <v>64</v>
      </c>
      <c r="D4" t="s">
        <v>65</v>
      </c>
      <c r="E4" t="s">
        <v>66</v>
      </c>
      <c r="G4" t="s">
        <v>73</v>
      </c>
      <c r="H4" s="20">
        <f ca="1">(H3/1000)*H1</f>
        <v>82236</v>
      </c>
    </row>
    <row r="5" spans="1:10" x14ac:dyDescent="0.55000000000000004">
      <c r="A5" t="s">
        <v>68</v>
      </c>
      <c r="B5" s="20">
        <v>4934.1600000000008</v>
      </c>
      <c r="C5" s="20">
        <v>493</v>
      </c>
      <c r="D5" s="20">
        <f>B5-C5</f>
        <v>4441.1600000000008</v>
      </c>
      <c r="E5" s="22">
        <f>(D5/B5)</f>
        <v>0.90008431019666979</v>
      </c>
      <c r="G5" t="s">
        <v>74</v>
      </c>
      <c r="H5" s="19">
        <f ca="1">_xll.RiskUniform(0.05,0.07)</f>
        <v>6.0000000000000005E-2</v>
      </c>
    </row>
    <row r="6" spans="1:10" x14ac:dyDescent="0.55000000000000004">
      <c r="A6" t="s">
        <v>69</v>
      </c>
      <c r="B6" s="21">
        <v>16282728.000000002</v>
      </c>
      <c r="C6" s="21">
        <v>1628272.8000000003</v>
      </c>
      <c r="D6" s="21">
        <f>B6-C6</f>
        <v>14654455.200000001</v>
      </c>
      <c r="E6" s="22">
        <f>(D6/B6)</f>
        <v>0.89999999999999991</v>
      </c>
      <c r="G6" t="s">
        <v>70</v>
      </c>
      <c r="H6" s="20">
        <f ca="1">H5*(H3/1000)*H1</f>
        <v>4934.1600000000008</v>
      </c>
    </row>
    <row r="7" spans="1:10" x14ac:dyDescent="0.55000000000000004">
      <c r="G7" t="s">
        <v>75</v>
      </c>
      <c r="H7" s="19">
        <f ca="1">0.1*H6</f>
        <v>493.41600000000011</v>
      </c>
    </row>
    <row r="8" spans="1:10" x14ac:dyDescent="0.55000000000000004">
      <c r="G8" t="s">
        <v>71</v>
      </c>
      <c r="H8" s="20"/>
      <c r="I8" t="s">
        <v>79</v>
      </c>
      <c r="J8">
        <f ca="1">0.07*H6</f>
        <v>345.39120000000008</v>
      </c>
    </row>
    <row r="9" spans="1:10" x14ac:dyDescent="0.55000000000000004">
      <c r="G9" t="s">
        <v>37</v>
      </c>
      <c r="H9" s="21">
        <f ca="1">H6*H12</f>
        <v>16282728.000000002</v>
      </c>
    </row>
    <row r="10" spans="1:10" x14ac:dyDescent="0.55000000000000004">
      <c r="G10" t="s">
        <v>78</v>
      </c>
      <c r="H10" s="21">
        <f ca="1">H7*H12</f>
        <v>1628272.8000000003</v>
      </c>
    </row>
    <row r="12" spans="1:10" x14ac:dyDescent="0.55000000000000004">
      <c r="G12" t="s">
        <v>77</v>
      </c>
      <c r="H12" s="21">
        <v>3300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4"/>
  <sheetViews>
    <sheetView workbookViewId="0">
      <selection activeCell="F14" sqref="F14"/>
    </sheetView>
  </sheetViews>
  <sheetFormatPr defaultRowHeight="14.4" x14ac:dyDescent="0.55000000000000004"/>
  <cols>
    <col min="2" max="2" width="30.15625" customWidth="1"/>
    <col min="3" max="3" width="17" bestFit="1" customWidth="1"/>
    <col min="4" max="4" width="19.83984375" customWidth="1"/>
    <col min="5" max="5" width="18.26171875" customWidth="1"/>
    <col min="6" max="6" width="21.578125" customWidth="1"/>
    <col min="7" max="7" width="18.578125" customWidth="1"/>
    <col min="8" max="8" width="15.83984375" customWidth="1"/>
    <col min="9" max="9" width="25.83984375" customWidth="1"/>
    <col min="10" max="10" width="16.68359375" customWidth="1"/>
    <col min="11" max="11" width="10.578125" customWidth="1"/>
    <col min="12" max="12" width="23.26171875" customWidth="1"/>
    <col min="13" max="13" width="16.68359375" customWidth="1"/>
  </cols>
  <sheetData>
    <row r="1" spans="1:15" x14ac:dyDescent="0.55000000000000004">
      <c r="A1" t="s">
        <v>11</v>
      </c>
      <c r="I1" t="s">
        <v>12</v>
      </c>
    </row>
    <row r="2" spans="1:15" x14ac:dyDescent="0.55000000000000004">
      <c r="L2" t="s">
        <v>20</v>
      </c>
      <c r="M2" s="3">
        <f>J3/76</f>
        <v>10911715.157894736</v>
      </c>
      <c r="O2" t="s">
        <v>15</v>
      </c>
    </row>
    <row r="3" spans="1:15" x14ac:dyDescent="0.55000000000000004">
      <c r="A3" t="s">
        <v>0</v>
      </c>
      <c r="C3" s="1">
        <v>0</v>
      </c>
      <c r="D3" s="1">
        <v>1</v>
      </c>
      <c r="E3" s="1">
        <v>2</v>
      </c>
      <c r="F3" s="1">
        <v>3</v>
      </c>
      <c r="G3" s="1">
        <v>4</v>
      </c>
      <c r="I3" t="s">
        <v>1</v>
      </c>
      <c r="J3" s="2">
        <v>829290352</v>
      </c>
      <c r="L3" t="s">
        <v>14</v>
      </c>
      <c r="M3">
        <f ca="1">_xll.RiskTriang(50000,86000,100000)</f>
        <v>78666.666666666672</v>
      </c>
      <c r="O3" t="s">
        <v>16</v>
      </c>
    </row>
    <row r="4" spans="1:15" x14ac:dyDescent="0.55000000000000004">
      <c r="A4" t="s">
        <v>2</v>
      </c>
      <c r="C4">
        <v>0</v>
      </c>
      <c r="D4">
        <v>30</v>
      </c>
      <c r="E4">
        <v>70</v>
      </c>
      <c r="F4">
        <v>170</v>
      </c>
      <c r="G4">
        <v>240</v>
      </c>
      <c r="I4" t="s">
        <v>3</v>
      </c>
      <c r="J4">
        <f ca="1">_xll.RiskUniform(0,3300)</f>
        <v>1650</v>
      </c>
      <c r="L4" t="s">
        <v>17</v>
      </c>
      <c r="M4">
        <f ca="1">_xll.RiskUniform(20,100)</f>
        <v>60</v>
      </c>
      <c r="O4" t="s">
        <v>23</v>
      </c>
    </row>
    <row r="5" spans="1:15" x14ac:dyDescent="0.55000000000000004">
      <c r="A5" t="s">
        <v>4</v>
      </c>
      <c r="C5">
        <v>0.24</v>
      </c>
      <c r="D5">
        <v>0.59</v>
      </c>
      <c r="E5">
        <v>0.15</v>
      </c>
      <c r="F5">
        <v>0.01</v>
      </c>
      <c r="G5">
        <v>0.01</v>
      </c>
      <c r="I5" t="s">
        <v>5</v>
      </c>
      <c r="J5">
        <f ca="1">_xll.RiskUniform(2.02,3.32)</f>
        <v>2.67</v>
      </c>
      <c r="K5">
        <f ca="1">(J5/1000)*J3</f>
        <v>2214205.2398399999</v>
      </c>
      <c r="L5" t="s">
        <v>19</v>
      </c>
      <c r="M5">
        <f>7.44/1000</f>
        <v>7.4400000000000004E-3</v>
      </c>
      <c r="O5" t="s">
        <v>26</v>
      </c>
    </row>
    <row r="6" spans="1:15" x14ac:dyDescent="0.55000000000000004">
      <c r="A6" t="s">
        <v>6</v>
      </c>
      <c r="C6">
        <f ca="1">_xll.RiskUniform(0.22,0.26)</f>
        <v>0.24</v>
      </c>
      <c r="D6">
        <f ca="1">_xll.RiskUniform(0.57,0.61)</f>
        <v>0.59</v>
      </c>
      <c r="E6">
        <f ca="1">_xll.RiskUniform(0.13,0.17)</f>
        <v>0.15000000000000002</v>
      </c>
      <c r="F6">
        <f ca="1">_xll.RiskUniform(0.01,0.02)</f>
        <v>1.4999999999999999E-2</v>
      </c>
      <c r="G6">
        <f ca="1">_xll.RiskUniform(0.01,0.02)</f>
        <v>1.4999999999999999E-2</v>
      </c>
      <c r="H6" s="15" t="s">
        <v>30</v>
      </c>
      <c r="I6" t="s">
        <v>13</v>
      </c>
      <c r="J6" s="3">
        <f ca="1">(M4+M5*M3)*M2</f>
        <v>7041111557.0863161</v>
      </c>
    </row>
    <row r="7" spans="1:15" x14ac:dyDescent="0.55000000000000004">
      <c r="A7" t="s">
        <v>7</v>
      </c>
      <c r="C7">
        <f ca="1">C6*$J$3*C4</f>
        <v>0</v>
      </c>
      <c r="D7" s="2">
        <f ca="1">D6*$J$3*D4</f>
        <v>14678439230.399998</v>
      </c>
      <c r="E7" s="2">
        <f ca="1">E6*$J$3*E4</f>
        <v>8707548696</v>
      </c>
      <c r="F7" s="2">
        <f ca="1">F6*$J$3*F4</f>
        <v>2114690397.5999999</v>
      </c>
      <c r="G7" s="2">
        <f ca="1">G6*$J$3*G4</f>
        <v>2985445267.1999998</v>
      </c>
      <c r="H7" s="15"/>
      <c r="I7" t="s">
        <v>18</v>
      </c>
      <c r="J7" t="s">
        <v>21</v>
      </c>
    </row>
    <row r="8" spans="1:15" x14ac:dyDescent="0.55000000000000004">
      <c r="A8" t="s">
        <v>29</v>
      </c>
      <c r="C8" s="5">
        <f ca="1">$J$3*C6</f>
        <v>199029684.47999999</v>
      </c>
      <c r="D8" s="5">
        <f ca="1">$J$3*D6</f>
        <v>489281307.67999995</v>
      </c>
      <c r="E8" s="5">
        <f ca="1">$J$3*E6</f>
        <v>124393552.80000001</v>
      </c>
      <c r="F8" s="5">
        <f ca="1">$J$3*F6</f>
        <v>12439355.279999999</v>
      </c>
      <c r="G8" s="5">
        <f ca="1">$J$3*G6</f>
        <v>12439355.279999999</v>
      </c>
      <c r="H8" s="6">
        <f ca="1">SUM(D8:G8)</f>
        <v>638553571.03999996</v>
      </c>
      <c r="I8" t="s">
        <v>22</v>
      </c>
      <c r="J8" s="3">
        <f>M2*45</f>
        <v>491027182.10526311</v>
      </c>
    </row>
    <row r="9" spans="1:15" x14ac:dyDescent="0.55000000000000004">
      <c r="A9" t="s">
        <v>9</v>
      </c>
      <c r="B9" s="4">
        <f ca="1">(C7+D7+E7+F7+G7)-(J6+J8+J9+J10+J11+J12+J16)</f>
        <v>8208795801.32864</v>
      </c>
      <c r="F9" t="s">
        <v>10</v>
      </c>
      <c r="G9" s="2">
        <f ca="1">SUM(C7:G7)</f>
        <v>28486123591.199997</v>
      </c>
      <c r="I9" t="s">
        <v>24</v>
      </c>
      <c r="J9" s="3">
        <f>4.65*J3</f>
        <v>3856200136.8000002</v>
      </c>
      <c r="L9" t="s">
        <v>32</v>
      </c>
      <c r="M9" s="7">
        <v>7.0000000000000007E-2</v>
      </c>
    </row>
    <row r="10" spans="1:15" x14ac:dyDescent="0.55000000000000004">
      <c r="I10" t="s">
        <v>25</v>
      </c>
      <c r="J10" s="3">
        <f>4.5*J3</f>
        <v>3731806584</v>
      </c>
      <c r="L10" t="s">
        <v>33</v>
      </c>
      <c r="M10" s="7">
        <v>0.05</v>
      </c>
    </row>
    <row r="11" spans="1:15" x14ac:dyDescent="0.55000000000000004">
      <c r="I11" t="s">
        <v>27</v>
      </c>
      <c r="J11" s="3">
        <f ca="1">(2.22*(M3/1000))*M2</f>
        <v>1905621935.174737</v>
      </c>
    </row>
    <row r="12" spans="1:15" x14ac:dyDescent="0.55000000000000004">
      <c r="I12" t="s">
        <v>28</v>
      </c>
      <c r="J12" s="5">
        <f ca="1">((H8*(J5/1000))*J4)</f>
        <v>2813147757.2167201</v>
      </c>
    </row>
    <row r="13" spans="1:15" x14ac:dyDescent="0.55000000000000004">
      <c r="I13" t="s">
        <v>36</v>
      </c>
      <c r="J13" s="2">
        <f ca="1">_xll.RiskUniform(0.05,0.07)</f>
        <v>6.0000000000000005E-2</v>
      </c>
    </row>
    <row r="14" spans="1:15" x14ac:dyDescent="0.55000000000000004">
      <c r="E14" t="s">
        <v>56</v>
      </c>
      <c r="F14">
        <v>418599</v>
      </c>
      <c r="I14" t="s">
        <v>34</v>
      </c>
      <c r="J14" s="2">
        <f ca="1">J13*K5</f>
        <v>132852.31439040002</v>
      </c>
    </row>
    <row r="15" spans="1:15" x14ac:dyDescent="0.55000000000000004">
      <c r="I15" t="s">
        <v>35</v>
      </c>
      <c r="J15" s="2">
        <v>3300</v>
      </c>
    </row>
    <row r="16" spans="1:15" x14ac:dyDescent="0.55000000000000004">
      <c r="I16" t="s">
        <v>37</v>
      </c>
      <c r="J16" s="2">
        <f ca="1">J14*J15</f>
        <v>438412637.48832005</v>
      </c>
      <c r="L16" s="16" t="s">
        <v>31</v>
      </c>
      <c r="M16" s="16"/>
    </row>
    <row r="17" spans="2:13" ht="14.7" thickBot="1" x14ac:dyDescent="0.6">
      <c r="B17" s="8" t="s">
        <v>42</v>
      </c>
      <c r="C17" s="8" t="s">
        <v>38</v>
      </c>
      <c r="D17" s="8" t="s">
        <v>39</v>
      </c>
      <c r="L17" s="16"/>
      <c r="M17" s="16"/>
    </row>
    <row r="18" spans="2:13" x14ac:dyDescent="0.55000000000000004">
      <c r="B18" t="s">
        <v>40</v>
      </c>
      <c r="C18" s="2">
        <f ca="1">SUM(C7:G7)</f>
        <v>28486123591.199997</v>
      </c>
      <c r="D18" s="2"/>
    </row>
    <row r="19" spans="2:13" x14ac:dyDescent="0.55000000000000004">
      <c r="B19" t="s">
        <v>43</v>
      </c>
      <c r="C19" s="2"/>
      <c r="D19" s="2">
        <f ca="1">SUM(J6,J8,J9,J10,J11)</f>
        <v>17025767395.166317</v>
      </c>
    </row>
    <row r="20" spans="2:13" x14ac:dyDescent="0.55000000000000004">
      <c r="B20" t="s">
        <v>41</v>
      </c>
      <c r="C20" s="2"/>
      <c r="D20" s="2">
        <f ca="1">J12</f>
        <v>2813147757.2167201</v>
      </c>
    </row>
    <row r="21" spans="2:13" x14ac:dyDescent="0.55000000000000004">
      <c r="B21" t="s">
        <v>44</v>
      </c>
      <c r="C21" s="2"/>
      <c r="D21" s="2">
        <f ca="1">J16</f>
        <v>438412637.48832005</v>
      </c>
      <c r="I21" t="s">
        <v>8</v>
      </c>
      <c r="J21" s="2">
        <f ca="1">K5*J4</f>
        <v>3653438645.7360001</v>
      </c>
    </row>
    <row r="22" spans="2:13" x14ac:dyDescent="0.55000000000000004">
      <c r="C22" s="2"/>
      <c r="D22" s="2"/>
    </row>
    <row r="23" spans="2:13" x14ac:dyDescent="0.55000000000000004">
      <c r="B23" s="9" t="s">
        <v>45</v>
      </c>
      <c r="C23" s="10">
        <f ca="1">SUM(C18:C22)</f>
        <v>28486123591.199997</v>
      </c>
      <c r="D23" s="10">
        <f ca="1">SUM(D18:D22)</f>
        <v>20277327789.871357</v>
      </c>
    </row>
    <row r="24" spans="2:13" x14ac:dyDescent="0.55000000000000004">
      <c r="C24" s="17">
        <f ca="1">C23-D23</f>
        <v>8208795801.32864</v>
      </c>
      <c r="D24" s="18"/>
      <c r="I24" s="2">
        <f ca="1">G9-J21</f>
        <v>24832684945.463997</v>
      </c>
    </row>
  </sheetData>
  <mergeCells count="3">
    <mergeCell ref="H6:H7"/>
    <mergeCell ref="L16:M17"/>
    <mergeCell ref="C24:D2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4"/>
  <sheetViews>
    <sheetView workbookViewId="0">
      <selection activeCell="B10" sqref="B10"/>
    </sheetView>
  </sheetViews>
  <sheetFormatPr defaultRowHeight="14.4" x14ac:dyDescent="0.55000000000000004"/>
  <cols>
    <col min="2" max="2" width="30.15625" customWidth="1"/>
    <col min="3" max="3" width="17" bestFit="1" customWidth="1"/>
    <col min="4" max="4" width="19.83984375" customWidth="1"/>
    <col min="5" max="5" width="18.26171875" customWidth="1"/>
    <col min="6" max="6" width="21.578125" customWidth="1"/>
    <col min="7" max="7" width="18.578125" customWidth="1"/>
    <col min="8" max="8" width="15.83984375" customWidth="1"/>
    <col min="9" max="9" width="25.83984375" customWidth="1"/>
    <col min="10" max="10" width="16.68359375" customWidth="1"/>
    <col min="11" max="11" width="10.578125" customWidth="1"/>
    <col min="12" max="12" width="23.26171875" customWidth="1"/>
    <col min="13" max="13" width="16.68359375" customWidth="1"/>
  </cols>
  <sheetData>
    <row r="1" spans="1:15" x14ac:dyDescent="0.55000000000000004">
      <c r="A1" t="s">
        <v>11</v>
      </c>
      <c r="I1" t="s">
        <v>12</v>
      </c>
    </row>
    <row r="2" spans="1:15" x14ac:dyDescent="0.55000000000000004">
      <c r="L2" t="s">
        <v>20</v>
      </c>
      <c r="M2" s="3">
        <f>J3/76</f>
        <v>526315.78947368416</v>
      </c>
      <c r="O2" t="s">
        <v>15</v>
      </c>
    </row>
    <row r="3" spans="1:15" x14ac:dyDescent="0.55000000000000004">
      <c r="A3" t="s">
        <v>0</v>
      </c>
      <c r="C3" s="1">
        <v>0</v>
      </c>
      <c r="D3" s="1">
        <v>1</v>
      </c>
      <c r="E3" s="1">
        <v>2</v>
      </c>
      <c r="F3" s="1">
        <v>3</v>
      </c>
      <c r="G3" s="1">
        <v>4</v>
      </c>
      <c r="I3" t="s">
        <v>1</v>
      </c>
      <c r="J3" s="2">
        <v>40000000</v>
      </c>
      <c r="L3" t="s">
        <v>14</v>
      </c>
      <c r="M3">
        <f ca="1">_xll.RiskTriang(50000,86000,100000)</f>
        <v>78666.666666666672</v>
      </c>
      <c r="O3" t="s">
        <v>16</v>
      </c>
    </row>
    <row r="4" spans="1:15" x14ac:dyDescent="0.55000000000000004">
      <c r="A4" t="s">
        <v>2</v>
      </c>
      <c r="C4">
        <v>0</v>
      </c>
      <c r="D4">
        <v>30</v>
      </c>
      <c r="E4">
        <v>70</v>
      </c>
      <c r="F4">
        <v>170</v>
      </c>
      <c r="G4">
        <v>240</v>
      </c>
      <c r="I4" t="s">
        <v>3</v>
      </c>
      <c r="J4">
        <f ca="1">_xll.RiskUniform(0,3300)</f>
        <v>1650</v>
      </c>
      <c r="L4" t="s">
        <v>17</v>
      </c>
      <c r="M4">
        <f ca="1">_xll.RiskUniform(20,100)</f>
        <v>60</v>
      </c>
      <c r="O4" t="s">
        <v>23</v>
      </c>
    </row>
    <row r="5" spans="1:15" x14ac:dyDescent="0.55000000000000004">
      <c r="A5" t="s">
        <v>4</v>
      </c>
      <c r="C5">
        <v>0.24</v>
      </c>
      <c r="D5">
        <v>0.59</v>
      </c>
      <c r="E5">
        <v>0.15</v>
      </c>
      <c r="F5">
        <v>0.01</v>
      </c>
      <c r="G5">
        <v>0.01</v>
      </c>
      <c r="I5" t="s">
        <v>5</v>
      </c>
      <c r="J5">
        <f ca="1">_xll.RiskUniform(2.02,3.32)</f>
        <v>2.67</v>
      </c>
      <c r="K5">
        <f ca="1">(J5/1000)*J3</f>
        <v>106800</v>
      </c>
      <c r="L5" t="s">
        <v>19</v>
      </c>
      <c r="M5">
        <f>7.44/1000</f>
        <v>7.4400000000000004E-3</v>
      </c>
      <c r="O5" t="s">
        <v>26</v>
      </c>
    </row>
    <row r="6" spans="1:15" x14ac:dyDescent="0.55000000000000004">
      <c r="A6" t="s">
        <v>6</v>
      </c>
      <c r="C6">
        <f ca="1">_xll.RiskUniform(0.22,0.26)</f>
        <v>0.24</v>
      </c>
      <c r="D6">
        <f ca="1">_xll.RiskUniform(0.57,0.61)</f>
        <v>0.59</v>
      </c>
      <c r="E6">
        <f ca="1">_xll.RiskUniform(0.13,0.17)</f>
        <v>0.15000000000000002</v>
      </c>
      <c r="F6">
        <f ca="1">_xll.RiskUniform(0.01,0.02)</f>
        <v>1.4999999999999999E-2</v>
      </c>
      <c r="G6">
        <f ca="1">_xll.RiskUniform(0.01,0.02)</f>
        <v>1.4999999999999999E-2</v>
      </c>
      <c r="H6" s="15" t="s">
        <v>30</v>
      </c>
      <c r="I6" t="s">
        <v>13</v>
      </c>
      <c r="J6" s="3">
        <f ca="1">(M4+M5*M3)*M2</f>
        <v>339621052.63157898</v>
      </c>
    </row>
    <row r="7" spans="1:15" x14ac:dyDescent="0.55000000000000004">
      <c r="A7" t="s">
        <v>7</v>
      </c>
      <c r="C7">
        <f ca="1">C6*$J$3*C4</f>
        <v>0</v>
      </c>
      <c r="D7" s="2">
        <f ca="1">D6*$J$3*D4</f>
        <v>708000000</v>
      </c>
      <c r="E7" s="2">
        <f ca="1">E6*$J$3*E4</f>
        <v>420000000.00000006</v>
      </c>
      <c r="F7" s="2">
        <f ca="1">F6*$J$3*F4</f>
        <v>102000000</v>
      </c>
      <c r="G7" s="2">
        <f ca="1">G6*$J$3*G4</f>
        <v>144000000</v>
      </c>
      <c r="H7" s="15"/>
      <c r="I7" t="s">
        <v>18</v>
      </c>
      <c r="J7" t="s">
        <v>21</v>
      </c>
    </row>
    <row r="8" spans="1:15" x14ac:dyDescent="0.55000000000000004">
      <c r="A8" t="s">
        <v>29</v>
      </c>
      <c r="C8" s="5">
        <f ca="1">$J$3*C6</f>
        <v>9600000</v>
      </c>
      <c r="D8" s="5">
        <f ca="1">$J$3*D6</f>
        <v>23600000</v>
      </c>
      <c r="E8" s="5">
        <f ca="1">$J$3*E6</f>
        <v>6000000.0000000009</v>
      </c>
      <c r="F8" s="5">
        <f ca="1">$J$3*F6</f>
        <v>600000</v>
      </c>
      <c r="G8" s="5">
        <f ca="1">$J$3*G6</f>
        <v>600000</v>
      </c>
      <c r="H8" s="6">
        <f ca="1">SUM(D8:G8)</f>
        <v>30800000</v>
      </c>
      <c r="I8" t="s">
        <v>22</v>
      </c>
      <c r="J8" s="3">
        <f>M2*45</f>
        <v>23684210.526315786</v>
      </c>
    </row>
    <row r="9" spans="1:15" x14ac:dyDescent="0.55000000000000004">
      <c r="A9" t="s">
        <v>9</v>
      </c>
      <c r="B9" s="4">
        <f ca="1">(C7+D7+E7+F7+G7)-(J6+J8+J9+J10+J11+J12+J16)</f>
        <v>395943147.36842096</v>
      </c>
      <c r="F9" t="s">
        <v>10</v>
      </c>
      <c r="G9" s="2">
        <f ca="1">SUM(C7:G7)</f>
        <v>1374000000</v>
      </c>
      <c r="I9" t="s">
        <v>24</v>
      </c>
      <c r="J9" s="3">
        <f>4.65*J3</f>
        <v>186000000</v>
      </c>
      <c r="L9" t="s">
        <v>32</v>
      </c>
      <c r="M9" s="7">
        <v>7.0000000000000007E-2</v>
      </c>
    </row>
    <row r="10" spans="1:15" x14ac:dyDescent="0.55000000000000004">
      <c r="I10" t="s">
        <v>25</v>
      </c>
      <c r="J10" s="3">
        <f>4.5*J3</f>
        <v>180000000</v>
      </c>
      <c r="L10" t="s">
        <v>33</v>
      </c>
      <c r="M10" s="7">
        <v>0.05</v>
      </c>
    </row>
    <row r="11" spans="1:15" x14ac:dyDescent="0.55000000000000004">
      <c r="I11" t="s">
        <v>27</v>
      </c>
      <c r="J11" s="3">
        <f ca="1">(2.22*(M3/1000))*M2</f>
        <v>91915789.473684207</v>
      </c>
    </row>
    <row r="12" spans="1:15" x14ac:dyDescent="0.55000000000000004">
      <c r="I12" t="s">
        <v>28</v>
      </c>
      <c r="J12" s="5">
        <f ca="1">((H8*(J5/1000))*J4)</f>
        <v>135689400</v>
      </c>
    </row>
    <row r="13" spans="1:15" x14ac:dyDescent="0.55000000000000004">
      <c r="I13" t="s">
        <v>36</v>
      </c>
      <c r="J13" s="2">
        <f ca="1">_xll.RiskUniform(0.05,0.07)</f>
        <v>6.0000000000000005E-2</v>
      </c>
    </row>
    <row r="14" spans="1:15" x14ac:dyDescent="0.55000000000000004">
      <c r="I14" t="s">
        <v>34</v>
      </c>
      <c r="J14" s="2">
        <f ca="1">J13*K5</f>
        <v>6408.0000000000009</v>
      </c>
    </row>
    <row r="15" spans="1:15" x14ac:dyDescent="0.55000000000000004">
      <c r="I15" t="s">
        <v>35</v>
      </c>
      <c r="J15" s="2">
        <v>3300</v>
      </c>
    </row>
    <row r="16" spans="1:15" x14ac:dyDescent="0.55000000000000004">
      <c r="I16" t="s">
        <v>37</v>
      </c>
      <c r="J16" s="2">
        <f ca="1">J14*J15</f>
        <v>21146400.000000004</v>
      </c>
      <c r="L16" s="16" t="s">
        <v>31</v>
      </c>
      <c r="M16" s="16"/>
    </row>
    <row r="17" spans="2:13" ht="14.7" thickBot="1" x14ac:dyDescent="0.6">
      <c r="B17" s="8" t="s">
        <v>42</v>
      </c>
      <c r="C17" s="8" t="s">
        <v>38</v>
      </c>
      <c r="D17" s="8" t="s">
        <v>39</v>
      </c>
      <c r="L17" s="16"/>
      <c r="M17" s="16"/>
    </row>
    <row r="18" spans="2:13" x14ac:dyDescent="0.55000000000000004">
      <c r="B18" t="s">
        <v>40</v>
      </c>
      <c r="C18" s="2">
        <f ca="1">SUM(C7:G7)</f>
        <v>1374000000</v>
      </c>
      <c r="D18" s="2"/>
    </row>
    <row r="19" spans="2:13" x14ac:dyDescent="0.55000000000000004">
      <c r="B19" t="s">
        <v>43</v>
      </c>
      <c r="C19" s="2"/>
      <c r="D19" s="2">
        <f ca="1">SUM(J6,J8,J9,J10,J11)</f>
        <v>821221052.63157904</v>
      </c>
    </row>
    <row r="20" spans="2:13" x14ac:dyDescent="0.55000000000000004">
      <c r="B20" t="s">
        <v>41</v>
      </c>
      <c r="C20" s="2"/>
      <c r="D20" s="2">
        <f ca="1">J12</f>
        <v>135689400</v>
      </c>
    </row>
    <row r="21" spans="2:13" x14ac:dyDescent="0.55000000000000004">
      <c r="B21" t="s">
        <v>44</v>
      </c>
      <c r="C21" s="2"/>
      <c r="D21" s="2">
        <f ca="1">J16</f>
        <v>21146400.000000004</v>
      </c>
      <c r="I21" t="s">
        <v>8</v>
      </c>
      <c r="J21" s="2">
        <f ca="1">K5*J4</f>
        <v>176220000</v>
      </c>
    </row>
    <row r="22" spans="2:13" x14ac:dyDescent="0.55000000000000004">
      <c r="C22" s="2"/>
      <c r="D22" s="2"/>
    </row>
    <row r="23" spans="2:13" x14ac:dyDescent="0.55000000000000004">
      <c r="B23" s="9" t="s">
        <v>45</v>
      </c>
      <c r="C23" s="10">
        <f ca="1">SUM(C18:C22)</f>
        <v>1374000000</v>
      </c>
      <c r="D23" s="10">
        <f ca="1">SUM(D18:D22)</f>
        <v>978056852.63157904</v>
      </c>
    </row>
    <row r="24" spans="2:13" x14ac:dyDescent="0.55000000000000004">
      <c r="C24" s="17">
        <f ca="1">C23-D23</f>
        <v>395943147.36842096</v>
      </c>
      <c r="D24" s="18"/>
      <c r="I24" s="2">
        <f ca="1">G9-J21</f>
        <v>1197780000</v>
      </c>
    </row>
  </sheetData>
  <mergeCells count="3">
    <mergeCell ref="H6:H7"/>
    <mergeCell ref="L16:M17"/>
    <mergeCell ref="C24:D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4"/>
  <sheetViews>
    <sheetView workbookViewId="0">
      <selection activeCell="B10" sqref="B10"/>
    </sheetView>
  </sheetViews>
  <sheetFormatPr defaultRowHeight="14.4" x14ac:dyDescent="0.55000000000000004"/>
  <cols>
    <col min="2" max="2" width="30.15625" customWidth="1"/>
    <col min="3" max="3" width="17" bestFit="1" customWidth="1"/>
    <col min="4" max="4" width="19.83984375" customWidth="1"/>
    <col min="5" max="5" width="18.26171875" customWidth="1"/>
    <col min="6" max="6" width="21.578125" customWidth="1"/>
    <col min="7" max="7" width="18.578125" customWidth="1"/>
    <col min="8" max="8" width="15.83984375" customWidth="1"/>
    <col min="9" max="9" width="25.83984375" customWidth="1"/>
    <col min="10" max="10" width="16.68359375" customWidth="1"/>
    <col min="11" max="11" width="10.578125" customWidth="1"/>
    <col min="12" max="12" width="23.26171875" customWidth="1"/>
    <col min="13" max="13" width="16.68359375" customWidth="1"/>
  </cols>
  <sheetData>
    <row r="1" spans="1:15" x14ac:dyDescent="0.55000000000000004">
      <c r="A1" t="s">
        <v>11</v>
      </c>
      <c r="I1" t="s">
        <v>12</v>
      </c>
    </row>
    <row r="2" spans="1:15" x14ac:dyDescent="0.55000000000000004">
      <c r="L2" t="s">
        <v>20</v>
      </c>
      <c r="M2" s="3">
        <f>J3/76</f>
        <v>65.78947368421052</v>
      </c>
      <c r="O2" t="s">
        <v>15</v>
      </c>
    </row>
    <row r="3" spans="1:15" x14ac:dyDescent="0.55000000000000004">
      <c r="A3" t="s">
        <v>0</v>
      </c>
      <c r="C3" s="1">
        <v>0</v>
      </c>
      <c r="D3" s="1">
        <v>1</v>
      </c>
      <c r="E3" s="1">
        <v>2</v>
      </c>
      <c r="F3" s="1">
        <v>3</v>
      </c>
      <c r="G3" s="1">
        <v>4</v>
      </c>
      <c r="I3" t="s">
        <v>1</v>
      </c>
      <c r="J3" s="2">
        <v>5000</v>
      </c>
      <c r="L3" t="s">
        <v>14</v>
      </c>
      <c r="M3">
        <f ca="1">_xll.RiskTriang(50000,86000,100000)</f>
        <v>78666.666666666672</v>
      </c>
      <c r="O3" t="s">
        <v>16</v>
      </c>
    </row>
    <row r="4" spans="1:15" x14ac:dyDescent="0.55000000000000004">
      <c r="A4" t="s">
        <v>2</v>
      </c>
      <c r="C4">
        <v>0</v>
      </c>
      <c r="D4">
        <v>30</v>
      </c>
      <c r="E4">
        <v>70</v>
      </c>
      <c r="F4">
        <v>170</v>
      </c>
      <c r="G4">
        <v>240</v>
      </c>
      <c r="I4" t="s">
        <v>3</v>
      </c>
      <c r="J4">
        <f ca="1">_xll.RiskUniform(0,3300)</f>
        <v>1650</v>
      </c>
      <c r="L4" t="s">
        <v>17</v>
      </c>
      <c r="M4">
        <f ca="1">_xll.RiskUniform(20,100)</f>
        <v>60</v>
      </c>
      <c r="O4" t="s">
        <v>23</v>
      </c>
    </row>
    <row r="5" spans="1:15" x14ac:dyDescent="0.55000000000000004">
      <c r="A5" t="s">
        <v>4</v>
      </c>
      <c r="C5">
        <v>0.24</v>
      </c>
      <c r="D5">
        <v>0.59</v>
      </c>
      <c r="E5">
        <v>0.15</v>
      </c>
      <c r="F5">
        <v>0.01</v>
      </c>
      <c r="G5">
        <v>0.01</v>
      </c>
      <c r="I5" t="s">
        <v>5</v>
      </c>
      <c r="J5">
        <f ca="1">_xll.RiskUniform(2.02,3.32)</f>
        <v>2.67</v>
      </c>
      <c r="K5">
        <f ca="1">(J5/1000)*J3</f>
        <v>13.35</v>
      </c>
      <c r="L5" t="s">
        <v>19</v>
      </c>
      <c r="M5">
        <f>7.44/1000</f>
        <v>7.4400000000000004E-3</v>
      </c>
      <c r="O5" t="s">
        <v>26</v>
      </c>
    </row>
    <row r="6" spans="1:15" x14ac:dyDescent="0.55000000000000004">
      <c r="A6" t="s">
        <v>6</v>
      </c>
      <c r="C6">
        <f ca="1">_xll.RiskUniform(0.22,0.26)</f>
        <v>0.24</v>
      </c>
      <c r="D6">
        <f ca="1">_xll.RiskUniform(0.57,0.61)</f>
        <v>0.59</v>
      </c>
      <c r="E6">
        <f ca="1">_xll.RiskUniform(0.13,0.17)</f>
        <v>0.15000000000000002</v>
      </c>
      <c r="F6">
        <f ca="1">_xll.RiskUniform(0.01,0.02)</f>
        <v>1.4999999999999999E-2</v>
      </c>
      <c r="G6">
        <f ca="1">_xll.RiskUniform(0.01,0.02)</f>
        <v>1.4999999999999999E-2</v>
      </c>
      <c r="H6" s="15" t="s">
        <v>30</v>
      </c>
      <c r="I6" t="s">
        <v>13</v>
      </c>
      <c r="J6" s="3">
        <f ca="1">(M4+M5*M3)*M2</f>
        <v>42452.631578947374</v>
      </c>
    </row>
    <row r="7" spans="1:15" x14ac:dyDescent="0.55000000000000004">
      <c r="A7" t="s">
        <v>7</v>
      </c>
      <c r="C7">
        <f ca="1">C6*$J$3*C4</f>
        <v>0</v>
      </c>
      <c r="D7" s="2">
        <f ca="1">D6*$J$3*D4</f>
        <v>88500</v>
      </c>
      <c r="E7" s="2">
        <f ca="1">E6*$J$3*E4</f>
        <v>52500.000000000007</v>
      </c>
      <c r="F7" s="2">
        <f ca="1">F6*$J$3*F4</f>
        <v>12750</v>
      </c>
      <c r="G7" s="2">
        <f ca="1">G6*$J$3*G4</f>
        <v>18000</v>
      </c>
      <c r="H7" s="15"/>
      <c r="I7" t="s">
        <v>18</v>
      </c>
      <c r="J7" t="s">
        <v>21</v>
      </c>
    </row>
    <row r="8" spans="1:15" x14ac:dyDescent="0.55000000000000004">
      <c r="A8" t="s">
        <v>29</v>
      </c>
      <c r="C8" s="5">
        <f ca="1">$J$3*C6</f>
        <v>1200</v>
      </c>
      <c r="D8" s="5">
        <f ca="1">$J$3*D6</f>
        <v>2950</v>
      </c>
      <c r="E8" s="5">
        <f ca="1">$J$3*E6</f>
        <v>750.00000000000011</v>
      </c>
      <c r="F8" s="5">
        <f ca="1">$J$3*F6</f>
        <v>75</v>
      </c>
      <c r="G8" s="5">
        <f ca="1">$J$3*G6</f>
        <v>75</v>
      </c>
      <c r="H8" s="6">
        <f ca="1">SUM(D8:G8)</f>
        <v>3850</v>
      </c>
      <c r="I8" t="s">
        <v>22</v>
      </c>
      <c r="J8" s="3">
        <f>M2*45</f>
        <v>2960.5263157894733</v>
      </c>
    </row>
    <row r="9" spans="1:15" x14ac:dyDescent="0.55000000000000004">
      <c r="A9" t="s">
        <v>9</v>
      </c>
      <c r="B9" s="4">
        <f ca="1">(C7+D7+E7+F7+G7)-(J6+J8+J9+J10+J11+J12+J16)</f>
        <v>49492.893421052606</v>
      </c>
      <c r="F9" t="s">
        <v>10</v>
      </c>
      <c r="G9" s="2">
        <f ca="1">SUM(C7:G7)</f>
        <v>171750</v>
      </c>
      <c r="I9" t="s">
        <v>24</v>
      </c>
      <c r="J9" s="3">
        <f>4.65*J3</f>
        <v>23250</v>
      </c>
      <c r="L9" t="s">
        <v>32</v>
      </c>
      <c r="M9" s="7">
        <v>7.0000000000000007E-2</v>
      </c>
    </row>
    <row r="10" spans="1:15" x14ac:dyDescent="0.55000000000000004">
      <c r="I10" t="s">
        <v>25</v>
      </c>
      <c r="J10" s="3">
        <f>4.5*J3</f>
        <v>22500</v>
      </c>
      <c r="L10" t="s">
        <v>33</v>
      </c>
      <c r="M10" s="7">
        <v>0.05</v>
      </c>
    </row>
    <row r="11" spans="1:15" x14ac:dyDescent="0.55000000000000004">
      <c r="I11" t="s">
        <v>27</v>
      </c>
      <c r="J11" s="3">
        <f ca="1">(2.22*(M3/1000))*M2</f>
        <v>11489.473684210527</v>
      </c>
    </row>
    <row r="12" spans="1:15" x14ac:dyDescent="0.55000000000000004">
      <c r="I12" t="s">
        <v>28</v>
      </c>
      <c r="J12" s="5">
        <f ca="1">((H8*(J5/1000))*J4)</f>
        <v>16961.174999999999</v>
      </c>
    </row>
    <row r="13" spans="1:15" x14ac:dyDescent="0.55000000000000004">
      <c r="I13" t="s">
        <v>36</v>
      </c>
      <c r="J13" s="2">
        <f ca="1">_xll.RiskUniform(0.05,0.07)</f>
        <v>6.0000000000000005E-2</v>
      </c>
    </row>
    <row r="14" spans="1:15" x14ac:dyDescent="0.55000000000000004">
      <c r="I14" t="s">
        <v>34</v>
      </c>
      <c r="J14" s="2">
        <f ca="1">J13*K5</f>
        <v>0.80100000000000005</v>
      </c>
    </row>
    <row r="15" spans="1:15" x14ac:dyDescent="0.55000000000000004">
      <c r="I15" t="s">
        <v>35</v>
      </c>
      <c r="J15" s="2">
        <v>3300</v>
      </c>
    </row>
    <row r="16" spans="1:15" x14ac:dyDescent="0.55000000000000004">
      <c r="I16" t="s">
        <v>37</v>
      </c>
      <c r="J16" s="2">
        <f ca="1">J14*J15</f>
        <v>2643.3</v>
      </c>
      <c r="L16" s="16" t="s">
        <v>31</v>
      </c>
      <c r="M16" s="16"/>
    </row>
    <row r="17" spans="2:13" ht="14.7" thickBot="1" x14ac:dyDescent="0.6">
      <c r="B17" s="8" t="s">
        <v>42</v>
      </c>
      <c r="C17" s="8" t="s">
        <v>38</v>
      </c>
      <c r="D17" s="8" t="s">
        <v>39</v>
      </c>
      <c r="L17" s="16"/>
      <c r="M17" s="16"/>
    </row>
    <row r="18" spans="2:13" x14ac:dyDescent="0.55000000000000004">
      <c r="B18" t="s">
        <v>40</v>
      </c>
      <c r="C18" s="2">
        <f ca="1">SUM(C7:G7)</f>
        <v>171750</v>
      </c>
      <c r="D18" s="2"/>
    </row>
    <row r="19" spans="2:13" x14ac:dyDescent="0.55000000000000004">
      <c r="B19" t="s">
        <v>43</v>
      </c>
      <c r="C19" s="2"/>
      <c r="D19" s="2">
        <f ca="1">SUM(J6,J8,J9,J10,J11)</f>
        <v>102652.63157894739</v>
      </c>
    </row>
    <row r="20" spans="2:13" x14ac:dyDescent="0.55000000000000004">
      <c r="B20" t="s">
        <v>41</v>
      </c>
      <c r="C20" s="2"/>
      <c r="D20" s="2">
        <f ca="1">J12</f>
        <v>16961.174999999999</v>
      </c>
    </row>
    <row r="21" spans="2:13" x14ac:dyDescent="0.55000000000000004">
      <c r="B21" t="s">
        <v>44</v>
      </c>
      <c r="C21" s="2"/>
      <c r="D21" s="2">
        <f ca="1">J16</f>
        <v>2643.3</v>
      </c>
      <c r="I21" t="s">
        <v>8</v>
      </c>
      <c r="J21" s="2">
        <f ca="1">K5*J4</f>
        <v>22027.5</v>
      </c>
    </row>
    <row r="22" spans="2:13" x14ac:dyDescent="0.55000000000000004">
      <c r="C22" s="2"/>
      <c r="D22" s="2"/>
    </row>
    <row r="23" spans="2:13" x14ac:dyDescent="0.55000000000000004">
      <c r="B23" s="9" t="s">
        <v>45</v>
      </c>
      <c r="C23" s="10">
        <f ca="1">SUM(C18:C22)</f>
        <v>171750</v>
      </c>
      <c r="D23" s="10">
        <f ca="1">SUM(D18:D22)</f>
        <v>122257.10657894739</v>
      </c>
    </row>
    <row r="24" spans="2:13" x14ac:dyDescent="0.55000000000000004">
      <c r="C24" s="17">
        <f ca="1">C23-D23</f>
        <v>49492.893421052606</v>
      </c>
      <c r="D24" s="18"/>
      <c r="I24" s="2">
        <f ca="1">G9-J21</f>
        <v>149722.5</v>
      </c>
    </row>
  </sheetData>
  <mergeCells count="3">
    <mergeCell ref="H6:H7"/>
    <mergeCell ref="L16:M17"/>
    <mergeCell ref="C24:D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RiskSerializationData</vt:lpstr>
      <vt:lpstr>2017</vt:lpstr>
      <vt:lpstr>2016 (2)</vt:lpstr>
      <vt:lpstr>EWR (2)</vt:lpstr>
      <vt:lpstr>Small Airports (2)</vt:lpstr>
      <vt:lpstr>Sheet1</vt:lpstr>
      <vt:lpstr>2016</vt:lpstr>
      <vt:lpstr>EWR</vt:lpstr>
      <vt:lpstr>Small Airports</vt:lpstr>
    </vt:vector>
  </TitlesOfParts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Aashna Khetani</dc:creator>
  <cp:lastModifiedBy>Rushabh Barbhaya</cp:lastModifiedBy>
  <dcterms:created xsi:type="dcterms:W3CDTF">2019-05-12T03:05:42Z</dcterms:created>
  <dcterms:modified xsi:type="dcterms:W3CDTF">2019-05-19T03:14:22Z</dcterms:modified>
</cp:coreProperties>
</file>