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Rushabh\Subjects\SYS 660 Decision Making via Risk Analysis\Homework\Assignment 1\"/>
    </mc:Choice>
  </mc:AlternateContent>
  <xr:revisionPtr revIDLastSave="0" documentId="13_ncr:1_{E7CA563F-0850-474F-92D2-971E1B939586}" xr6:coauthVersionLast="40" xr6:coauthVersionMax="40" xr10:uidLastSave="{00000000-0000-0000-0000-000000000000}"/>
  <bookViews>
    <workbookView xWindow="28680" yWindow="-120" windowWidth="29040" windowHeight="15840" activeTab="2" xr2:uid="{050F140C-A40E-4E6E-90F1-EB99969EE0CC}"/>
  </bookViews>
  <sheets>
    <sheet name="Sheet1" sheetId="1" r:id="rId1"/>
    <sheet name="Sheet3" sheetId="8" r:id="rId2"/>
    <sheet name="Converted Diagram" sheetId="12" r:id="rId3"/>
    <sheet name="Sheet5" sheetId="10" r:id="rId4"/>
    <sheet name="treeCalc_1" sheetId="13" state="hidden" r:id="rId5"/>
    <sheet name="inflCalc_3" sheetId="11" state="hidden" r:id="rId6"/>
    <sheet name="inflCalc_2" sheetId="9" state="hidden" r:id="rId7"/>
    <sheet name="inflCalc_1" sheetId="7" state="hidden" r:id="rId8"/>
  </sheets>
  <definedNames>
    <definedName name="inflList" hidden="1">"11100000000000000000000000000000000000000000000000000000000000000000000000000000000000000000000000000000000000000000000000000000000000000000000000000000000000000000000000000000000000000000000000000000"</definedName>
    <definedName name="Ptree_InflDiagramSummary" localSheetId="0" hidden="1">Sheet1!$A$1:$B$5</definedName>
    <definedName name="Ptree_InflDiagramSummary" localSheetId="1" hidden="1">Sheet3!$A$1:$B$5</definedName>
    <definedName name="Ptree_InflDiagramSummary" localSheetId="3" hidden="1">Sheet5!$A$1:$B$5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89" i="13" l="1"/>
  <c r="J1289" i="13"/>
  <c r="K1288" i="13"/>
  <c r="J1288" i="13"/>
  <c r="O1288" i="13"/>
  <c r="K1287" i="13"/>
  <c r="J1287" i="13"/>
  <c r="O1287" i="13"/>
  <c r="K1286" i="13"/>
  <c r="J1286" i="13"/>
  <c r="O1286" i="13"/>
  <c r="K1284" i="13"/>
  <c r="J1284" i="13"/>
  <c r="K1283" i="13"/>
  <c r="J1283" i="13"/>
  <c r="O1283" i="13"/>
  <c r="K1282" i="13"/>
  <c r="J1282" i="13"/>
  <c r="O1282" i="13"/>
  <c r="K1281" i="13"/>
  <c r="J1281" i="13"/>
  <c r="O1281" i="13"/>
  <c r="K1285" i="13"/>
  <c r="J1285" i="13"/>
  <c r="O1285" i="13"/>
  <c r="K1279" i="13"/>
  <c r="J1279" i="13"/>
  <c r="K1278" i="13"/>
  <c r="J1278" i="13"/>
  <c r="O1278" i="13"/>
  <c r="K1277" i="13"/>
  <c r="J1277" i="13"/>
  <c r="O1277" i="13"/>
  <c r="K1276" i="13"/>
  <c r="J1276" i="13"/>
  <c r="O1276" i="13"/>
  <c r="K1274" i="13"/>
  <c r="J1274" i="13"/>
  <c r="K1273" i="13"/>
  <c r="J1273" i="13"/>
  <c r="O1273" i="13"/>
  <c r="K1272" i="13"/>
  <c r="J1272" i="13"/>
  <c r="O1272" i="13"/>
  <c r="K1271" i="13"/>
  <c r="J1271" i="13"/>
  <c r="O1271" i="13"/>
  <c r="K1275" i="13"/>
  <c r="J1275" i="13"/>
  <c r="O1275" i="13"/>
  <c r="K1280" i="13"/>
  <c r="J1280" i="13"/>
  <c r="O1280" i="13"/>
  <c r="K1269" i="13"/>
  <c r="J1269" i="13"/>
  <c r="K1268" i="13"/>
  <c r="J1268" i="13"/>
  <c r="O1268" i="13"/>
  <c r="K1267" i="13"/>
  <c r="J1267" i="13"/>
  <c r="O1267" i="13"/>
  <c r="K1266" i="13"/>
  <c r="J1266" i="13"/>
  <c r="O1266" i="13"/>
  <c r="K1264" i="13"/>
  <c r="J1264" i="13"/>
  <c r="K1263" i="13"/>
  <c r="J1263" i="13"/>
  <c r="O1263" i="13"/>
  <c r="K1262" i="13"/>
  <c r="J1262" i="13"/>
  <c r="O1262" i="13"/>
  <c r="K1261" i="13"/>
  <c r="J1261" i="13"/>
  <c r="O1261" i="13"/>
  <c r="K1265" i="13"/>
  <c r="J1265" i="13"/>
  <c r="O1265" i="13"/>
  <c r="K1259" i="13"/>
  <c r="J1259" i="13"/>
  <c r="K1258" i="13"/>
  <c r="J1258" i="13"/>
  <c r="O1258" i="13"/>
  <c r="K1257" i="13"/>
  <c r="J1257" i="13"/>
  <c r="O1257" i="13"/>
  <c r="K1256" i="13"/>
  <c r="J1256" i="13"/>
  <c r="O1256" i="13"/>
  <c r="K1254" i="13"/>
  <c r="J1254" i="13"/>
  <c r="K1253" i="13"/>
  <c r="J1253" i="13"/>
  <c r="O1253" i="13"/>
  <c r="K1252" i="13"/>
  <c r="J1252" i="13"/>
  <c r="O1252" i="13"/>
  <c r="K1251" i="13"/>
  <c r="J1251" i="13"/>
  <c r="O1251" i="13"/>
  <c r="K1255" i="13"/>
  <c r="J1255" i="13"/>
  <c r="O1255" i="13"/>
  <c r="K1260" i="13"/>
  <c r="J1260" i="13"/>
  <c r="O1260" i="13"/>
  <c r="K1270" i="13"/>
  <c r="J1270" i="13"/>
  <c r="O1270" i="13"/>
  <c r="K1249" i="13"/>
  <c r="J1249" i="13"/>
  <c r="K1248" i="13"/>
  <c r="J1248" i="13"/>
  <c r="O1248" i="13"/>
  <c r="K1247" i="13"/>
  <c r="J1247" i="13"/>
  <c r="O1247" i="13"/>
  <c r="K1246" i="13"/>
  <c r="J1246" i="13"/>
  <c r="O1246" i="13"/>
  <c r="K1244" i="13"/>
  <c r="J1244" i="13"/>
  <c r="K1243" i="13"/>
  <c r="J1243" i="13"/>
  <c r="O1243" i="13"/>
  <c r="K1242" i="13"/>
  <c r="J1242" i="13"/>
  <c r="O1242" i="13"/>
  <c r="K1241" i="13"/>
  <c r="J1241" i="13"/>
  <c r="O1241" i="13"/>
  <c r="K1245" i="13"/>
  <c r="J1245" i="13"/>
  <c r="O1245" i="13"/>
  <c r="K1239" i="13"/>
  <c r="J1239" i="13"/>
  <c r="K1238" i="13"/>
  <c r="J1238" i="13"/>
  <c r="O1238" i="13"/>
  <c r="K1237" i="13"/>
  <c r="J1237" i="13"/>
  <c r="O1237" i="13"/>
  <c r="K1236" i="13"/>
  <c r="J1236" i="13"/>
  <c r="O1236" i="13"/>
  <c r="K1234" i="13"/>
  <c r="J1234" i="13"/>
  <c r="K1233" i="13"/>
  <c r="J1233" i="13"/>
  <c r="O1233" i="13"/>
  <c r="K1232" i="13"/>
  <c r="J1232" i="13"/>
  <c r="O1232" i="13"/>
  <c r="K1231" i="13"/>
  <c r="J1231" i="13"/>
  <c r="O1231" i="13"/>
  <c r="K1235" i="13"/>
  <c r="J1235" i="13"/>
  <c r="O1235" i="13"/>
  <c r="K1240" i="13"/>
  <c r="J1240" i="13"/>
  <c r="O1240" i="13"/>
  <c r="K1229" i="13"/>
  <c r="J1229" i="13"/>
  <c r="K1228" i="13"/>
  <c r="J1228" i="13"/>
  <c r="O1228" i="13"/>
  <c r="K1227" i="13"/>
  <c r="J1227" i="13"/>
  <c r="O1227" i="13"/>
  <c r="K1226" i="13"/>
  <c r="J1226" i="13"/>
  <c r="O1226" i="13"/>
  <c r="K1224" i="13"/>
  <c r="J1224" i="13"/>
  <c r="K1223" i="13"/>
  <c r="J1223" i="13"/>
  <c r="O1223" i="13"/>
  <c r="K1222" i="13"/>
  <c r="J1222" i="13"/>
  <c r="O1222" i="13"/>
  <c r="K1221" i="13"/>
  <c r="J1221" i="13"/>
  <c r="O1221" i="13"/>
  <c r="K1225" i="13"/>
  <c r="J1225" i="13"/>
  <c r="O1225" i="13"/>
  <c r="K1219" i="13"/>
  <c r="J1219" i="13"/>
  <c r="K1218" i="13"/>
  <c r="J1218" i="13"/>
  <c r="O1218" i="13"/>
  <c r="K1217" i="13"/>
  <c r="J1217" i="13"/>
  <c r="O1217" i="13"/>
  <c r="K1216" i="13"/>
  <c r="J1216" i="13"/>
  <c r="O1216" i="13"/>
  <c r="K1214" i="13"/>
  <c r="J1214" i="13"/>
  <c r="K1213" i="13"/>
  <c r="J1213" i="13"/>
  <c r="O1213" i="13"/>
  <c r="K1212" i="13"/>
  <c r="J1212" i="13"/>
  <c r="O1212" i="13"/>
  <c r="K1211" i="13"/>
  <c r="J1211" i="13"/>
  <c r="O1211" i="13"/>
  <c r="K1215" i="13"/>
  <c r="J1215" i="13"/>
  <c r="O1215" i="13"/>
  <c r="K1220" i="13"/>
  <c r="J1220" i="13"/>
  <c r="O1220" i="13"/>
  <c r="K1230" i="13"/>
  <c r="J1230" i="13"/>
  <c r="O1230" i="13"/>
  <c r="K1250" i="13"/>
  <c r="J1250" i="13"/>
  <c r="O1250" i="13"/>
  <c r="K1209" i="13"/>
  <c r="J1209" i="13"/>
  <c r="K1208" i="13"/>
  <c r="J1208" i="13"/>
  <c r="O1208" i="13"/>
  <c r="K1207" i="13"/>
  <c r="J1207" i="13"/>
  <c r="O1207" i="13"/>
  <c r="K1206" i="13"/>
  <c r="J1206" i="13"/>
  <c r="O1206" i="13"/>
  <c r="K1204" i="13"/>
  <c r="J1204" i="13"/>
  <c r="K1203" i="13"/>
  <c r="J1203" i="13"/>
  <c r="O1203" i="13"/>
  <c r="K1202" i="13"/>
  <c r="J1202" i="13"/>
  <c r="O1202" i="13"/>
  <c r="K1201" i="13"/>
  <c r="J1201" i="13"/>
  <c r="O1201" i="13"/>
  <c r="K1205" i="13"/>
  <c r="J1205" i="13"/>
  <c r="O1205" i="13"/>
  <c r="K1199" i="13"/>
  <c r="J1199" i="13"/>
  <c r="K1198" i="13"/>
  <c r="J1198" i="13"/>
  <c r="O1198" i="13"/>
  <c r="K1197" i="13"/>
  <c r="J1197" i="13"/>
  <c r="O1197" i="13"/>
  <c r="K1196" i="13"/>
  <c r="J1196" i="13"/>
  <c r="O1196" i="13"/>
  <c r="K1194" i="13"/>
  <c r="J1194" i="13"/>
  <c r="K1193" i="13"/>
  <c r="J1193" i="13"/>
  <c r="O1193" i="13"/>
  <c r="K1192" i="13"/>
  <c r="J1192" i="13"/>
  <c r="O1192" i="13"/>
  <c r="K1191" i="13"/>
  <c r="J1191" i="13"/>
  <c r="O1191" i="13"/>
  <c r="K1195" i="13"/>
  <c r="J1195" i="13"/>
  <c r="O1195" i="13"/>
  <c r="K1200" i="13"/>
  <c r="J1200" i="13"/>
  <c r="O1200" i="13"/>
  <c r="K1189" i="13"/>
  <c r="J1189" i="13"/>
  <c r="K1188" i="13"/>
  <c r="J1188" i="13"/>
  <c r="O1188" i="13"/>
  <c r="K1187" i="13"/>
  <c r="J1187" i="13"/>
  <c r="O1187" i="13"/>
  <c r="K1186" i="13"/>
  <c r="J1186" i="13"/>
  <c r="O1186" i="13"/>
  <c r="K1184" i="13"/>
  <c r="J1184" i="13"/>
  <c r="K1183" i="13"/>
  <c r="J1183" i="13"/>
  <c r="O1183" i="13"/>
  <c r="K1182" i="13"/>
  <c r="J1182" i="13"/>
  <c r="O1182" i="13"/>
  <c r="K1181" i="13"/>
  <c r="J1181" i="13"/>
  <c r="O1181" i="13"/>
  <c r="K1185" i="13"/>
  <c r="J1185" i="13"/>
  <c r="O1185" i="13"/>
  <c r="K1179" i="13"/>
  <c r="J1179" i="13"/>
  <c r="K1178" i="13"/>
  <c r="J1178" i="13"/>
  <c r="O1178" i="13"/>
  <c r="K1177" i="13"/>
  <c r="J1177" i="13"/>
  <c r="O1177" i="13"/>
  <c r="K1176" i="13"/>
  <c r="J1176" i="13"/>
  <c r="O1176" i="13"/>
  <c r="K1174" i="13"/>
  <c r="J1174" i="13"/>
  <c r="K1173" i="13"/>
  <c r="J1173" i="13"/>
  <c r="O1173" i="13"/>
  <c r="K1172" i="13"/>
  <c r="J1172" i="13"/>
  <c r="O1172" i="13"/>
  <c r="K1171" i="13"/>
  <c r="J1171" i="13"/>
  <c r="O1171" i="13"/>
  <c r="K1175" i="13"/>
  <c r="J1175" i="13"/>
  <c r="O1175" i="13"/>
  <c r="K1180" i="13"/>
  <c r="J1180" i="13"/>
  <c r="O1180" i="13"/>
  <c r="K1190" i="13"/>
  <c r="J1190" i="13"/>
  <c r="O1190" i="13"/>
  <c r="K1169" i="13"/>
  <c r="J1169" i="13"/>
  <c r="K1168" i="13"/>
  <c r="J1168" i="13"/>
  <c r="O1168" i="13"/>
  <c r="K1167" i="13"/>
  <c r="J1167" i="13"/>
  <c r="O1167" i="13"/>
  <c r="K1166" i="13"/>
  <c r="J1166" i="13"/>
  <c r="O1166" i="13"/>
  <c r="K1164" i="13"/>
  <c r="J1164" i="13"/>
  <c r="K1163" i="13"/>
  <c r="J1163" i="13"/>
  <c r="O1163" i="13"/>
  <c r="K1162" i="13"/>
  <c r="J1162" i="13"/>
  <c r="O1162" i="13"/>
  <c r="K1161" i="13"/>
  <c r="J1161" i="13"/>
  <c r="O1161" i="13"/>
  <c r="K1165" i="13"/>
  <c r="J1165" i="13"/>
  <c r="O1165" i="13"/>
  <c r="K1159" i="13"/>
  <c r="J1159" i="13"/>
  <c r="K1158" i="13"/>
  <c r="J1158" i="13"/>
  <c r="O1158" i="13"/>
  <c r="K1157" i="13"/>
  <c r="J1157" i="13"/>
  <c r="O1157" i="13"/>
  <c r="K1156" i="13"/>
  <c r="J1156" i="13"/>
  <c r="O1156" i="13"/>
  <c r="K1154" i="13"/>
  <c r="J1154" i="13"/>
  <c r="K1153" i="13"/>
  <c r="J1153" i="13"/>
  <c r="O1153" i="13"/>
  <c r="K1152" i="13"/>
  <c r="J1152" i="13"/>
  <c r="O1152" i="13"/>
  <c r="K1151" i="13"/>
  <c r="J1151" i="13"/>
  <c r="O1151" i="13"/>
  <c r="K1155" i="13"/>
  <c r="J1155" i="13"/>
  <c r="O1155" i="13"/>
  <c r="K1160" i="13"/>
  <c r="J1160" i="13"/>
  <c r="O1160" i="13"/>
  <c r="K1149" i="13"/>
  <c r="J1149" i="13"/>
  <c r="K1148" i="13"/>
  <c r="J1148" i="13"/>
  <c r="O1148" i="13"/>
  <c r="K1147" i="13"/>
  <c r="J1147" i="13"/>
  <c r="O1147" i="13"/>
  <c r="K1146" i="13"/>
  <c r="J1146" i="13"/>
  <c r="O1146" i="13"/>
  <c r="K1144" i="13"/>
  <c r="J1144" i="13"/>
  <c r="K1143" i="13"/>
  <c r="J1143" i="13"/>
  <c r="O1143" i="13"/>
  <c r="K1142" i="13"/>
  <c r="J1142" i="13"/>
  <c r="O1142" i="13"/>
  <c r="K1141" i="13"/>
  <c r="J1141" i="13"/>
  <c r="O1141" i="13"/>
  <c r="K1145" i="13"/>
  <c r="J1145" i="13"/>
  <c r="O1145" i="13"/>
  <c r="K1139" i="13"/>
  <c r="J1139" i="13"/>
  <c r="K1138" i="13"/>
  <c r="J1138" i="13"/>
  <c r="O1138" i="13"/>
  <c r="K1137" i="13"/>
  <c r="J1137" i="13"/>
  <c r="O1137" i="13"/>
  <c r="K1136" i="13"/>
  <c r="J1136" i="13"/>
  <c r="O1136" i="13"/>
  <c r="K1134" i="13"/>
  <c r="J1134" i="13"/>
  <c r="K1133" i="13"/>
  <c r="J1133" i="13"/>
  <c r="O1133" i="13"/>
  <c r="K1132" i="13"/>
  <c r="J1132" i="13"/>
  <c r="O1132" i="13"/>
  <c r="K1131" i="13"/>
  <c r="J1131" i="13"/>
  <c r="O1131" i="13"/>
  <c r="K1135" i="13"/>
  <c r="J1135" i="13"/>
  <c r="O1135" i="13"/>
  <c r="K1140" i="13"/>
  <c r="J1140" i="13"/>
  <c r="O1140" i="13"/>
  <c r="K1150" i="13"/>
  <c r="J1150" i="13"/>
  <c r="O1150" i="13"/>
  <c r="K1170" i="13"/>
  <c r="J1170" i="13"/>
  <c r="O1170" i="13"/>
  <c r="J1210" i="13"/>
  <c r="O1210" i="13"/>
  <c r="K1129" i="13"/>
  <c r="J1129" i="13"/>
  <c r="K1128" i="13"/>
  <c r="J1128" i="13"/>
  <c r="O1128" i="13"/>
  <c r="K1127" i="13"/>
  <c r="J1127" i="13"/>
  <c r="O1127" i="13"/>
  <c r="K1126" i="13"/>
  <c r="J1126" i="13"/>
  <c r="O1126" i="13"/>
  <c r="K1124" i="13"/>
  <c r="J1124" i="13"/>
  <c r="K1123" i="13"/>
  <c r="J1123" i="13"/>
  <c r="O1123" i="13"/>
  <c r="K1122" i="13"/>
  <c r="J1122" i="13"/>
  <c r="O1122" i="13"/>
  <c r="K1121" i="13"/>
  <c r="J1121" i="13"/>
  <c r="O1121" i="13"/>
  <c r="K1125" i="13"/>
  <c r="J1125" i="13"/>
  <c r="O1125" i="13"/>
  <c r="K1119" i="13"/>
  <c r="J1119" i="13"/>
  <c r="K1118" i="13"/>
  <c r="J1118" i="13"/>
  <c r="O1118" i="13"/>
  <c r="K1117" i="13"/>
  <c r="J1117" i="13"/>
  <c r="O1117" i="13"/>
  <c r="K1116" i="13"/>
  <c r="J1116" i="13"/>
  <c r="O1116" i="13"/>
  <c r="K1114" i="13"/>
  <c r="J1114" i="13"/>
  <c r="K1113" i="13"/>
  <c r="J1113" i="13"/>
  <c r="O1113" i="13"/>
  <c r="K1112" i="13"/>
  <c r="J1112" i="13"/>
  <c r="O1112" i="13"/>
  <c r="K1111" i="13"/>
  <c r="J1111" i="13"/>
  <c r="O1111" i="13"/>
  <c r="K1115" i="13"/>
  <c r="J1115" i="13"/>
  <c r="O1115" i="13"/>
  <c r="K1120" i="13"/>
  <c r="J1120" i="13"/>
  <c r="O1120" i="13"/>
  <c r="K1109" i="13"/>
  <c r="J1109" i="13"/>
  <c r="K1108" i="13"/>
  <c r="J1108" i="13"/>
  <c r="O1108" i="13"/>
  <c r="K1107" i="13"/>
  <c r="J1107" i="13"/>
  <c r="O1107" i="13"/>
  <c r="K1106" i="13"/>
  <c r="J1106" i="13"/>
  <c r="O1106" i="13"/>
  <c r="K1104" i="13"/>
  <c r="J1104" i="13"/>
  <c r="K1103" i="13"/>
  <c r="J1103" i="13"/>
  <c r="O1103" i="13"/>
  <c r="K1102" i="13"/>
  <c r="J1102" i="13"/>
  <c r="O1102" i="13"/>
  <c r="K1101" i="13"/>
  <c r="J1101" i="13"/>
  <c r="O1101" i="13"/>
  <c r="K1105" i="13"/>
  <c r="J1105" i="13"/>
  <c r="O1105" i="13"/>
  <c r="K1099" i="13"/>
  <c r="J1099" i="13"/>
  <c r="K1098" i="13"/>
  <c r="J1098" i="13"/>
  <c r="O1098" i="13"/>
  <c r="K1097" i="13"/>
  <c r="J1097" i="13"/>
  <c r="O1097" i="13"/>
  <c r="K1096" i="13"/>
  <c r="J1096" i="13"/>
  <c r="O1096" i="13"/>
  <c r="K1094" i="13"/>
  <c r="J1094" i="13"/>
  <c r="K1093" i="13"/>
  <c r="J1093" i="13"/>
  <c r="O1093" i="13"/>
  <c r="K1092" i="13"/>
  <c r="J1092" i="13"/>
  <c r="O1092" i="13"/>
  <c r="K1091" i="13"/>
  <c r="J1091" i="13"/>
  <c r="O1091" i="13"/>
  <c r="K1095" i="13"/>
  <c r="J1095" i="13"/>
  <c r="O1095" i="13"/>
  <c r="K1100" i="13"/>
  <c r="J1100" i="13"/>
  <c r="O1100" i="13"/>
  <c r="K1110" i="13"/>
  <c r="J1110" i="13"/>
  <c r="O1110" i="13"/>
  <c r="K1089" i="13"/>
  <c r="J1089" i="13"/>
  <c r="K1088" i="13"/>
  <c r="J1088" i="13"/>
  <c r="O1088" i="13"/>
  <c r="K1087" i="13"/>
  <c r="J1087" i="13"/>
  <c r="O1087" i="13"/>
  <c r="K1086" i="13"/>
  <c r="J1086" i="13"/>
  <c r="O1086" i="13"/>
  <c r="K1084" i="13"/>
  <c r="J1084" i="13"/>
  <c r="K1083" i="13"/>
  <c r="J1083" i="13"/>
  <c r="O1083" i="13"/>
  <c r="K1082" i="13"/>
  <c r="J1082" i="13"/>
  <c r="O1082" i="13"/>
  <c r="K1081" i="13"/>
  <c r="J1081" i="13"/>
  <c r="O1081" i="13"/>
  <c r="K1085" i="13"/>
  <c r="J1085" i="13"/>
  <c r="O1085" i="13"/>
  <c r="K1079" i="13"/>
  <c r="J1079" i="13"/>
  <c r="K1078" i="13"/>
  <c r="J1078" i="13"/>
  <c r="O1078" i="13"/>
  <c r="K1077" i="13"/>
  <c r="J1077" i="13"/>
  <c r="O1077" i="13"/>
  <c r="K1076" i="13"/>
  <c r="J1076" i="13"/>
  <c r="O1076" i="13"/>
  <c r="K1074" i="13"/>
  <c r="J1074" i="13"/>
  <c r="K1073" i="13"/>
  <c r="J1073" i="13"/>
  <c r="O1073" i="13"/>
  <c r="K1072" i="13"/>
  <c r="J1072" i="13"/>
  <c r="O1072" i="13"/>
  <c r="K1071" i="13"/>
  <c r="J1071" i="13"/>
  <c r="O1071" i="13"/>
  <c r="K1075" i="13"/>
  <c r="J1075" i="13"/>
  <c r="O1075" i="13"/>
  <c r="K1080" i="13"/>
  <c r="J1080" i="13"/>
  <c r="O1080" i="13"/>
  <c r="K1069" i="13"/>
  <c r="J1069" i="13"/>
  <c r="K1068" i="13"/>
  <c r="J1068" i="13"/>
  <c r="O1068" i="13"/>
  <c r="K1067" i="13"/>
  <c r="J1067" i="13"/>
  <c r="O1067" i="13"/>
  <c r="K1066" i="13"/>
  <c r="J1066" i="13"/>
  <c r="O1066" i="13"/>
  <c r="K1064" i="13"/>
  <c r="J1064" i="13"/>
  <c r="K1063" i="13"/>
  <c r="J1063" i="13"/>
  <c r="O1063" i="13"/>
  <c r="K1062" i="13"/>
  <c r="J1062" i="13"/>
  <c r="O1062" i="13"/>
  <c r="K1061" i="13"/>
  <c r="J1061" i="13"/>
  <c r="O1061" i="13"/>
  <c r="K1065" i="13"/>
  <c r="J1065" i="13"/>
  <c r="O1065" i="13"/>
  <c r="K1059" i="13"/>
  <c r="J1059" i="13"/>
  <c r="K1058" i="13"/>
  <c r="J1058" i="13"/>
  <c r="O1058" i="13"/>
  <c r="K1057" i="13"/>
  <c r="J1057" i="13"/>
  <c r="O1057" i="13"/>
  <c r="K1056" i="13"/>
  <c r="J1056" i="13"/>
  <c r="O1056" i="13"/>
  <c r="K1054" i="13"/>
  <c r="J1054" i="13"/>
  <c r="K1053" i="13"/>
  <c r="J1053" i="13"/>
  <c r="O1053" i="13"/>
  <c r="K1052" i="13"/>
  <c r="J1052" i="13"/>
  <c r="O1052" i="13"/>
  <c r="K1051" i="13"/>
  <c r="J1051" i="13"/>
  <c r="O1051" i="13"/>
  <c r="K1055" i="13"/>
  <c r="J1055" i="13"/>
  <c r="O1055" i="13"/>
  <c r="K1060" i="13"/>
  <c r="J1060" i="13"/>
  <c r="O1060" i="13"/>
  <c r="K1070" i="13"/>
  <c r="J1070" i="13"/>
  <c r="O1070" i="13"/>
  <c r="K1090" i="13"/>
  <c r="J1090" i="13"/>
  <c r="O1090" i="13"/>
  <c r="K1049" i="13"/>
  <c r="J1049" i="13"/>
  <c r="K1048" i="13"/>
  <c r="J1048" i="13"/>
  <c r="O1048" i="13"/>
  <c r="K1047" i="13"/>
  <c r="J1047" i="13"/>
  <c r="O1047" i="13"/>
  <c r="K1046" i="13"/>
  <c r="J1046" i="13"/>
  <c r="O1046" i="13"/>
  <c r="K1044" i="13"/>
  <c r="J1044" i="13"/>
  <c r="K1043" i="13"/>
  <c r="J1043" i="13"/>
  <c r="O1043" i="13"/>
  <c r="K1042" i="13"/>
  <c r="J1042" i="13"/>
  <c r="O1042" i="13"/>
  <c r="K1041" i="13"/>
  <c r="J1041" i="13"/>
  <c r="O1041" i="13"/>
  <c r="K1045" i="13"/>
  <c r="J1045" i="13"/>
  <c r="O1045" i="13"/>
  <c r="K1039" i="13"/>
  <c r="J1039" i="13"/>
  <c r="K1038" i="13"/>
  <c r="J1038" i="13"/>
  <c r="O1038" i="13"/>
  <c r="K1037" i="13"/>
  <c r="J1037" i="13"/>
  <c r="O1037" i="13"/>
  <c r="K1036" i="13"/>
  <c r="J1036" i="13"/>
  <c r="O1036" i="13"/>
  <c r="K1034" i="13"/>
  <c r="J1034" i="13"/>
  <c r="K1033" i="13"/>
  <c r="J1033" i="13"/>
  <c r="O1033" i="13"/>
  <c r="K1032" i="13"/>
  <c r="J1032" i="13"/>
  <c r="O1032" i="13"/>
  <c r="K1031" i="13"/>
  <c r="J1031" i="13"/>
  <c r="O1031" i="13"/>
  <c r="K1035" i="13"/>
  <c r="J1035" i="13"/>
  <c r="O1035" i="13"/>
  <c r="K1040" i="13"/>
  <c r="J1040" i="13"/>
  <c r="O1040" i="13"/>
  <c r="K1029" i="13"/>
  <c r="J1029" i="13"/>
  <c r="K1028" i="13"/>
  <c r="J1028" i="13"/>
  <c r="O1028" i="13"/>
  <c r="K1027" i="13"/>
  <c r="J1027" i="13"/>
  <c r="O1027" i="13"/>
  <c r="K1026" i="13"/>
  <c r="J1026" i="13"/>
  <c r="O1026" i="13"/>
  <c r="K1024" i="13"/>
  <c r="J1024" i="13"/>
  <c r="K1023" i="13"/>
  <c r="J1023" i="13"/>
  <c r="O1023" i="13"/>
  <c r="K1022" i="13"/>
  <c r="J1022" i="13"/>
  <c r="O1022" i="13"/>
  <c r="K1021" i="13"/>
  <c r="J1021" i="13"/>
  <c r="O1021" i="13"/>
  <c r="K1025" i="13"/>
  <c r="J1025" i="13"/>
  <c r="O1025" i="13"/>
  <c r="K1019" i="13"/>
  <c r="J1019" i="13"/>
  <c r="K1018" i="13"/>
  <c r="J1018" i="13"/>
  <c r="O1018" i="13"/>
  <c r="K1017" i="13"/>
  <c r="J1017" i="13"/>
  <c r="O1017" i="13"/>
  <c r="K1016" i="13"/>
  <c r="J1016" i="13"/>
  <c r="O1016" i="13"/>
  <c r="K1014" i="13"/>
  <c r="J1014" i="13"/>
  <c r="K1013" i="13"/>
  <c r="J1013" i="13"/>
  <c r="O1013" i="13"/>
  <c r="K1012" i="13"/>
  <c r="J1012" i="13"/>
  <c r="O1012" i="13"/>
  <c r="K1011" i="13"/>
  <c r="J1011" i="13"/>
  <c r="O1011" i="13"/>
  <c r="K1015" i="13"/>
  <c r="J1015" i="13"/>
  <c r="O1015" i="13"/>
  <c r="K1020" i="13"/>
  <c r="J1020" i="13"/>
  <c r="O1020" i="13"/>
  <c r="K1030" i="13"/>
  <c r="J1030" i="13"/>
  <c r="O1030" i="13"/>
  <c r="K1009" i="13"/>
  <c r="J1009" i="13"/>
  <c r="K1008" i="13"/>
  <c r="J1008" i="13"/>
  <c r="O1008" i="13"/>
  <c r="K1007" i="13"/>
  <c r="J1007" i="13"/>
  <c r="O1007" i="13"/>
  <c r="K1006" i="13"/>
  <c r="J1006" i="13"/>
  <c r="O1006" i="13"/>
  <c r="K1004" i="13"/>
  <c r="J1004" i="13"/>
  <c r="K1003" i="13"/>
  <c r="J1003" i="13"/>
  <c r="O1003" i="13"/>
  <c r="K1002" i="13"/>
  <c r="J1002" i="13"/>
  <c r="O1002" i="13"/>
  <c r="K1001" i="13"/>
  <c r="J1001" i="13"/>
  <c r="O1001" i="13"/>
  <c r="K1005" i="13"/>
  <c r="J1005" i="13"/>
  <c r="O1005" i="13"/>
  <c r="K999" i="13"/>
  <c r="J999" i="13"/>
  <c r="K998" i="13"/>
  <c r="J998" i="13"/>
  <c r="O998" i="13"/>
  <c r="K997" i="13"/>
  <c r="J997" i="13"/>
  <c r="O997" i="13"/>
  <c r="K996" i="13"/>
  <c r="J996" i="13"/>
  <c r="O996" i="13"/>
  <c r="K994" i="13"/>
  <c r="J994" i="13"/>
  <c r="K993" i="13"/>
  <c r="J993" i="13"/>
  <c r="O993" i="13"/>
  <c r="K992" i="13"/>
  <c r="J992" i="13"/>
  <c r="O992" i="13"/>
  <c r="K991" i="13"/>
  <c r="J991" i="13"/>
  <c r="O991" i="13"/>
  <c r="K995" i="13"/>
  <c r="J995" i="13"/>
  <c r="O995" i="13"/>
  <c r="K1000" i="13"/>
  <c r="J1000" i="13"/>
  <c r="O1000" i="13"/>
  <c r="K989" i="13"/>
  <c r="J989" i="13"/>
  <c r="K988" i="13"/>
  <c r="J988" i="13"/>
  <c r="O988" i="13"/>
  <c r="K987" i="13"/>
  <c r="J987" i="13"/>
  <c r="O987" i="13"/>
  <c r="K986" i="13"/>
  <c r="J986" i="13"/>
  <c r="O986" i="13"/>
  <c r="K984" i="13"/>
  <c r="J984" i="13"/>
  <c r="K983" i="13"/>
  <c r="J983" i="13"/>
  <c r="O983" i="13"/>
  <c r="K982" i="13"/>
  <c r="J982" i="13"/>
  <c r="O982" i="13"/>
  <c r="K981" i="13"/>
  <c r="J981" i="13"/>
  <c r="O981" i="13"/>
  <c r="K985" i="13"/>
  <c r="J985" i="13"/>
  <c r="O985" i="13"/>
  <c r="K979" i="13"/>
  <c r="J979" i="13"/>
  <c r="K978" i="13"/>
  <c r="J978" i="13"/>
  <c r="O978" i="13"/>
  <c r="K977" i="13"/>
  <c r="J977" i="13"/>
  <c r="O977" i="13"/>
  <c r="K976" i="13"/>
  <c r="J976" i="13"/>
  <c r="O976" i="13"/>
  <c r="K974" i="13"/>
  <c r="J974" i="13"/>
  <c r="K973" i="13"/>
  <c r="J973" i="13"/>
  <c r="O973" i="13"/>
  <c r="K972" i="13"/>
  <c r="J972" i="13"/>
  <c r="O972" i="13"/>
  <c r="K971" i="13"/>
  <c r="J971" i="13"/>
  <c r="O971" i="13"/>
  <c r="K975" i="13"/>
  <c r="J975" i="13"/>
  <c r="O975" i="13"/>
  <c r="K980" i="13"/>
  <c r="J980" i="13"/>
  <c r="O980" i="13"/>
  <c r="K990" i="13"/>
  <c r="J990" i="13"/>
  <c r="O990" i="13"/>
  <c r="K1010" i="13"/>
  <c r="J1010" i="13"/>
  <c r="O1010" i="13"/>
  <c r="J1050" i="13"/>
  <c r="O1050" i="13"/>
  <c r="J1130" i="13"/>
  <c r="O1130" i="13"/>
  <c r="K969" i="13"/>
  <c r="J969" i="13"/>
  <c r="K968" i="13"/>
  <c r="J968" i="13"/>
  <c r="O968" i="13"/>
  <c r="K967" i="13"/>
  <c r="J967" i="13"/>
  <c r="O967" i="13"/>
  <c r="K966" i="13"/>
  <c r="J966" i="13"/>
  <c r="O966" i="13"/>
  <c r="K964" i="13"/>
  <c r="J964" i="13"/>
  <c r="K963" i="13"/>
  <c r="J963" i="13"/>
  <c r="O963" i="13"/>
  <c r="K962" i="13"/>
  <c r="J962" i="13"/>
  <c r="O962" i="13"/>
  <c r="K961" i="13"/>
  <c r="J961" i="13"/>
  <c r="O961" i="13"/>
  <c r="K965" i="13"/>
  <c r="J965" i="13"/>
  <c r="O965" i="13"/>
  <c r="K959" i="13"/>
  <c r="J959" i="13"/>
  <c r="K958" i="13"/>
  <c r="J958" i="13"/>
  <c r="O958" i="13"/>
  <c r="K957" i="13"/>
  <c r="J957" i="13"/>
  <c r="O957" i="13"/>
  <c r="K956" i="13"/>
  <c r="J956" i="13"/>
  <c r="O956" i="13"/>
  <c r="K954" i="13"/>
  <c r="J954" i="13"/>
  <c r="K953" i="13"/>
  <c r="J953" i="13"/>
  <c r="O953" i="13"/>
  <c r="K952" i="13"/>
  <c r="J952" i="13"/>
  <c r="O952" i="13"/>
  <c r="K951" i="13"/>
  <c r="J951" i="13"/>
  <c r="O951" i="13"/>
  <c r="K955" i="13"/>
  <c r="J955" i="13"/>
  <c r="O955" i="13"/>
  <c r="K960" i="13"/>
  <c r="J960" i="13"/>
  <c r="O960" i="13"/>
  <c r="K949" i="13"/>
  <c r="J949" i="13"/>
  <c r="K948" i="13"/>
  <c r="J948" i="13"/>
  <c r="O948" i="13"/>
  <c r="K947" i="13"/>
  <c r="J947" i="13"/>
  <c r="O947" i="13"/>
  <c r="K946" i="13"/>
  <c r="J946" i="13"/>
  <c r="O946" i="13"/>
  <c r="K944" i="13"/>
  <c r="J944" i="13"/>
  <c r="K943" i="13"/>
  <c r="J943" i="13"/>
  <c r="O943" i="13"/>
  <c r="K942" i="13"/>
  <c r="J942" i="13"/>
  <c r="O942" i="13"/>
  <c r="K941" i="13"/>
  <c r="J941" i="13"/>
  <c r="O941" i="13"/>
  <c r="K945" i="13"/>
  <c r="J945" i="13"/>
  <c r="O945" i="13"/>
  <c r="K939" i="13"/>
  <c r="J939" i="13"/>
  <c r="K938" i="13"/>
  <c r="J938" i="13"/>
  <c r="O938" i="13"/>
  <c r="K937" i="13"/>
  <c r="J937" i="13"/>
  <c r="O937" i="13"/>
  <c r="K936" i="13"/>
  <c r="J936" i="13"/>
  <c r="O936" i="13"/>
  <c r="K934" i="13"/>
  <c r="J934" i="13"/>
  <c r="K933" i="13"/>
  <c r="J933" i="13"/>
  <c r="O933" i="13"/>
  <c r="K932" i="13"/>
  <c r="J932" i="13"/>
  <c r="O932" i="13"/>
  <c r="K931" i="13"/>
  <c r="J931" i="13"/>
  <c r="O931" i="13"/>
  <c r="K935" i="13"/>
  <c r="J935" i="13"/>
  <c r="O935" i="13"/>
  <c r="K940" i="13"/>
  <c r="J940" i="13"/>
  <c r="O940" i="13"/>
  <c r="K950" i="13"/>
  <c r="J950" i="13"/>
  <c r="O950" i="13"/>
  <c r="K929" i="13"/>
  <c r="J929" i="13"/>
  <c r="K928" i="13"/>
  <c r="J928" i="13"/>
  <c r="O928" i="13"/>
  <c r="K927" i="13"/>
  <c r="J927" i="13"/>
  <c r="O927" i="13"/>
  <c r="K926" i="13"/>
  <c r="J926" i="13"/>
  <c r="O926" i="13"/>
  <c r="K924" i="13"/>
  <c r="J924" i="13"/>
  <c r="K923" i="13"/>
  <c r="J923" i="13"/>
  <c r="O923" i="13"/>
  <c r="K922" i="13"/>
  <c r="J922" i="13"/>
  <c r="O922" i="13"/>
  <c r="K921" i="13"/>
  <c r="J921" i="13"/>
  <c r="O921" i="13"/>
  <c r="K925" i="13"/>
  <c r="J925" i="13"/>
  <c r="O925" i="13"/>
  <c r="K919" i="13"/>
  <c r="J919" i="13"/>
  <c r="K918" i="13"/>
  <c r="J918" i="13"/>
  <c r="O918" i="13"/>
  <c r="K917" i="13"/>
  <c r="J917" i="13"/>
  <c r="O917" i="13"/>
  <c r="K916" i="13"/>
  <c r="J916" i="13"/>
  <c r="O916" i="13"/>
  <c r="K914" i="13"/>
  <c r="J914" i="13"/>
  <c r="K913" i="13"/>
  <c r="J913" i="13"/>
  <c r="O913" i="13"/>
  <c r="K912" i="13"/>
  <c r="J912" i="13"/>
  <c r="O912" i="13"/>
  <c r="K911" i="13"/>
  <c r="J911" i="13"/>
  <c r="O911" i="13"/>
  <c r="K915" i="13"/>
  <c r="J915" i="13"/>
  <c r="O915" i="13"/>
  <c r="K920" i="13"/>
  <c r="J920" i="13"/>
  <c r="O920" i="13"/>
  <c r="K909" i="13"/>
  <c r="J909" i="13"/>
  <c r="K908" i="13"/>
  <c r="J908" i="13"/>
  <c r="O908" i="13"/>
  <c r="K907" i="13"/>
  <c r="J907" i="13"/>
  <c r="O907" i="13"/>
  <c r="K906" i="13"/>
  <c r="J906" i="13"/>
  <c r="O906" i="13"/>
  <c r="K904" i="13"/>
  <c r="J904" i="13"/>
  <c r="K903" i="13"/>
  <c r="J903" i="13"/>
  <c r="O903" i="13"/>
  <c r="K902" i="13"/>
  <c r="J902" i="13"/>
  <c r="O902" i="13"/>
  <c r="K901" i="13"/>
  <c r="J901" i="13"/>
  <c r="O901" i="13"/>
  <c r="K905" i="13"/>
  <c r="J905" i="13"/>
  <c r="O905" i="13"/>
  <c r="K899" i="13"/>
  <c r="J899" i="13"/>
  <c r="K898" i="13"/>
  <c r="J898" i="13"/>
  <c r="O898" i="13"/>
  <c r="K897" i="13"/>
  <c r="J897" i="13"/>
  <c r="O897" i="13"/>
  <c r="K896" i="13"/>
  <c r="J896" i="13"/>
  <c r="O896" i="13"/>
  <c r="K894" i="13"/>
  <c r="J894" i="13"/>
  <c r="K893" i="13"/>
  <c r="J893" i="13"/>
  <c r="O893" i="13"/>
  <c r="K892" i="13"/>
  <c r="J892" i="13"/>
  <c r="O892" i="13"/>
  <c r="K891" i="13"/>
  <c r="J891" i="13"/>
  <c r="O891" i="13"/>
  <c r="K895" i="13"/>
  <c r="J895" i="13"/>
  <c r="O895" i="13"/>
  <c r="K900" i="13"/>
  <c r="J900" i="13"/>
  <c r="O900" i="13"/>
  <c r="K910" i="13"/>
  <c r="J910" i="13"/>
  <c r="O910" i="13"/>
  <c r="K930" i="13"/>
  <c r="J930" i="13"/>
  <c r="O930" i="13"/>
  <c r="K889" i="13"/>
  <c r="J889" i="13"/>
  <c r="K888" i="13"/>
  <c r="J888" i="13"/>
  <c r="O888" i="13"/>
  <c r="K887" i="13"/>
  <c r="J887" i="13"/>
  <c r="O887" i="13"/>
  <c r="K886" i="13"/>
  <c r="J886" i="13"/>
  <c r="O886" i="13"/>
  <c r="K884" i="13"/>
  <c r="J884" i="13"/>
  <c r="K883" i="13"/>
  <c r="J883" i="13"/>
  <c r="O883" i="13"/>
  <c r="K882" i="13"/>
  <c r="J882" i="13"/>
  <c r="O882" i="13"/>
  <c r="K881" i="13"/>
  <c r="J881" i="13"/>
  <c r="O881" i="13"/>
  <c r="K885" i="13"/>
  <c r="J885" i="13"/>
  <c r="O885" i="13"/>
  <c r="K879" i="13"/>
  <c r="J879" i="13"/>
  <c r="K878" i="13"/>
  <c r="J878" i="13"/>
  <c r="O878" i="13"/>
  <c r="K877" i="13"/>
  <c r="J877" i="13"/>
  <c r="O877" i="13"/>
  <c r="K876" i="13"/>
  <c r="J876" i="13"/>
  <c r="O876" i="13"/>
  <c r="K874" i="13"/>
  <c r="J874" i="13"/>
  <c r="K873" i="13"/>
  <c r="J873" i="13"/>
  <c r="O873" i="13"/>
  <c r="K872" i="13"/>
  <c r="J872" i="13"/>
  <c r="O872" i="13"/>
  <c r="K871" i="13"/>
  <c r="J871" i="13"/>
  <c r="O871" i="13"/>
  <c r="K875" i="13"/>
  <c r="J875" i="13"/>
  <c r="O875" i="13"/>
  <c r="K880" i="13"/>
  <c r="J880" i="13"/>
  <c r="O880" i="13"/>
  <c r="K869" i="13"/>
  <c r="J869" i="13"/>
  <c r="K868" i="13"/>
  <c r="J868" i="13"/>
  <c r="O868" i="13"/>
  <c r="K867" i="13"/>
  <c r="J867" i="13"/>
  <c r="O867" i="13"/>
  <c r="K866" i="13"/>
  <c r="J866" i="13"/>
  <c r="O866" i="13"/>
  <c r="K864" i="13"/>
  <c r="J864" i="13"/>
  <c r="K863" i="13"/>
  <c r="J863" i="13"/>
  <c r="O863" i="13"/>
  <c r="K862" i="13"/>
  <c r="J862" i="13"/>
  <c r="O862" i="13"/>
  <c r="K861" i="13"/>
  <c r="J861" i="13"/>
  <c r="O861" i="13"/>
  <c r="K865" i="13"/>
  <c r="J865" i="13"/>
  <c r="O865" i="13"/>
  <c r="K859" i="13"/>
  <c r="J859" i="13"/>
  <c r="K858" i="13"/>
  <c r="J858" i="13"/>
  <c r="O858" i="13"/>
  <c r="K857" i="13"/>
  <c r="J857" i="13"/>
  <c r="O857" i="13"/>
  <c r="K856" i="13"/>
  <c r="J856" i="13"/>
  <c r="O856" i="13"/>
  <c r="K854" i="13"/>
  <c r="J854" i="13"/>
  <c r="K853" i="13"/>
  <c r="J853" i="13"/>
  <c r="O853" i="13"/>
  <c r="K852" i="13"/>
  <c r="J852" i="13"/>
  <c r="O852" i="13"/>
  <c r="K851" i="13"/>
  <c r="J851" i="13"/>
  <c r="O851" i="13"/>
  <c r="K855" i="13"/>
  <c r="J855" i="13"/>
  <c r="O855" i="13"/>
  <c r="K860" i="13"/>
  <c r="J860" i="13"/>
  <c r="O860" i="13"/>
  <c r="K870" i="13"/>
  <c r="J870" i="13"/>
  <c r="O870" i="13"/>
  <c r="K849" i="13"/>
  <c r="J849" i="13"/>
  <c r="K848" i="13"/>
  <c r="J848" i="13"/>
  <c r="O848" i="13"/>
  <c r="K847" i="13"/>
  <c r="J847" i="13"/>
  <c r="O847" i="13"/>
  <c r="K846" i="13"/>
  <c r="J846" i="13"/>
  <c r="O846" i="13"/>
  <c r="K844" i="13"/>
  <c r="J844" i="13"/>
  <c r="K843" i="13"/>
  <c r="J843" i="13"/>
  <c r="O843" i="13"/>
  <c r="K842" i="13"/>
  <c r="J842" i="13"/>
  <c r="O842" i="13"/>
  <c r="K841" i="13"/>
  <c r="J841" i="13"/>
  <c r="O841" i="13"/>
  <c r="K845" i="13"/>
  <c r="J845" i="13"/>
  <c r="O845" i="13"/>
  <c r="K839" i="13"/>
  <c r="J839" i="13"/>
  <c r="K838" i="13"/>
  <c r="J838" i="13"/>
  <c r="O838" i="13"/>
  <c r="K837" i="13"/>
  <c r="J837" i="13"/>
  <c r="O837" i="13"/>
  <c r="K836" i="13"/>
  <c r="J836" i="13"/>
  <c r="O836" i="13"/>
  <c r="K834" i="13"/>
  <c r="J834" i="13"/>
  <c r="K833" i="13"/>
  <c r="J833" i="13"/>
  <c r="O833" i="13"/>
  <c r="K832" i="13"/>
  <c r="J832" i="13"/>
  <c r="O832" i="13"/>
  <c r="K831" i="13"/>
  <c r="J831" i="13"/>
  <c r="O831" i="13"/>
  <c r="K835" i="13"/>
  <c r="J835" i="13"/>
  <c r="O835" i="13"/>
  <c r="K840" i="13"/>
  <c r="J840" i="13"/>
  <c r="O840" i="13"/>
  <c r="K829" i="13"/>
  <c r="J829" i="13"/>
  <c r="K828" i="13"/>
  <c r="J828" i="13"/>
  <c r="O828" i="13"/>
  <c r="K827" i="13"/>
  <c r="J827" i="13"/>
  <c r="O827" i="13"/>
  <c r="K826" i="13"/>
  <c r="J826" i="13"/>
  <c r="O826" i="13"/>
  <c r="K824" i="13"/>
  <c r="J824" i="13"/>
  <c r="K823" i="13"/>
  <c r="J823" i="13"/>
  <c r="O823" i="13"/>
  <c r="K822" i="13"/>
  <c r="J822" i="13"/>
  <c r="O822" i="13"/>
  <c r="K821" i="13"/>
  <c r="J821" i="13"/>
  <c r="O821" i="13"/>
  <c r="K825" i="13"/>
  <c r="J825" i="13"/>
  <c r="O825" i="13"/>
  <c r="K819" i="13"/>
  <c r="J819" i="13"/>
  <c r="K818" i="13"/>
  <c r="J818" i="13"/>
  <c r="O818" i="13"/>
  <c r="K817" i="13"/>
  <c r="J817" i="13"/>
  <c r="O817" i="13"/>
  <c r="K816" i="13"/>
  <c r="J816" i="13"/>
  <c r="O816" i="13"/>
  <c r="K814" i="13"/>
  <c r="J814" i="13"/>
  <c r="K813" i="13"/>
  <c r="J813" i="13"/>
  <c r="O813" i="13"/>
  <c r="K812" i="13"/>
  <c r="J812" i="13"/>
  <c r="O812" i="13"/>
  <c r="K811" i="13"/>
  <c r="J811" i="13"/>
  <c r="O811" i="13"/>
  <c r="K815" i="13"/>
  <c r="J815" i="13"/>
  <c r="O815" i="13"/>
  <c r="K820" i="13"/>
  <c r="J820" i="13"/>
  <c r="O820" i="13"/>
  <c r="K830" i="13"/>
  <c r="J830" i="13"/>
  <c r="O830" i="13"/>
  <c r="K850" i="13"/>
  <c r="J850" i="13"/>
  <c r="O850" i="13"/>
  <c r="J890" i="13"/>
  <c r="O890" i="13"/>
  <c r="K809" i="13"/>
  <c r="J809" i="13"/>
  <c r="K808" i="13"/>
  <c r="J808" i="13"/>
  <c r="O808" i="13"/>
  <c r="K807" i="13"/>
  <c r="J807" i="13"/>
  <c r="O807" i="13"/>
  <c r="K806" i="13"/>
  <c r="J806" i="13"/>
  <c r="O806" i="13"/>
  <c r="K804" i="13"/>
  <c r="J804" i="13"/>
  <c r="K803" i="13"/>
  <c r="J803" i="13"/>
  <c r="O803" i="13"/>
  <c r="K802" i="13"/>
  <c r="J802" i="13"/>
  <c r="O802" i="13"/>
  <c r="K801" i="13"/>
  <c r="J801" i="13"/>
  <c r="O801" i="13"/>
  <c r="K805" i="13"/>
  <c r="J805" i="13"/>
  <c r="O805" i="13"/>
  <c r="K799" i="13"/>
  <c r="J799" i="13"/>
  <c r="K798" i="13"/>
  <c r="J798" i="13"/>
  <c r="O798" i="13"/>
  <c r="K797" i="13"/>
  <c r="J797" i="13"/>
  <c r="O797" i="13"/>
  <c r="K796" i="13"/>
  <c r="J796" i="13"/>
  <c r="O796" i="13"/>
  <c r="K794" i="13"/>
  <c r="J794" i="13"/>
  <c r="K793" i="13"/>
  <c r="J793" i="13"/>
  <c r="O793" i="13"/>
  <c r="K792" i="13"/>
  <c r="J792" i="13"/>
  <c r="O792" i="13"/>
  <c r="K791" i="13"/>
  <c r="J791" i="13"/>
  <c r="O791" i="13"/>
  <c r="K795" i="13"/>
  <c r="J795" i="13"/>
  <c r="O795" i="13"/>
  <c r="K800" i="13"/>
  <c r="J800" i="13"/>
  <c r="O800" i="13"/>
  <c r="K789" i="13"/>
  <c r="J789" i="13"/>
  <c r="K788" i="13"/>
  <c r="J788" i="13"/>
  <c r="O788" i="13"/>
  <c r="K787" i="13"/>
  <c r="J787" i="13"/>
  <c r="O787" i="13"/>
  <c r="K786" i="13"/>
  <c r="J786" i="13"/>
  <c r="O786" i="13"/>
  <c r="K784" i="13"/>
  <c r="J784" i="13"/>
  <c r="K783" i="13"/>
  <c r="J783" i="13"/>
  <c r="O783" i="13"/>
  <c r="K782" i="13"/>
  <c r="J782" i="13"/>
  <c r="O782" i="13"/>
  <c r="K781" i="13"/>
  <c r="J781" i="13"/>
  <c r="O781" i="13"/>
  <c r="K785" i="13"/>
  <c r="J785" i="13"/>
  <c r="O785" i="13"/>
  <c r="K779" i="13"/>
  <c r="J779" i="13"/>
  <c r="K778" i="13"/>
  <c r="J778" i="13"/>
  <c r="O778" i="13"/>
  <c r="K777" i="13"/>
  <c r="J777" i="13"/>
  <c r="O777" i="13"/>
  <c r="K776" i="13"/>
  <c r="J776" i="13"/>
  <c r="O776" i="13"/>
  <c r="K774" i="13"/>
  <c r="J774" i="13"/>
  <c r="K773" i="13"/>
  <c r="J773" i="13"/>
  <c r="O773" i="13"/>
  <c r="K772" i="13"/>
  <c r="J772" i="13"/>
  <c r="O772" i="13"/>
  <c r="K771" i="13"/>
  <c r="J771" i="13"/>
  <c r="O771" i="13"/>
  <c r="K775" i="13"/>
  <c r="J775" i="13"/>
  <c r="O775" i="13"/>
  <c r="K780" i="13"/>
  <c r="J780" i="13"/>
  <c r="O780" i="13"/>
  <c r="K790" i="13"/>
  <c r="J790" i="13"/>
  <c r="O790" i="13"/>
  <c r="K769" i="13"/>
  <c r="J769" i="13"/>
  <c r="K768" i="13"/>
  <c r="J768" i="13"/>
  <c r="O768" i="13"/>
  <c r="K767" i="13"/>
  <c r="J767" i="13"/>
  <c r="O767" i="13"/>
  <c r="K766" i="13"/>
  <c r="J766" i="13"/>
  <c r="O766" i="13"/>
  <c r="K764" i="13"/>
  <c r="J764" i="13"/>
  <c r="K763" i="13"/>
  <c r="J763" i="13"/>
  <c r="O763" i="13"/>
  <c r="K762" i="13"/>
  <c r="J762" i="13"/>
  <c r="O762" i="13"/>
  <c r="K761" i="13"/>
  <c r="J761" i="13"/>
  <c r="O761" i="13"/>
  <c r="K765" i="13"/>
  <c r="J765" i="13"/>
  <c r="O765" i="13"/>
  <c r="K759" i="13"/>
  <c r="J759" i="13"/>
  <c r="K758" i="13"/>
  <c r="J758" i="13"/>
  <c r="O758" i="13"/>
  <c r="K757" i="13"/>
  <c r="J757" i="13"/>
  <c r="O757" i="13"/>
  <c r="K756" i="13"/>
  <c r="J756" i="13"/>
  <c r="O756" i="13"/>
  <c r="K754" i="13"/>
  <c r="J754" i="13"/>
  <c r="K753" i="13"/>
  <c r="J753" i="13"/>
  <c r="O753" i="13"/>
  <c r="K752" i="13"/>
  <c r="J752" i="13"/>
  <c r="O752" i="13"/>
  <c r="K751" i="13"/>
  <c r="J751" i="13"/>
  <c r="O751" i="13"/>
  <c r="K755" i="13"/>
  <c r="J755" i="13"/>
  <c r="O755" i="13"/>
  <c r="K760" i="13"/>
  <c r="J760" i="13"/>
  <c r="O760" i="13"/>
  <c r="K749" i="13"/>
  <c r="J749" i="13"/>
  <c r="K748" i="13"/>
  <c r="J748" i="13"/>
  <c r="O748" i="13"/>
  <c r="K747" i="13"/>
  <c r="J747" i="13"/>
  <c r="O747" i="13"/>
  <c r="K746" i="13"/>
  <c r="J746" i="13"/>
  <c r="O746" i="13"/>
  <c r="K744" i="13"/>
  <c r="J744" i="13"/>
  <c r="K743" i="13"/>
  <c r="J743" i="13"/>
  <c r="O743" i="13"/>
  <c r="K742" i="13"/>
  <c r="J742" i="13"/>
  <c r="O742" i="13"/>
  <c r="K741" i="13"/>
  <c r="J741" i="13"/>
  <c r="O741" i="13"/>
  <c r="K745" i="13"/>
  <c r="J745" i="13"/>
  <c r="O745" i="13"/>
  <c r="K739" i="13"/>
  <c r="J739" i="13"/>
  <c r="K738" i="13"/>
  <c r="J738" i="13"/>
  <c r="O738" i="13"/>
  <c r="K737" i="13"/>
  <c r="J737" i="13"/>
  <c r="O737" i="13"/>
  <c r="K736" i="13"/>
  <c r="J736" i="13"/>
  <c r="O736" i="13"/>
  <c r="K734" i="13"/>
  <c r="J734" i="13"/>
  <c r="K733" i="13"/>
  <c r="J733" i="13"/>
  <c r="O733" i="13"/>
  <c r="K732" i="13"/>
  <c r="J732" i="13"/>
  <c r="O732" i="13"/>
  <c r="K731" i="13"/>
  <c r="J731" i="13"/>
  <c r="O731" i="13"/>
  <c r="K735" i="13"/>
  <c r="J735" i="13"/>
  <c r="O735" i="13"/>
  <c r="K740" i="13"/>
  <c r="J740" i="13"/>
  <c r="O740" i="13"/>
  <c r="K750" i="13"/>
  <c r="J750" i="13"/>
  <c r="O750" i="13"/>
  <c r="K770" i="13"/>
  <c r="J770" i="13"/>
  <c r="O770" i="13"/>
  <c r="K729" i="13"/>
  <c r="J729" i="13"/>
  <c r="K728" i="13"/>
  <c r="J728" i="13"/>
  <c r="O728" i="13"/>
  <c r="K727" i="13"/>
  <c r="J727" i="13"/>
  <c r="O727" i="13"/>
  <c r="K726" i="13"/>
  <c r="J726" i="13"/>
  <c r="O726" i="13"/>
  <c r="K724" i="13"/>
  <c r="J724" i="13"/>
  <c r="K723" i="13"/>
  <c r="J723" i="13"/>
  <c r="O723" i="13"/>
  <c r="K722" i="13"/>
  <c r="J722" i="13"/>
  <c r="O722" i="13"/>
  <c r="K721" i="13"/>
  <c r="J721" i="13"/>
  <c r="O721" i="13"/>
  <c r="K725" i="13"/>
  <c r="J725" i="13"/>
  <c r="O725" i="13"/>
  <c r="K719" i="13"/>
  <c r="J719" i="13"/>
  <c r="K718" i="13"/>
  <c r="J718" i="13"/>
  <c r="O718" i="13"/>
  <c r="K717" i="13"/>
  <c r="J717" i="13"/>
  <c r="O717" i="13"/>
  <c r="K716" i="13"/>
  <c r="J716" i="13"/>
  <c r="O716" i="13"/>
  <c r="K714" i="13"/>
  <c r="J714" i="13"/>
  <c r="K713" i="13"/>
  <c r="J713" i="13"/>
  <c r="O713" i="13"/>
  <c r="K712" i="13"/>
  <c r="J712" i="13"/>
  <c r="O712" i="13"/>
  <c r="K711" i="13"/>
  <c r="J711" i="13"/>
  <c r="O711" i="13"/>
  <c r="K715" i="13"/>
  <c r="J715" i="13"/>
  <c r="O715" i="13"/>
  <c r="K720" i="13"/>
  <c r="J720" i="13"/>
  <c r="O720" i="13"/>
  <c r="K709" i="13"/>
  <c r="J709" i="13"/>
  <c r="K708" i="13"/>
  <c r="J708" i="13"/>
  <c r="O708" i="13"/>
  <c r="K707" i="13"/>
  <c r="J707" i="13"/>
  <c r="O707" i="13"/>
  <c r="K706" i="13"/>
  <c r="J706" i="13"/>
  <c r="O706" i="13"/>
  <c r="K704" i="13"/>
  <c r="J704" i="13"/>
  <c r="K703" i="13"/>
  <c r="J703" i="13"/>
  <c r="O703" i="13"/>
  <c r="K702" i="13"/>
  <c r="J702" i="13"/>
  <c r="O702" i="13"/>
  <c r="K701" i="13"/>
  <c r="J701" i="13"/>
  <c r="O701" i="13"/>
  <c r="K705" i="13"/>
  <c r="J705" i="13"/>
  <c r="O705" i="13"/>
  <c r="K699" i="13"/>
  <c r="J699" i="13"/>
  <c r="K698" i="13"/>
  <c r="J698" i="13"/>
  <c r="O698" i="13"/>
  <c r="K697" i="13"/>
  <c r="J697" i="13"/>
  <c r="O697" i="13"/>
  <c r="K696" i="13"/>
  <c r="J696" i="13"/>
  <c r="O696" i="13"/>
  <c r="K694" i="13"/>
  <c r="J694" i="13"/>
  <c r="K693" i="13"/>
  <c r="J693" i="13"/>
  <c r="O693" i="13"/>
  <c r="K692" i="13"/>
  <c r="J692" i="13"/>
  <c r="O692" i="13"/>
  <c r="K691" i="13"/>
  <c r="J691" i="13"/>
  <c r="O691" i="13"/>
  <c r="K695" i="13"/>
  <c r="J695" i="13"/>
  <c r="O695" i="13"/>
  <c r="K700" i="13"/>
  <c r="J700" i="13"/>
  <c r="O700" i="13"/>
  <c r="K710" i="13"/>
  <c r="J710" i="13"/>
  <c r="O710" i="13"/>
  <c r="K689" i="13"/>
  <c r="J689" i="13"/>
  <c r="K688" i="13"/>
  <c r="J688" i="13"/>
  <c r="O688" i="13"/>
  <c r="K687" i="13"/>
  <c r="J687" i="13"/>
  <c r="O687" i="13"/>
  <c r="K686" i="13"/>
  <c r="J686" i="13"/>
  <c r="O686" i="13"/>
  <c r="K684" i="13"/>
  <c r="J684" i="13"/>
  <c r="K683" i="13"/>
  <c r="J683" i="13"/>
  <c r="O683" i="13"/>
  <c r="K682" i="13"/>
  <c r="J682" i="13"/>
  <c r="O682" i="13"/>
  <c r="K681" i="13"/>
  <c r="J681" i="13"/>
  <c r="O681" i="13"/>
  <c r="K685" i="13"/>
  <c r="J685" i="13"/>
  <c r="O685" i="13"/>
  <c r="K679" i="13"/>
  <c r="J679" i="13"/>
  <c r="K678" i="13"/>
  <c r="J678" i="13"/>
  <c r="O678" i="13"/>
  <c r="K677" i="13"/>
  <c r="J677" i="13"/>
  <c r="O677" i="13"/>
  <c r="K676" i="13"/>
  <c r="J676" i="13"/>
  <c r="O676" i="13"/>
  <c r="K674" i="13"/>
  <c r="J674" i="13"/>
  <c r="K673" i="13"/>
  <c r="J673" i="13"/>
  <c r="O673" i="13"/>
  <c r="K672" i="13"/>
  <c r="J672" i="13"/>
  <c r="O672" i="13"/>
  <c r="K671" i="13"/>
  <c r="J671" i="13"/>
  <c r="O671" i="13"/>
  <c r="K675" i="13"/>
  <c r="J675" i="13"/>
  <c r="O675" i="13"/>
  <c r="K680" i="13"/>
  <c r="J680" i="13"/>
  <c r="O680" i="13"/>
  <c r="K669" i="13"/>
  <c r="J669" i="13"/>
  <c r="K668" i="13"/>
  <c r="J668" i="13"/>
  <c r="O668" i="13"/>
  <c r="K667" i="13"/>
  <c r="J667" i="13"/>
  <c r="O667" i="13"/>
  <c r="K666" i="13"/>
  <c r="J666" i="13"/>
  <c r="O666" i="13"/>
  <c r="K664" i="13"/>
  <c r="J664" i="13"/>
  <c r="K663" i="13"/>
  <c r="J663" i="13"/>
  <c r="O663" i="13"/>
  <c r="K662" i="13"/>
  <c r="J662" i="13"/>
  <c r="O662" i="13"/>
  <c r="K661" i="13"/>
  <c r="J661" i="13"/>
  <c r="O661" i="13"/>
  <c r="K665" i="13"/>
  <c r="J665" i="13"/>
  <c r="O665" i="13"/>
  <c r="K659" i="13"/>
  <c r="J659" i="13"/>
  <c r="K658" i="13"/>
  <c r="J658" i="13"/>
  <c r="O658" i="13"/>
  <c r="K657" i="13"/>
  <c r="J657" i="13"/>
  <c r="O657" i="13"/>
  <c r="K656" i="13"/>
  <c r="J656" i="13"/>
  <c r="O656" i="13"/>
  <c r="K654" i="13"/>
  <c r="J654" i="13"/>
  <c r="K653" i="13"/>
  <c r="J653" i="13"/>
  <c r="O653" i="13"/>
  <c r="K652" i="13"/>
  <c r="J652" i="13"/>
  <c r="O652" i="13"/>
  <c r="K651" i="13"/>
  <c r="J651" i="13"/>
  <c r="O651" i="13"/>
  <c r="K655" i="13"/>
  <c r="J655" i="13"/>
  <c r="O655" i="13"/>
  <c r="K660" i="13"/>
  <c r="J660" i="13"/>
  <c r="O660" i="13"/>
  <c r="K670" i="13"/>
  <c r="J670" i="13"/>
  <c r="O670" i="13"/>
  <c r="K690" i="13"/>
  <c r="J690" i="13"/>
  <c r="O690" i="13"/>
  <c r="J730" i="13"/>
  <c r="O730" i="13"/>
  <c r="J810" i="13"/>
  <c r="O810" i="13"/>
  <c r="J970" i="13"/>
  <c r="O970" i="13"/>
  <c r="K649" i="13"/>
  <c r="J649" i="13"/>
  <c r="K648" i="13"/>
  <c r="J648" i="13"/>
  <c r="O648" i="13"/>
  <c r="K647" i="13"/>
  <c r="J647" i="13"/>
  <c r="O647" i="13"/>
  <c r="K646" i="13"/>
  <c r="J646" i="13"/>
  <c r="O646" i="13"/>
  <c r="K644" i="13"/>
  <c r="J644" i="13"/>
  <c r="K643" i="13"/>
  <c r="J643" i="13"/>
  <c r="O643" i="13"/>
  <c r="K642" i="13"/>
  <c r="J642" i="13"/>
  <c r="O642" i="13"/>
  <c r="K641" i="13"/>
  <c r="J641" i="13"/>
  <c r="O641" i="13"/>
  <c r="K645" i="13"/>
  <c r="J645" i="13"/>
  <c r="O645" i="13"/>
  <c r="K639" i="13"/>
  <c r="J639" i="13"/>
  <c r="K638" i="13"/>
  <c r="J638" i="13"/>
  <c r="O638" i="13"/>
  <c r="K637" i="13"/>
  <c r="J637" i="13"/>
  <c r="O637" i="13"/>
  <c r="K636" i="13"/>
  <c r="J636" i="13"/>
  <c r="O636" i="13"/>
  <c r="K634" i="13"/>
  <c r="J634" i="13"/>
  <c r="K633" i="13"/>
  <c r="J633" i="13"/>
  <c r="O633" i="13"/>
  <c r="K632" i="13"/>
  <c r="J632" i="13"/>
  <c r="O632" i="13"/>
  <c r="K631" i="13"/>
  <c r="J631" i="13"/>
  <c r="O631" i="13"/>
  <c r="K635" i="13"/>
  <c r="J635" i="13"/>
  <c r="O635" i="13"/>
  <c r="K640" i="13"/>
  <c r="J640" i="13"/>
  <c r="O640" i="13"/>
  <c r="K629" i="13"/>
  <c r="J629" i="13"/>
  <c r="K628" i="13"/>
  <c r="J628" i="13"/>
  <c r="O628" i="13"/>
  <c r="K627" i="13"/>
  <c r="J627" i="13"/>
  <c r="O627" i="13"/>
  <c r="K626" i="13"/>
  <c r="J626" i="13"/>
  <c r="O626" i="13"/>
  <c r="K624" i="13"/>
  <c r="J624" i="13"/>
  <c r="K623" i="13"/>
  <c r="J623" i="13"/>
  <c r="O623" i="13"/>
  <c r="K622" i="13"/>
  <c r="J622" i="13"/>
  <c r="O622" i="13"/>
  <c r="K621" i="13"/>
  <c r="J621" i="13"/>
  <c r="O621" i="13"/>
  <c r="K625" i="13"/>
  <c r="J625" i="13"/>
  <c r="O625" i="13"/>
  <c r="K619" i="13"/>
  <c r="J619" i="13"/>
  <c r="K618" i="13"/>
  <c r="J618" i="13"/>
  <c r="O618" i="13"/>
  <c r="K617" i="13"/>
  <c r="J617" i="13"/>
  <c r="O617" i="13"/>
  <c r="K616" i="13"/>
  <c r="J616" i="13"/>
  <c r="O616" i="13"/>
  <c r="K614" i="13"/>
  <c r="J614" i="13"/>
  <c r="K613" i="13"/>
  <c r="J613" i="13"/>
  <c r="O613" i="13"/>
  <c r="K612" i="13"/>
  <c r="J612" i="13"/>
  <c r="O612" i="13"/>
  <c r="K611" i="13"/>
  <c r="J611" i="13"/>
  <c r="O611" i="13"/>
  <c r="K615" i="13"/>
  <c r="J615" i="13"/>
  <c r="O615" i="13"/>
  <c r="K620" i="13"/>
  <c r="J620" i="13"/>
  <c r="O620" i="13"/>
  <c r="K630" i="13"/>
  <c r="J630" i="13"/>
  <c r="O630" i="13"/>
  <c r="K609" i="13"/>
  <c r="J609" i="13"/>
  <c r="K608" i="13"/>
  <c r="J608" i="13"/>
  <c r="O608" i="13"/>
  <c r="K607" i="13"/>
  <c r="J607" i="13"/>
  <c r="O607" i="13"/>
  <c r="K606" i="13"/>
  <c r="J606" i="13"/>
  <c r="O606" i="13"/>
  <c r="K604" i="13"/>
  <c r="J604" i="13"/>
  <c r="K603" i="13"/>
  <c r="J603" i="13"/>
  <c r="O603" i="13"/>
  <c r="K602" i="13"/>
  <c r="J602" i="13"/>
  <c r="O602" i="13"/>
  <c r="K601" i="13"/>
  <c r="J601" i="13"/>
  <c r="O601" i="13"/>
  <c r="K605" i="13"/>
  <c r="J605" i="13"/>
  <c r="O605" i="13"/>
  <c r="K599" i="13"/>
  <c r="J599" i="13"/>
  <c r="K598" i="13"/>
  <c r="J598" i="13"/>
  <c r="O598" i="13"/>
  <c r="K597" i="13"/>
  <c r="J597" i="13"/>
  <c r="O597" i="13"/>
  <c r="K596" i="13"/>
  <c r="J596" i="13"/>
  <c r="O596" i="13"/>
  <c r="K594" i="13"/>
  <c r="J594" i="13"/>
  <c r="K593" i="13"/>
  <c r="J593" i="13"/>
  <c r="O593" i="13"/>
  <c r="K592" i="13"/>
  <c r="J592" i="13"/>
  <c r="O592" i="13"/>
  <c r="K591" i="13"/>
  <c r="J591" i="13"/>
  <c r="O591" i="13"/>
  <c r="K595" i="13"/>
  <c r="J595" i="13"/>
  <c r="O595" i="13"/>
  <c r="K600" i="13"/>
  <c r="J600" i="13"/>
  <c r="O600" i="13"/>
  <c r="K589" i="13"/>
  <c r="J589" i="13"/>
  <c r="K588" i="13"/>
  <c r="J588" i="13"/>
  <c r="O588" i="13"/>
  <c r="K587" i="13"/>
  <c r="J587" i="13"/>
  <c r="O587" i="13"/>
  <c r="K586" i="13"/>
  <c r="J586" i="13"/>
  <c r="O586" i="13"/>
  <c r="K584" i="13"/>
  <c r="J584" i="13"/>
  <c r="K583" i="13"/>
  <c r="J583" i="13"/>
  <c r="O583" i="13"/>
  <c r="K582" i="13"/>
  <c r="J582" i="13"/>
  <c r="O582" i="13"/>
  <c r="K581" i="13"/>
  <c r="J581" i="13"/>
  <c r="O581" i="13"/>
  <c r="K585" i="13"/>
  <c r="J585" i="13"/>
  <c r="O585" i="13"/>
  <c r="K579" i="13"/>
  <c r="J579" i="13"/>
  <c r="K578" i="13"/>
  <c r="J578" i="13"/>
  <c r="O578" i="13"/>
  <c r="K577" i="13"/>
  <c r="J577" i="13"/>
  <c r="O577" i="13"/>
  <c r="K576" i="13"/>
  <c r="J576" i="13"/>
  <c r="O576" i="13"/>
  <c r="K574" i="13"/>
  <c r="J574" i="13"/>
  <c r="K573" i="13"/>
  <c r="J573" i="13"/>
  <c r="O573" i="13"/>
  <c r="K572" i="13"/>
  <c r="J572" i="13"/>
  <c r="O572" i="13"/>
  <c r="K571" i="13"/>
  <c r="J571" i="13"/>
  <c r="O571" i="13"/>
  <c r="K575" i="13"/>
  <c r="J575" i="13"/>
  <c r="O575" i="13"/>
  <c r="K580" i="13"/>
  <c r="J580" i="13"/>
  <c r="O580" i="13"/>
  <c r="K590" i="13"/>
  <c r="J590" i="13"/>
  <c r="O590" i="13"/>
  <c r="K610" i="13"/>
  <c r="J610" i="13"/>
  <c r="O610" i="13"/>
  <c r="K569" i="13"/>
  <c r="J569" i="13"/>
  <c r="K568" i="13"/>
  <c r="J568" i="13"/>
  <c r="O568" i="13"/>
  <c r="K567" i="13"/>
  <c r="J567" i="13"/>
  <c r="O567" i="13"/>
  <c r="K566" i="13"/>
  <c r="J566" i="13"/>
  <c r="O566" i="13"/>
  <c r="K564" i="13"/>
  <c r="J564" i="13"/>
  <c r="K563" i="13"/>
  <c r="J563" i="13"/>
  <c r="O563" i="13"/>
  <c r="K562" i="13"/>
  <c r="J562" i="13"/>
  <c r="O562" i="13"/>
  <c r="K561" i="13"/>
  <c r="J561" i="13"/>
  <c r="O561" i="13"/>
  <c r="K565" i="13"/>
  <c r="J565" i="13"/>
  <c r="O565" i="13"/>
  <c r="K559" i="13"/>
  <c r="J559" i="13"/>
  <c r="K558" i="13"/>
  <c r="J558" i="13"/>
  <c r="O558" i="13"/>
  <c r="K557" i="13"/>
  <c r="J557" i="13"/>
  <c r="O557" i="13"/>
  <c r="K556" i="13"/>
  <c r="J556" i="13"/>
  <c r="O556" i="13"/>
  <c r="K554" i="13"/>
  <c r="J554" i="13"/>
  <c r="K553" i="13"/>
  <c r="J553" i="13"/>
  <c r="O553" i="13"/>
  <c r="K552" i="13"/>
  <c r="J552" i="13"/>
  <c r="O552" i="13"/>
  <c r="K551" i="13"/>
  <c r="J551" i="13"/>
  <c r="O551" i="13"/>
  <c r="K555" i="13"/>
  <c r="J555" i="13"/>
  <c r="O555" i="13"/>
  <c r="K560" i="13"/>
  <c r="J560" i="13"/>
  <c r="O560" i="13"/>
  <c r="K549" i="13"/>
  <c r="J549" i="13"/>
  <c r="K548" i="13"/>
  <c r="J548" i="13"/>
  <c r="O548" i="13"/>
  <c r="K547" i="13"/>
  <c r="J547" i="13"/>
  <c r="O547" i="13"/>
  <c r="K546" i="13"/>
  <c r="J546" i="13"/>
  <c r="O546" i="13"/>
  <c r="K544" i="13"/>
  <c r="J544" i="13"/>
  <c r="K543" i="13"/>
  <c r="J543" i="13"/>
  <c r="O543" i="13"/>
  <c r="K542" i="13"/>
  <c r="J542" i="13"/>
  <c r="O542" i="13"/>
  <c r="K541" i="13"/>
  <c r="J541" i="13"/>
  <c r="O541" i="13"/>
  <c r="K545" i="13"/>
  <c r="J545" i="13"/>
  <c r="O545" i="13"/>
  <c r="K539" i="13"/>
  <c r="J539" i="13"/>
  <c r="K538" i="13"/>
  <c r="J538" i="13"/>
  <c r="O538" i="13"/>
  <c r="K537" i="13"/>
  <c r="J537" i="13"/>
  <c r="O537" i="13"/>
  <c r="K536" i="13"/>
  <c r="J536" i="13"/>
  <c r="O536" i="13"/>
  <c r="K534" i="13"/>
  <c r="J534" i="13"/>
  <c r="K533" i="13"/>
  <c r="J533" i="13"/>
  <c r="O533" i="13"/>
  <c r="K532" i="13"/>
  <c r="J532" i="13"/>
  <c r="O532" i="13"/>
  <c r="K531" i="13"/>
  <c r="J531" i="13"/>
  <c r="O531" i="13"/>
  <c r="K535" i="13"/>
  <c r="J535" i="13"/>
  <c r="O535" i="13"/>
  <c r="K540" i="13"/>
  <c r="J540" i="13"/>
  <c r="O540" i="13"/>
  <c r="K550" i="13"/>
  <c r="J550" i="13"/>
  <c r="O550" i="13"/>
  <c r="K529" i="13"/>
  <c r="J529" i="13"/>
  <c r="K528" i="13"/>
  <c r="J528" i="13"/>
  <c r="O528" i="13"/>
  <c r="K527" i="13"/>
  <c r="J527" i="13"/>
  <c r="O527" i="13"/>
  <c r="K526" i="13"/>
  <c r="J526" i="13"/>
  <c r="O526" i="13"/>
  <c r="K524" i="13"/>
  <c r="J524" i="13"/>
  <c r="K523" i="13"/>
  <c r="J523" i="13"/>
  <c r="O523" i="13"/>
  <c r="K522" i="13"/>
  <c r="J522" i="13"/>
  <c r="O522" i="13"/>
  <c r="K521" i="13"/>
  <c r="J521" i="13"/>
  <c r="O521" i="13"/>
  <c r="K525" i="13"/>
  <c r="J525" i="13"/>
  <c r="O525" i="13"/>
  <c r="K519" i="13"/>
  <c r="J519" i="13"/>
  <c r="K518" i="13"/>
  <c r="J518" i="13"/>
  <c r="O518" i="13"/>
  <c r="K517" i="13"/>
  <c r="J517" i="13"/>
  <c r="O517" i="13"/>
  <c r="K516" i="13"/>
  <c r="J516" i="13"/>
  <c r="O516" i="13"/>
  <c r="K514" i="13"/>
  <c r="J514" i="13"/>
  <c r="K513" i="13"/>
  <c r="J513" i="13"/>
  <c r="O513" i="13"/>
  <c r="K512" i="13"/>
  <c r="J512" i="13"/>
  <c r="O512" i="13"/>
  <c r="K511" i="13"/>
  <c r="J511" i="13"/>
  <c r="O511" i="13"/>
  <c r="K515" i="13"/>
  <c r="J515" i="13"/>
  <c r="O515" i="13"/>
  <c r="K520" i="13"/>
  <c r="J520" i="13"/>
  <c r="O520" i="13"/>
  <c r="K509" i="13"/>
  <c r="J509" i="13"/>
  <c r="K508" i="13"/>
  <c r="J508" i="13"/>
  <c r="O508" i="13"/>
  <c r="K507" i="13"/>
  <c r="J507" i="13"/>
  <c r="O507" i="13"/>
  <c r="K506" i="13"/>
  <c r="J506" i="13"/>
  <c r="O506" i="13"/>
  <c r="K504" i="13"/>
  <c r="J504" i="13"/>
  <c r="K503" i="13"/>
  <c r="J503" i="13"/>
  <c r="O503" i="13"/>
  <c r="K502" i="13"/>
  <c r="J502" i="13"/>
  <c r="O502" i="13"/>
  <c r="K501" i="13"/>
  <c r="J501" i="13"/>
  <c r="O501" i="13"/>
  <c r="K505" i="13"/>
  <c r="J505" i="13"/>
  <c r="O505" i="13"/>
  <c r="K499" i="13"/>
  <c r="J499" i="13"/>
  <c r="K498" i="13"/>
  <c r="J498" i="13"/>
  <c r="O498" i="13"/>
  <c r="K497" i="13"/>
  <c r="J497" i="13"/>
  <c r="O497" i="13"/>
  <c r="K496" i="13"/>
  <c r="J496" i="13"/>
  <c r="O496" i="13"/>
  <c r="K494" i="13"/>
  <c r="J494" i="13"/>
  <c r="K493" i="13"/>
  <c r="J493" i="13"/>
  <c r="O493" i="13"/>
  <c r="K492" i="13"/>
  <c r="J492" i="13"/>
  <c r="O492" i="13"/>
  <c r="K491" i="13"/>
  <c r="J491" i="13"/>
  <c r="O491" i="13"/>
  <c r="K495" i="13"/>
  <c r="J495" i="13"/>
  <c r="O495" i="13"/>
  <c r="K500" i="13"/>
  <c r="J500" i="13"/>
  <c r="O500" i="13"/>
  <c r="K510" i="13"/>
  <c r="J510" i="13"/>
  <c r="O510" i="13"/>
  <c r="K530" i="13"/>
  <c r="J530" i="13"/>
  <c r="O530" i="13"/>
  <c r="J570" i="13"/>
  <c r="O570" i="13"/>
  <c r="K489" i="13"/>
  <c r="J489" i="13"/>
  <c r="K488" i="13"/>
  <c r="J488" i="13"/>
  <c r="O488" i="13"/>
  <c r="K487" i="13"/>
  <c r="J487" i="13"/>
  <c r="O487" i="13"/>
  <c r="K486" i="13"/>
  <c r="J486" i="13"/>
  <c r="O486" i="13"/>
  <c r="K484" i="13"/>
  <c r="J484" i="13"/>
  <c r="K483" i="13"/>
  <c r="J483" i="13"/>
  <c r="O483" i="13"/>
  <c r="K482" i="13"/>
  <c r="J482" i="13"/>
  <c r="O482" i="13"/>
  <c r="K481" i="13"/>
  <c r="J481" i="13"/>
  <c r="O481" i="13"/>
  <c r="K485" i="13"/>
  <c r="J485" i="13"/>
  <c r="O485" i="13"/>
  <c r="K479" i="13"/>
  <c r="J479" i="13"/>
  <c r="K478" i="13"/>
  <c r="J478" i="13"/>
  <c r="O478" i="13"/>
  <c r="K477" i="13"/>
  <c r="J477" i="13"/>
  <c r="O477" i="13"/>
  <c r="K476" i="13"/>
  <c r="J476" i="13"/>
  <c r="O476" i="13"/>
  <c r="K474" i="13"/>
  <c r="J474" i="13"/>
  <c r="K473" i="13"/>
  <c r="J473" i="13"/>
  <c r="O473" i="13"/>
  <c r="K472" i="13"/>
  <c r="J472" i="13"/>
  <c r="O472" i="13"/>
  <c r="K471" i="13"/>
  <c r="J471" i="13"/>
  <c r="O471" i="13"/>
  <c r="K475" i="13"/>
  <c r="J475" i="13"/>
  <c r="O475" i="13"/>
  <c r="K480" i="13"/>
  <c r="J480" i="13"/>
  <c r="O480" i="13"/>
  <c r="K469" i="13"/>
  <c r="J469" i="13"/>
  <c r="K468" i="13"/>
  <c r="J468" i="13"/>
  <c r="O468" i="13"/>
  <c r="K467" i="13"/>
  <c r="J467" i="13"/>
  <c r="O467" i="13"/>
  <c r="K466" i="13"/>
  <c r="J466" i="13"/>
  <c r="O466" i="13"/>
  <c r="K464" i="13"/>
  <c r="J464" i="13"/>
  <c r="K463" i="13"/>
  <c r="J463" i="13"/>
  <c r="O463" i="13"/>
  <c r="K462" i="13"/>
  <c r="J462" i="13"/>
  <c r="O462" i="13"/>
  <c r="K461" i="13"/>
  <c r="J461" i="13"/>
  <c r="O461" i="13"/>
  <c r="K465" i="13"/>
  <c r="J465" i="13"/>
  <c r="O465" i="13"/>
  <c r="K459" i="13"/>
  <c r="J459" i="13"/>
  <c r="K458" i="13"/>
  <c r="J458" i="13"/>
  <c r="O458" i="13"/>
  <c r="K457" i="13"/>
  <c r="J457" i="13"/>
  <c r="O457" i="13"/>
  <c r="K456" i="13"/>
  <c r="J456" i="13"/>
  <c r="O456" i="13"/>
  <c r="K454" i="13"/>
  <c r="J454" i="13"/>
  <c r="K453" i="13"/>
  <c r="J453" i="13"/>
  <c r="O453" i="13"/>
  <c r="K452" i="13"/>
  <c r="J452" i="13"/>
  <c r="O452" i="13"/>
  <c r="K451" i="13"/>
  <c r="J451" i="13"/>
  <c r="O451" i="13"/>
  <c r="K455" i="13"/>
  <c r="J455" i="13"/>
  <c r="O455" i="13"/>
  <c r="K460" i="13"/>
  <c r="J460" i="13"/>
  <c r="O460" i="13"/>
  <c r="K470" i="13"/>
  <c r="J470" i="13"/>
  <c r="O470" i="13"/>
  <c r="K449" i="13"/>
  <c r="J449" i="13"/>
  <c r="K448" i="13"/>
  <c r="J448" i="13"/>
  <c r="O448" i="13"/>
  <c r="K447" i="13"/>
  <c r="J447" i="13"/>
  <c r="O447" i="13"/>
  <c r="K446" i="13"/>
  <c r="J446" i="13"/>
  <c r="O446" i="13"/>
  <c r="K444" i="13"/>
  <c r="J444" i="13"/>
  <c r="K443" i="13"/>
  <c r="J443" i="13"/>
  <c r="O443" i="13"/>
  <c r="K442" i="13"/>
  <c r="J442" i="13"/>
  <c r="O442" i="13"/>
  <c r="K441" i="13"/>
  <c r="J441" i="13"/>
  <c r="O441" i="13"/>
  <c r="K445" i="13"/>
  <c r="J445" i="13"/>
  <c r="O445" i="13"/>
  <c r="K439" i="13"/>
  <c r="J439" i="13"/>
  <c r="K438" i="13"/>
  <c r="J438" i="13"/>
  <c r="O438" i="13"/>
  <c r="K437" i="13"/>
  <c r="J437" i="13"/>
  <c r="O437" i="13"/>
  <c r="K436" i="13"/>
  <c r="J436" i="13"/>
  <c r="O436" i="13"/>
  <c r="K434" i="13"/>
  <c r="J434" i="13"/>
  <c r="K433" i="13"/>
  <c r="J433" i="13"/>
  <c r="O433" i="13"/>
  <c r="K432" i="13"/>
  <c r="J432" i="13"/>
  <c r="O432" i="13"/>
  <c r="K431" i="13"/>
  <c r="J431" i="13"/>
  <c r="O431" i="13"/>
  <c r="K435" i="13"/>
  <c r="J435" i="13"/>
  <c r="O435" i="13"/>
  <c r="K440" i="13"/>
  <c r="J440" i="13"/>
  <c r="O440" i="13"/>
  <c r="K429" i="13"/>
  <c r="J429" i="13"/>
  <c r="K428" i="13"/>
  <c r="J428" i="13"/>
  <c r="O428" i="13"/>
  <c r="K427" i="13"/>
  <c r="J427" i="13"/>
  <c r="O427" i="13"/>
  <c r="K426" i="13"/>
  <c r="J426" i="13"/>
  <c r="O426" i="13"/>
  <c r="K424" i="13"/>
  <c r="J424" i="13"/>
  <c r="K423" i="13"/>
  <c r="J423" i="13"/>
  <c r="O423" i="13"/>
  <c r="K422" i="13"/>
  <c r="J422" i="13"/>
  <c r="O422" i="13"/>
  <c r="K421" i="13"/>
  <c r="J421" i="13"/>
  <c r="O421" i="13"/>
  <c r="K425" i="13"/>
  <c r="J425" i="13"/>
  <c r="O425" i="13"/>
  <c r="K419" i="13"/>
  <c r="J419" i="13"/>
  <c r="K418" i="13"/>
  <c r="J418" i="13"/>
  <c r="O418" i="13"/>
  <c r="K417" i="13"/>
  <c r="J417" i="13"/>
  <c r="O417" i="13"/>
  <c r="K416" i="13"/>
  <c r="J416" i="13"/>
  <c r="O416" i="13"/>
  <c r="K414" i="13"/>
  <c r="J414" i="13"/>
  <c r="K413" i="13"/>
  <c r="J413" i="13"/>
  <c r="O413" i="13"/>
  <c r="K412" i="13"/>
  <c r="J412" i="13"/>
  <c r="O412" i="13"/>
  <c r="K411" i="13"/>
  <c r="J411" i="13"/>
  <c r="O411" i="13"/>
  <c r="K415" i="13"/>
  <c r="J415" i="13"/>
  <c r="O415" i="13"/>
  <c r="K420" i="13"/>
  <c r="J420" i="13"/>
  <c r="O420" i="13"/>
  <c r="K430" i="13"/>
  <c r="J430" i="13"/>
  <c r="O430" i="13"/>
  <c r="K450" i="13"/>
  <c r="J450" i="13"/>
  <c r="O450" i="13"/>
  <c r="K409" i="13"/>
  <c r="J409" i="13"/>
  <c r="K408" i="13"/>
  <c r="J408" i="13"/>
  <c r="O408" i="13"/>
  <c r="K407" i="13"/>
  <c r="J407" i="13"/>
  <c r="O407" i="13"/>
  <c r="K406" i="13"/>
  <c r="J406" i="13"/>
  <c r="O406" i="13"/>
  <c r="K404" i="13"/>
  <c r="J404" i="13"/>
  <c r="K403" i="13"/>
  <c r="J403" i="13"/>
  <c r="O403" i="13"/>
  <c r="K402" i="13"/>
  <c r="J402" i="13"/>
  <c r="O402" i="13"/>
  <c r="K401" i="13"/>
  <c r="J401" i="13"/>
  <c r="O401" i="13"/>
  <c r="K405" i="13"/>
  <c r="J405" i="13"/>
  <c r="O405" i="13"/>
  <c r="K399" i="13"/>
  <c r="J399" i="13"/>
  <c r="K398" i="13"/>
  <c r="J398" i="13"/>
  <c r="O398" i="13"/>
  <c r="K397" i="13"/>
  <c r="J397" i="13"/>
  <c r="O397" i="13"/>
  <c r="K396" i="13"/>
  <c r="J396" i="13"/>
  <c r="O396" i="13"/>
  <c r="K394" i="13"/>
  <c r="J394" i="13"/>
  <c r="K393" i="13"/>
  <c r="J393" i="13"/>
  <c r="O393" i="13"/>
  <c r="K392" i="13"/>
  <c r="J392" i="13"/>
  <c r="O392" i="13"/>
  <c r="K391" i="13"/>
  <c r="J391" i="13"/>
  <c r="O391" i="13"/>
  <c r="K395" i="13"/>
  <c r="J395" i="13"/>
  <c r="O395" i="13"/>
  <c r="K400" i="13"/>
  <c r="J400" i="13"/>
  <c r="O400" i="13"/>
  <c r="K389" i="13"/>
  <c r="J389" i="13"/>
  <c r="K388" i="13"/>
  <c r="J388" i="13"/>
  <c r="O388" i="13"/>
  <c r="K387" i="13"/>
  <c r="J387" i="13"/>
  <c r="O387" i="13"/>
  <c r="K386" i="13"/>
  <c r="J386" i="13"/>
  <c r="O386" i="13"/>
  <c r="K384" i="13"/>
  <c r="J384" i="13"/>
  <c r="K383" i="13"/>
  <c r="J383" i="13"/>
  <c r="O383" i="13"/>
  <c r="K382" i="13"/>
  <c r="J382" i="13"/>
  <c r="O382" i="13"/>
  <c r="K381" i="13"/>
  <c r="J381" i="13"/>
  <c r="O381" i="13"/>
  <c r="K385" i="13"/>
  <c r="J385" i="13"/>
  <c r="O385" i="13"/>
  <c r="K379" i="13"/>
  <c r="J379" i="13"/>
  <c r="K378" i="13"/>
  <c r="J378" i="13"/>
  <c r="O378" i="13"/>
  <c r="K377" i="13"/>
  <c r="J377" i="13"/>
  <c r="O377" i="13"/>
  <c r="K376" i="13"/>
  <c r="J376" i="13"/>
  <c r="O376" i="13"/>
  <c r="K374" i="13"/>
  <c r="J374" i="13"/>
  <c r="K373" i="13"/>
  <c r="J373" i="13"/>
  <c r="O373" i="13"/>
  <c r="K372" i="13"/>
  <c r="J372" i="13"/>
  <c r="O372" i="13"/>
  <c r="K371" i="13"/>
  <c r="J371" i="13"/>
  <c r="O371" i="13"/>
  <c r="K375" i="13"/>
  <c r="J375" i="13"/>
  <c r="O375" i="13"/>
  <c r="K380" i="13"/>
  <c r="J380" i="13"/>
  <c r="O380" i="13"/>
  <c r="K390" i="13"/>
  <c r="J390" i="13"/>
  <c r="O390" i="13"/>
  <c r="K369" i="13"/>
  <c r="J369" i="13"/>
  <c r="K368" i="13"/>
  <c r="J368" i="13"/>
  <c r="O368" i="13"/>
  <c r="K367" i="13"/>
  <c r="J367" i="13"/>
  <c r="O367" i="13"/>
  <c r="K366" i="13"/>
  <c r="J366" i="13"/>
  <c r="O366" i="13"/>
  <c r="K364" i="13"/>
  <c r="J364" i="13"/>
  <c r="K363" i="13"/>
  <c r="J363" i="13"/>
  <c r="O363" i="13"/>
  <c r="K362" i="13"/>
  <c r="J362" i="13"/>
  <c r="O362" i="13"/>
  <c r="K361" i="13"/>
  <c r="J361" i="13"/>
  <c r="O361" i="13"/>
  <c r="K365" i="13"/>
  <c r="J365" i="13"/>
  <c r="O365" i="13"/>
  <c r="K359" i="13"/>
  <c r="J359" i="13"/>
  <c r="K358" i="13"/>
  <c r="J358" i="13"/>
  <c r="O358" i="13"/>
  <c r="K357" i="13"/>
  <c r="J357" i="13"/>
  <c r="O357" i="13"/>
  <c r="K356" i="13"/>
  <c r="J356" i="13"/>
  <c r="O356" i="13"/>
  <c r="K354" i="13"/>
  <c r="J354" i="13"/>
  <c r="K353" i="13"/>
  <c r="J353" i="13"/>
  <c r="O353" i="13"/>
  <c r="K352" i="13"/>
  <c r="J352" i="13"/>
  <c r="O352" i="13"/>
  <c r="K351" i="13"/>
  <c r="J351" i="13"/>
  <c r="O351" i="13"/>
  <c r="K355" i="13"/>
  <c r="J355" i="13"/>
  <c r="O355" i="13"/>
  <c r="K360" i="13"/>
  <c r="J360" i="13"/>
  <c r="O360" i="13"/>
  <c r="K349" i="13"/>
  <c r="J349" i="13"/>
  <c r="K348" i="13"/>
  <c r="J348" i="13"/>
  <c r="O348" i="13"/>
  <c r="K347" i="13"/>
  <c r="J347" i="13"/>
  <c r="O347" i="13"/>
  <c r="K346" i="13"/>
  <c r="J346" i="13"/>
  <c r="O346" i="13"/>
  <c r="K344" i="13"/>
  <c r="J344" i="13"/>
  <c r="K343" i="13"/>
  <c r="J343" i="13"/>
  <c r="O343" i="13"/>
  <c r="K342" i="13"/>
  <c r="J342" i="13"/>
  <c r="O342" i="13"/>
  <c r="K341" i="13"/>
  <c r="J341" i="13"/>
  <c r="O341" i="13"/>
  <c r="K345" i="13"/>
  <c r="J345" i="13"/>
  <c r="O345" i="13"/>
  <c r="K339" i="13"/>
  <c r="J339" i="13"/>
  <c r="K338" i="13"/>
  <c r="J338" i="13"/>
  <c r="O338" i="13"/>
  <c r="K337" i="13"/>
  <c r="J337" i="13"/>
  <c r="O337" i="13"/>
  <c r="K336" i="13"/>
  <c r="J336" i="13"/>
  <c r="O336" i="13"/>
  <c r="K334" i="13"/>
  <c r="J334" i="13"/>
  <c r="K333" i="13"/>
  <c r="J333" i="13"/>
  <c r="O333" i="13"/>
  <c r="K332" i="13"/>
  <c r="J332" i="13"/>
  <c r="O332" i="13"/>
  <c r="K331" i="13"/>
  <c r="J331" i="13"/>
  <c r="O331" i="13"/>
  <c r="K335" i="13"/>
  <c r="J335" i="13"/>
  <c r="O335" i="13"/>
  <c r="K340" i="13"/>
  <c r="J340" i="13"/>
  <c r="O340" i="13"/>
  <c r="K350" i="13"/>
  <c r="J350" i="13"/>
  <c r="O350" i="13"/>
  <c r="K370" i="13"/>
  <c r="J370" i="13"/>
  <c r="O370" i="13"/>
  <c r="J410" i="13"/>
  <c r="O410" i="13"/>
  <c r="J490" i="13"/>
  <c r="O490" i="13"/>
  <c r="K329" i="13"/>
  <c r="J329" i="13"/>
  <c r="K328" i="13"/>
  <c r="J328" i="13"/>
  <c r="O328" i="13"/>
  <c r="K327" i="13"/>
  <c r="J327" i="13"/>
  <c r="O327" i="13"/>
  <c r="K326" i="13"/>
  <c r="J326" i="13"/>
  <c r="O326" i="13"/>
  <c r="K324" i="13"/>
  <c r="J324" i="13"/>
  <c r="K323" i="13"/>
  <c r="J323" i="13"/>
  <c r="O323" i="13"/>
  <c r="K322" i="13"/>
  <c r="J322" i="13"/>
  <c r="O322" i="13"/>
  <c r="K321" i="13"/>
  <c r="J321" i="13"/>
  <c r="O321" i="13"/>
  <c r="K325" i="13"/>
  <c r="J325" i="13"/>
  <c r="O325" i="13"/>
  <c r="K319" i="13"/>
  <c r="J319" i="13"/>
  <c r="K318" i="13"/>
  <c r="J318" i="13"/>
  <c r="O318" i="13"/>
  <c r="K317" i="13"/>
  <c r="J317" i="13"/>
  <c r="O317" i="13"/>
  <c r="K316" i="13"/>
  <c r="J316" i="13"/>
  <c r="O316" i="13"/>
  <c r="K314" i="13"/>
  <c r="J314" i="13"/>
  <c r="K313" i="13"/>
  <c r="J313" i="13"/>
  <c r="O313" i="13"/>
  <c r="K312" i="13"/>
  <c r="J312" i="13"/>
  <c r="O312" i="13"/>
  <c r="K311" i="13"/>
  <c r="J311" i="13"/>
  <c r="O311" i="13"/>
  <c r="K315" i="13"/>
  <c r="J315" i="13"/>
  <c r="O315" i="13"/>
  <c r="K320" i="13"/>
  <c r="J320" i="13"/>
  <c r="O320" i="13"/>
  <c r="K309" i="13"/>
  <c r="J309" i="13"/>
  <c r="K308" i="13"/>
  <c r="J308" i="13"/>
  <c r="O308" i="13"/>
  <c r="K307" i="13"/>
  <c r="J307" i="13"/>
  <c r="O307" i="13"/>
  <c r="K306" i="13"/>
  <c r="J306" i="13"/>
  <c r="O306" i="13"/>
  <c r="K304" i="13"/>
  <c r="J304" i="13"/>
  <c r="K303" i="13"/>
  <c r="J303" i="13"/>
  <c r="O303" i="13"/>
  <c r="K302" i="13"/>
  <c r="J302" i="13"/>
  <c r="O302" i="13"/>
  <c r="K301" i="13"/>
  <c r="J301" i="13"/>
  <c r="O301" i="13"/>
  <c r="K305" i="13"/>
  <c r="J305" i="13"/>
  <c r="O305" i="13"/>
  <c r="K299" i="13"/>
  <c r="J299" i="13"/>
  <c r="K298" i="13"/>
  <c r="J298" i="13"/>
  <c r="O298" i="13"/>
  <c r="K297" i="13"/>
  <c r="J297" i="13"/>
  <c r="O297" i="13"/>
  <c r="K296" i="13"/>
  <c r="J296" i="13"/>
  <c r="O296" i="13"/>
  <c r="K294" i="13"/>
  <c r="J294" i="13"/>
  <c r="K293" i="13"/>
  <c r="J293" i="13"/>
  <c r="O293" i="13"/>
  <c r="K292" i="13"/>
  <c r="J292" i="13"/>
  <c r="O292" i="13"/>
  <c r="K291" i="13"/>
  <c r="J291" i="13"/>
  <c r="O291" i="13"/>
  <c r="K295" i="13"/>
  <c r="J295" i="13"/>
  <c r="O295" i="13"/>
  <c r="K300" i="13"/>
  <c r="J300" i="13"/>
  <c r="O300" i="13"/>
  <c r="K310" i="13"/>
  <c r="J310" i="13"/>
  <c r="O310" i="13"/>
  <c r="K289" i="13"/>
  <c r="J289" i="13"/>
  <c r="K288" i="13"/>
  <c r="J288" i="13"/>
  <c r="O288" i="13"/>
  <c r="K287" i="13"/>
  <c r="J287" i="13"/>
  <c r="O287" i="13"/>
  <c r="K286" i="13"/>
  <c r="J286" i="13"/>
  <c r="O286" i="13"/>
  <c r="K284" i="13"/>
  <c r="J284" i="13"/>
  <c r="K283" i="13"/>
  <c r="J283" i="13"/>
  <c r="O283" i="13"/>
  <c r="K282" i="13"/>
  <c r="J282" i="13"/>
  <c r="O282" i="13"/>
  <c r="K281" i="13"/>
  <c r="J281" i="13"/>
  <c r="O281" i="13"/>
  <c r="K285" i="13"/>
  <c r="J285" i="13"/>
  <c r="O285" i="13"/>
  <c r="K279" i="13"/>
  <c r="J279" i="13"/>
  <c r="K278" i="13"/>
  <c r="J278" i="13"/>
  <c r="O278" i="13"/>
  <c r="K277" i="13"/>
  <c r="J277" i="13"/>
  <c r="O277" i="13"/>
  <c r="K276" i="13"/>
  <c r="J276" i="13"/>
  <c r="O276" i="13"/>
  <c r="K274" i="13"/>
  <c r="J274" i="13"/>
  <c r="K273" i="13"/>
  <c r="J273" i="13"/>
  <c r="O273" i="13"/>
  <c r="K272" i="13"/>
  <c r="J272" i="13"/>
  <c r="O272" i="13"/>
  <c r="K271" i="13"/>
  <c r="J271" i="13"/>
  <c r="O271" i="13"/>
  <c r="K275" i="13"/>
  <c r="J275" i="13"/>
  <c r="O275" i="13"/>
  <c r="K280" i="13"/>
  <c r="J280" i="13"/>
  <c r="O280" i="13"/>
  <c r="K269" i="13"/>
  <c r="J269" i="13"/>
  <c r="K268" i="13"/>
  <c r="J268" i="13"/>
  <c r="O268" i="13"/>
  <c r="K267" i="13"/>
  <c r="J267" i="13"/>
  <c r="O267" i="13"/>
  <c r="K266" i="13"/>
  <c r="J266" i="13"/>
  <c r="O266" i="13"/>
  <c r="K264" i="13"/>
  <c r="J264" i="13"/>
  <c r="K263" i="13"/>
  <c r="J263" i="13"/>
  <c r="O263" i="13"/>
  <c r="K262" i="13"/>
  <c r="J262" i="13"/>
  <c r="O262" i="13"/>
  <c r="K261" i="13"/>
  <c r="J261" i="13"/>
  <c r="O261" i="13"/>
  <c r="K265" i="13"/>
  <c r="J265" i="13"/>
  <c r="O265" i="13"/>
  <c r="K259" i="13"/>
  <c r="J259" i="13"/>
  <c r="K258" i="13"/>
  <c r="J258" i="13"/>
  <c r="O258" i="13"/>
  <c r="K257" i="13"/>
  <c r="J257" i="13"/>
  <c r="O257" i="13"/>
  <c r="K256" i="13"/>
  <c r="J256" i="13"/>
  <c r="O256" i="13"/>
  <c r="K254" i="13"/>
  <c r="J254" i="13"/>
  <c r="K253" i="13"/>
  <c r="J253" i="13"/>
  <c r="O253" i="13"/>
  <c r="K252" i="13"/>
  <c r="J252" i="13"/>
  <c r="O252" i="13"/>
  <c r="K251" i="13"/>
  <c r="J251" i="13"/>
  <c r="O251" i="13"/>
  <c r="K255" i="13"/>
  <c r="J255" i="13"/>
  <c r="O255" i="13"/>
  <c r="K260" i="13"/>
  <c r="J260" i="13"/>
  <c r="O260" i="13"/>
  <c r="K270" i="13"/>
  <c r="J270" i="13"/>
  <c r="O270" i="13"/>
  <c r="K290" i="13"/>
  <c r="J290" i="13"/>
  <c r="O290" i="13"/>
  <c r="K249" i="13"/>
  <c r="J249" i="13"/>
  <c r="K248" i="13"/>
  <c r="J248" i="13"/>
  <c r="O248" i="13"/>
  <c r="K247" i="13"/>
  <c r="J247" i="13"/>
  <c r="O247" i="13"/>
  <c r="K246" i="13"/>
  <c r="J246" i="13"/>
  <c r="O246" i="13"/>
  <c r="K244" i="13"/>
  <c r="J244" i="13"/>
  <c r="K243" i="13"/>
  <c r="J243" i="13"/>
  <c r="O243" i="13"/>
  <c r="K242" i="13"/>
  <c r="J242" i="13"/>
  <c r="O242" i="13"/>
  <c r="K241" i="13"/>
  <c r="J241" i="13"/>
  <c r="O241" i="13"/>
  <c r="K245" i="13"/>
  <c r="J245" i="13"/>
  <c r="O245" i="13"/>
  <c r="K239" i="13"/>
  <c r="J239" i="13"/>
  <c r="K238" i="13"/>
  <c r="J238" i="13"/>
  <c r="O238" i="13"/>
  <c r="K237" i="13"/>
  <c r="J237" i="13"/>
  <c r="O237" i="13"/>
  <c r="K236" i="13"/>
  <c r="J236" i="13"/>
  <c r="O236" i="13"/>
  <c r="K234" i="13"/>
  <c r="J234" i="13"/>
  <c r="K233" i="13"/>
  <c r="J233" i="13"/>
  <c r="O233" i="13"/>
  <c r="K232" i="13"/>
  <c r="J232" i="13"/>
  <c r="O232" i="13"/>
  <c r="K231" i="13"/>
  <c r="J231" i="13"/>
  <c r="O231" i="13"/>
  <c r="K235" i="13"/>
  <c r="J235" i="13"/>
  <c r="O235" i="13"/>
  <c r="K240" i="13"/>
  <c r="J240" i="13"/>
  <c r="O240" i="13"/>
  <c r="K229" i="13"/>
  <c r="J229" i="13"/>
  <c r="K228" i="13"/>
  <c r="J228" i="13"/>
  <c r="O228" i="13"/>
  <c r="K227" i="13"/>
  <c r="J227" i="13"/>
  <c r="O227" i="13"/>
  <c r="K226" i="13"/>
  <c r="J226" i="13"/>
  <c r="O226" i="13"/>
  <c r="K224" i="13"/>
  <c r="J224" i="13"/>
  <c r="K223" i="13"/>
  <c r="J223" i="13"/>
  <c r="O223" i="13"/>
  <c r="K222" i="13"/>
  <c r="J222" i="13"/>
  <c r="O222" i="13"/>
  <c r="K221" i="13"/>
  <c r="J221" i="13"/>
  <c r="O221" i="13"/>
  <c r="K225" i="13"/>
  <c r="J225" i="13"/>
  <c r="O225" i="13"/>
  <c r="K219" i="13"/>
  <c r="J219" i="13"/>
  <c r="K218" i="13"/>
  <c r="J218" i="13"/>
  <c r="O218" i="13"/>
  <c r="K217" i="13"/>
  <c r="J217" i="13"/>
  <c r="O217" i="13"/>
  <c r="K216" i="13"/>
  <c r="J216" i="13"/>
  <c r="O216" i="13"/>
  <c r="K214" i="13"/>
  <c r="J214" i="13"/>
  <c r="K213" i="13"/>
  <c r="J213" i="13"/>
  <c r="O213" i="13"/>
  <c r="K212" i="13"/>
  <c r="J212" i="13"/>
  <c r="O212" i="13"/>
  <c r="K211" i="13"/>
  <c r="J211" i="13"/>
  <c r="O211" i="13"/>
  <c r="K215" i="13"/>
  <c r="J215" i="13"/>
  <c r="O215" i="13"/>
  <c r="K220" i="13"/>
  <c r="J220" i="13"/>
  <c r="O220" i="13"/>
  <c r="K230" i="13"/>
  <c r="J230" i="13"/>
  <c r="O230" i="13"/>
  <c r="K209" i="13"/>
  <c r="J209" i="13"/>
  <c r="K208" i="13"/>
  <c r="J208" i="13"/>
  <c r="O208" i="13"/>
  <c r="K207" i="13"/>
  <c r="J207" i="13"/>
  <c r="O207" i="13"/>
  <c r="K206" i="13"/>
  <c r="J206" i="13"/>
  <c r="O206" i="13"/>
  <c r="K204" i="13"/>
  <c r="J204" i="13"/>
  <c r="K203" i="13"/>
  <c r="J203" i="13"/>
  <c r="O203" i="13"/>
  <c r="K202" i="13"/>
  <c r="J202" i="13"/>
  <c r="O202" i="13"/>
  <c r="K201" i="13"/>
  <c r="J201" i="13"/>
  <c r="O201" i="13"/>
  <c r="K205" i="13"/>
  <c r="J205" i="13"/>
  <c r="O205" i="13"/>
  <c r="K199" i="13"/>
  <c r="J199" i="13"/>
  <c r="K198" i="13"/>
  <c r="J198" i="13"/>
  <c r="O198" i="13"/>
  <c r="K197" i="13"/>
  <c r="J197" i="13"/>
  <c r="O197" i="13"/>
  <c r="K196" i="13"/>
  <c r="J196" i="13"/>
  <c r="O196" i="13"/>
  <c r="K194" i="13"/>
  <c r="J194" i="13"/>
  <c r="K193" i="13"/>
  <c r="J193" i="13"/>
  <c r="O193" i="13"/>
  <c r="K192" i="13"/>
  <c r="J192" i="13"/>
  <c r="O192" i="13"/>
  <c r="K191" i="13"/>
  <c r="J191" i="13"/>
  <c r="O191" i="13"/>
  <c r="K195" i="13"/>
  <c r="J195" i="13"/>
  <c r="O195" i="13"/>
  <c r="K200" i="13"/>
  <c r="J200" i="13"/>
  <c r="O200" i="13"/>
  <c r="K189" i="13"/>
  <c r="J189" i="13"/>
  <c r="K188" i="13"/>
  <c r="J188" i="13"/>
  <c r="O188" i="13"/>
  <c r="K187" i="13"/>
  <c r="J187" i="13"/>
  <c r="O187" i="13"/>
  <c r="K186" i="13"/>
  <c r="J186" i="13"/>
  <c r="O186" i="13"/>
  <c r="K184" i="13"/>
  <c r="J184" i="13"/>
  <c r="K183" i="13"/>
  <c r="J183" i="13"/>
  <c r="O183" i="13"/>
  <c r="K182" i="13"/>
  <c r="J182" i="13"/>
  <c r="O182" i="13"/>
  <c r="K181" i="13"/>
  <c r="J181" i="13"/>
  <c r="O181" i="13"/>
  <c r="K185" i="13"/>
  <c r="J185" i="13"/>
  <c r="O185" i="13"/>
  <c r="K179" i="13"/>
  <c r="J179" i="13"/>
  <c r="K178" i="13"/>
  <c r="J178" i="13"/>
  <c r="O178" i="13"/>
  <c r="K177" i="13"/>
  <c r="J177" i="13"/>
  <c r="O177" i="13"/>
  <c r="K176" i="13"/>
  <c r="J176" i="13"/>
  <c r="O176" i="13"/>
  <c r="K174" i="13"/>
  <c r="J174" i="13"/>
  <c r="K173" i="13"/>
  <c r="J173" i="13"/>
  <c r="O173" i="13"/>
  <c r="K172" i="13"/>
  <c r="J172" i="13"/>
  <c r="O172" i="13"/>
  <c r="K171" i="13"/>
  <c r="J171" i="13"/>
  <c r="O171" i="13"/>
  <c r="K175" i="13"/>
  <c r="J175" i="13"/>
  <c r="O175" i="13"/>
  <c r="K180" i="13"/>
  <c r="J180" i="13"/>
  <c r="O180" i="13"/>
  <c r="K190" i="13"/>
  <c r="J190" i="13"/>
  <c r="O190" i="13"/>
  <c r="K210" i="13"/>
  <c r="J210" i="13"/>
  <c r="O210" i="13"/>
  <c r="J250" i="13"/>
  <c r="O250" i="13"/>
  <c r="K169" i="13"/>
  <c r="J169" i="13"/>
  <c r="K168" i="13"/>
  <c r="J168" i="13"/>
  <c r="O168" i="13"/>
  <c r="K167" i="13"/>
  <c r="J167" i="13"/>
  <c r="O167" i="13"/>
  <c r="K166" i="13"/>
  <c r="J166" i="13"/>
  <c r="O166" i="13"/>
  <c r="K164" i="13"/>
  <c r="J164" i="13"/>
  <c r="K163" i="13"/>
  <c r="J163" i="13"/>
  <c r="O163" i="13"/>
  <c r="K162" i="13"/>
  <c r="J162" i="13"/>
  <c r="O162" i="13"/>
  <c r="K161" i="13"/>
  <c r="J161" i="13"/>
  <c r="O161" i="13"/>
  <c r="K165" i="13"/>
  <c r="J165" i="13"/>
  <c r="O165" i="13"/>
  <c r="K159" i="13"/>
  <c r="J159" i="13"/>
  <c r="K158" i="13"/>
  <c r="J158" i="13"/>
  <c r="O158" i="13"/>
  <c r="K157" i="13"/>
  <c r="J157" i="13"/>
  <c r="O157" i="13"/>
  <c r="K156" i="13"/>
  <c r="J156" i="13"/>
  <c r="O156" i="13"/>
  <c r="K154" i="13"/>
  <c r="J154" i="13"/>
  <c r="K153" i="13"/>
  <c r="J153" i="13"/>
  <c r="O153" i="13"/>
  <c r="K152" i="13"/>
  <c r="J152" i="13"/>
  <c r="O152" i="13"/>
  <c r="K151" i="13"/>
  <c r="J151" i="13"/>
  <c r="O151" i="13"/>
  <c r="K155" i="13"/>
  <c r="J155" i="13"/>
  <c r="O155" i="13"/>
  <c r="K160" i="13"/>
  <c r="J160" i="13"/>
  <c r="O160" i="13"/>
  <c r="K149" i="13"/>
  <c r="J149" i="13"/>
  <c r="K148" i="13"/>
  <c r="J148" i="13"/>
  <c r="O148" i="13"/>
  <c r="K147" i="13"/>
  <c r="J147" i="13"/>
  <c r="O147" i="13"/>
  <c r="K146" i="13"/>
  <c r="J146" i="13"/>
  <c r="O146" i="13"/>
  <c r="K144" i="13"/>
  <c r="J144" i="13"/>
  <c r="K143" i="13"/>
  <c r="J143" i="13"/>
  <c r="O143" i="13"/>
  <c r="K142" i="13"/>
  <c r="J142" i="13"/>
  <c r="O142" i="13"/>
  <c r="K141" i="13"/>
  <c r="J141" i="13"/>
  <c r="O141" i="13"/>
  <c r="K145" i="13"/>
  <c r="J145" i="13"/>
  <c r="O145" i="13"/>
  <c r="K139" i="13"/>
  <c r="J139" i="13"/>
  <c r="K138" i="13"/>
  <c r="J138" i="13"/>
  <c r="O138" i="13"/>
  <c r="K137" i="13"/>
  <c r="J137" i="13"/>
  <c r="O137" i="13"/>
  <c r="K136" i="13"/>
  <c r="J136" i="13"/>
  <c r="O136" i="13"/>
  <c r="K134" i="13"/>
  <c r="J134" i="13"/>
  <c r="K133" i="13"/>
  <c r="J133" i="13"/>
  <c r="O133" i="13"/>
  <c r="K132" i="13"/>
  <c r="J132" i="13"/>
  <c r="O132" i="13"/>
  <c r="K131" i="13"/>
  <c r="J131" i="13"/>
  <c r="O131" i="13"/>
  <c r="K135" i="13"/>
  <c r="J135" i="13"/>
  <c r="O135" i="13"/>
  <c r="K140" i="13"/>
  <c r="J140" i="13"/>
  <c r="O140" i="13"/>
  <c r="K150" i="13"/>
  <c r="J150" i="13"/>
  <c r="O150" i="13"/>
  <c r="K129" i="13"/>
  <c r="J129" i="13"/>
  <c r="K128" i="13"/>
  <c r="J128" i="13"/>
  <c r="O128" i="13"/>
  <c r="K127" i="13"/>
  <c r="J127" i="13"/>
  <c r="O127" i="13"/>
  <c r="K126" i="13"/>
  <c r="J126" i="13"/>
  <c r="O126" i="13"/>
  <c r="K124" i="13"/>
  <c r="J124" i="13"/>
  <c r="K123" i="13"/>
  <c r="J123" i="13"/>
  <c r="O123" i="13"/>
  <c r="K122" i="13"/>
  <c r="J122" i="13"/>
  <c r="O122" i="13"/>
  <c r="K121" i="13"/>
  <c r="J121" i="13"/>
  <c r="O121" i="13"/>
  <c r="K125" i="13"/>
  <c r="J125" i="13"/>
  <c r="O125" i="13"/>
  <c r="K119" i="13"/>
  <c r="J119" i="13"/>
  <c r="K118" i="13"/>
  <c r="J118" i="13"/>
  <c r="O118" i="13"/>
  <c r="K117" i="13"/>
  <c r="J117" i="13"/>
  <c r="O117" i="13"/>
  <c r="K116" i="13"/>
  <c r="J116" i="13"/>
  <c r="O116" i="13"/>
  <c r="K114" i="13"/>
  <c r="J114" i="13"/>
  <c r="K113" i="13"/>
  <c r="J113" i="13"/>
  <c r="O113" i="13"/>
  <c r="K112" i="13"/>
  <c r="J112" i="13"/>
  <c r="O112" i="13"/>
  <c r="K111" i="13"/>
  <c r="J111" i="13"/>
  <c r="O111" i="13"/>
  <c r="K115" i="13"/>
  <c r="J115" i="13"/>
  <c r="O115" i="13"/>
  <c r="K120" i="13"/>
  <c r="J120" i="13"/>
  <c r="O120" i="13"/>
  <c r="K109" i="13"/>
  <c r="J109" i="13"/>
  <c r="K108" i="13"/>
  <c r="J108" i="13"/>
  <c r="O108" i="13"/>
  <c r="K107" i="13"/>
  <c r="J107" i="13"/>
  <c r="O107" i="13"/>
  <c r="K106" i="13"/>
  <c r="J106" i="13"/>
  <c r="O106" i="13"/>
  <c r="K104" i="13"/>
  <c r="J104" i="13"/>
  <c r="K103" i="13"/>
  <c r="J103" i="13"/>
  <c r="O103" i="13"/>
  <c r="K102" i="13"/>
  <c r="J102" i="13"/>
  <c r="O102" i="13"/>
  <c r="K101" i="13"/>
  <c r="J101" i="13"/>
  <c r="O101" i="13"/>
  <c r="K105" i="13"/>
  <c r="J105" i="13"/>
  <c r="O105" i="13"/>
  <c r="K99" i="13"/>
  <c r="J99" i="13"/>
  <c r="K98" i="13"/>
  <c r="J98" i="13"/>
  <c r="O98" i="13"/>
  <c r="K97" i="13"/>
  <c r="J97" i="13"/>
  <c r="O97" i="13"/>
  <c r="K96" i="13"/>
  <c r="J96" i="13"/>
  <c r="O96" i="13"/>
  <c r="K94" i="13"/>
  <c r="J94" i="13"/>
  <c r="K93" i="13"/>
  <c r="J93" i="13"/>
  <c r="O93" i="13"/>
  <c r="K92" i="13"/>
  <c r="J92" i="13"/>
  <c r="O92" i="13"/>
  <c r="K91" i="13"/>
  <c r="J91" i="13"/>
  <c r="O91" i="13"/>
  <c r="K95" i="13"/>
  <c r="J95" i="13"/>
  <c r="O95" i="13"/>
  <c r="K100" i="13"/>
  <c r="J100" i="13"/>
  <c r="O100" i="13"/>
  <c r="K110" i="13"/>
  <c r="J110" i="13"/>
  <c r="O110" i="13"/>
  <c r="K130" i="13"/>
  <c r="J130" i="13"/>
  <c r="O130" i="13"/>
  <c r="K89" i="13"/>
  <c r="J89" i="13"/>
  <c r="K88" i="13"/>
  <c r="J88" i="13"/>
  <c r="O88" i="13"/>
  <c r="K87" i="13"/>
  <c r="J87" i="13"/>
  <c r="O87" i="13"/>
  <c r="K86" i="13"/>
  <c r="J86" i="13"/>
  <c r="O86" i="13"/>
  <c r="K84" i="13"/>
  <c r="J84" i="13"/>
  <c r="K83" i="13"/>
  <c r="J83" i="13"/>
  <c r="O83" i="13"/>
  <c r="K82" i="13"/>
  <c r="J82" i="13"/>
  <c r="O82" i="13"/>
  <c r="K81" i="13"/>
  <c r="J81" i="13"/>
  <c r="O81" i="13"/>
  <c r="K85" i="13"/>
  <c r="J85" i="13"/>
  <c r="O85" i="13"/>
  <c r="K79" i="13"/>
  <c r="J79" i="13"/>
  <c r="K78" i="13"/>
  <c r="J78" i="13"/>
  <c r="O78" i="13"/>
  <c r="K77" i="13"/>
  <c r="J77" i="13"/>
  <c r="O77" i="13"/>
  <c r="K76" i="13"/>
  <c r="J76" i="13"/>
  <c r="O76" i="13"/>
  <c r="K74" i="13"/>
  <c r="J74" i="13"/>
  <c r="K73" i="13"/>
  <c r="J73" i="13"/>
  <c r="O73" i="13"/>
  <c r="K72" i="13"/>
  <c r="J72" i="13"/>
  <c r="O72" i="13"/>
  <c r="K71" i="13"/>
  <c r="J71" i="13"/>
  <c r="O71" i="13"/>
  <c r="K75" i="13"/>
  <c r="J75" i="13"/>
  <c r="O75" i="13"/>
  <c r="K80" i="13"/>
  <c r="J80" i="13"/>
  <c r="O80" i="13"/>
  <c r="K69" i="13"/>
  <c r="J69" i="13"/>
  <c r="K68" i="13"/>
  <c r="J68" i="13"/>
  <c r="O68" i="13"/>
  <c r="K67" i="13"/>
  <c r="J67" i="13"/>
  <c r="O67" i="13"/>
  <c r="K66" i="13"/>
  <c r="J66" i="13"/>
  <c r="O66" i="13"/>
  <c r="K64" i="13"/>
  <c r="J64" i="13"/>
  <c r="K63" i="13"/>
  <c r="J63" i="13"/>
  <c r="O63" i="13"/>
  <c r="K62" i="13"/>
  <c r="J62" i="13"/>
  <c r="O62" i="13"/>
  <c r="K61" i="13"/>
  <c r="J61" i="13"/>
  <c r="O61" i="13"/>
  <c r="K65" i="13"/>
  <c r="J65" i="13"/>
  <c r="O65" i="13"/>
  <c r="K59" i="13"/>
  <c r="J59" i="13"/>
  <c r="K58" i="13"/>
  <c r="J58" i="13"/>
  <c r="O58" i="13"/>
  <c r="K57" i="13"/>
  <c r="J57" i="13"/>
  <c r="O57" i="13"/>
  <c r="K56" i="13"/>
  <c r="J56" i="13"/>
  <c r="O56" i="13"/>
  <c r="K54" i="13"/>
  <c r="J54" i="13"/>
  <c r="K53" i="13"/>
  <c r="J53" i="13"/>
  <c r="O53" i="13"/>
  <c r="K52" i="13"/>
  <c r="J52" i="13"/>
  <c r="O52" i="13"/>
  <c r="K51" i="13"/>
  <c r="J51" i="13"/>
  <c r="O51" i="13"/>
  <c r="K55" i="13"/>
  <c r="J55" i="13"/>
  <c r="O55" i="13"/>
  <c r="K60" i="13"/>
  <c r="J60" i="13"/>
  <c r="O60" i="13"/>
  <c r="K70" i="13"/>
  <c r="J70" i="13"/>
  <c r="O70" i="13"/>
  <c r="K49" i="13"/>
  <c r="J49" i="13"/>
  <c r="K48" i="13"/>
  <c r="J48" i="13"/>
  <c r="O48" i="13"/>
  <c r="K47" i="13"/>
  <c r="J47" i="13"/>
  <c r="O47" i="13"/>
  <c r="K46" i="13"/>
  <c r="J46" i="13"/>
  <c r="O46" i="13"/>
  <c r="K44" i="13"/>
  <c r="J44" i="13"/>
  <c r="K43" i="13"/>
  <c r="J43" i="13"/>
  <c r="O43" i="13"/>
  <c r="K42" i="13"/>
  <c r="J42" i="13"/>
  <c r="O42" i="13"/>
  <c r="K41" i="13"/>
  <c r="J41" i="13"/>
  <c r="O41" i="13"/>
  <c r="K45" i="13"/>
  <c r="J45" i="13"/>
  <c r="O45" i="13"/>
  <c r="K39" i="13"/>
  <c r="J39" i="13"/>
  <c r="K38" i="13"/>
  <c r="J38" i="13"/>
  <c r="O38" i="13"/>
  <c r="K37" i="13"/>
  <c r="J37" i="13"/>
  <c r="O37" i="13"/>
  <c r="K36" i="13"/>
  <c r="J36" i="13"/>
  <c r="O36" i="13"/>
  <c r="K34" i="13"/>
  <c r="J34" i="13"/>
  <c r="K33" i="13"/>
  <c r="J33" i="13"/>
  <c r="O33" i="13"/>
  <c r="K32" i="13"/>
  <c r="J32" i="13"/>
  <c r="O32" i="13"/>
  <c r="K31" i="13"/>
  <c r="J31" i="13"/>
  <c r="O31" i="13"/>
  <c r="K35" i="13"/>
  <c r="J35" i="13"/>
  <c r="O35" i="13"/>
  <c r="K40" i="13"/>
  <c r="J40" i="13"/>
  <c r="O40" i="13"/>
  <c r="K29" i="13"/>
  <c r="J29" i="13"/>
  <c r="K28" i="13"/>
  <c r="J28" i="13"/>
  <c r="O28" i="13"/>
  <c r="K27" i="13"/>
  <c r="J27" i="13"/>
  <c r="O27" i="13"/>
  <c r="K26" i="13"/>
  <c r="J26" i="13"/>
  <c r="O26" i="13"/>
  <c r="K24" i="13"/>
  <c r="J24" i="13"/>
  <c r="K23" i="13"/>
  <c r="J23" i="13"/>
  <c r="O23" i="13"/>
  <c r="K22" i="13"/>
  <c r="J22" i="13"/>
  <c r="O22" i="13"/>
  <c r="K21" i="13"/>
  <c r="J21" i="13"/>
  <c r="O21" i="13"/>
  <c r="K25" i="13"/>
  <c r="J25" i="13"/>
  <c r="O25" i="13"/>
  <c r="K19" i="13"/>
  <c r="J19" i="13"/>
  <c r="K18" i="13"/>
  <c r="J18" i="13"/>
  <c r="O18" i="13"/>
  <c r="K17" i="13"/>
  <c r="J17" i="13"/>
  <c r="O17" i="13"/>
  <c r="K16" i="13"/>
  <c r="J16" i="13"/>
  <c r="O16" i="13"/>
  <c r="K14" i="13"/>
  <c r="J14" i="13"/>
  <c r="K13" i="13"/>
  <c r="J13" i="13"/>
  <c r="O13" i="13"/>
  <c r="K12" i="13"/>
  <c r="J12" i="13"/>
  <c r="O12" i="13"/>
  <c r="K11" i="13"/>
  <c r="J11" i="13"/>
  <c r="O11" i="13"/>
  <c r="K15" i="13"/>
  <c r="J15" i="13"/>
  <c r="O15" i="13"/>
  <c r="K20" i="13"/>
  <c r="J20" i="13"/>
  <c r="O20" i="13"/>
  <c r="K30" i="13"/>
  <c r="J30" i="13"/>
  <c r="O30" i="13"/>
  <c r="K50" i="13"/>
  <c r="J50" i="13"/>
  <c r="O50" i="13"/>
  <c r="J90" i="13"/>
  <c r="O90" i="13"/>
  <c r="J170" i="13"/>
  <c r="O170" i="13"/>
  <c r="J330" i="13"/>
  <c r="O330" i="13"/>
  <c r="K650" i="13"/>
  <c r="J650" i="13"/>
  <c r="O650" i="13"/>
  <c r="B650" i="13"/>
  <c r="B2" i="13"/>
  <c r="F2" i="13"/>
  <c r="M2538" i="12"/>
  <c r="M2528" i="12"/>
  <c r="M2518" i="12"/>
  <c r="M2508" i="12"/>
  <c r="M2478" i="12"/>
  <c r="M2468" i="12"/>
  <c r="M2418" i="12"/>
  <c r="M2408" i="12"/>
  <c r="M2398" i="12"/>
  <c r="M2388" i="12"/>
  <c r="M2338" i="12"/>
  <c r="M2328" i="12"/>
  <c r="M2298" i="12"/>
  <c r="M2288" i="12"/>
  <c r="M2278" i="12"/>
  <c r="M2268" i="12"/>
  <c r="M2238" i="12"/>
  <c r="M2228" i="12"/>
  <c r="M2178" i="12"/>
  <c r="M2168" i="12"/>
  <c r="M2138" i="12"/>
  <c r="M2128" i="12"/>
  <c r="M2118" i="12"/>
  <c r="M2108" i="12"/>
  <c r="M2058" i="12"/>
  <c r="M2048" i="12"/>
  <c r="M2038" i="12"/>
  <c r="M2028" i="12"/>
  <c r="M1998" i="12"/>
  <c r="M1988" i="12"/>
  <c r="M1938" i="12"/>
  <c r="M1928" i="12"/>
  <c r="M1918" i="12"/>
  <c r="M1908" i="12"/>
  <c r="M1858" i="12"/>
  <c r="M1848" i="12"/>
  <c r="M1818" i="12"/>
  <c r="M1808" i="12"/>
  <c r="M1798" i="12"/>
  <c r="M1788" i="12"/>
  <c r="M1738" i="12"/>
  <c r="M1728" i="12"/>
  <c r="M1718" i="12"/>
  <c r="M1708" i="12"/>
  <c r="M1678" i="12"/>
  <c r="M1668" i="12"/>
  <c r="M1618" i="12"/>
  <c r="M1608" i="12"/>
  <c r="M1578" i="12"/>
  <c r="M1568" i="12"/>
  <c r="M1558" i="12"/>
  <c r="M1548" i="12"/>
  <c r="M1518" i="12"/>
  <c r="M1508" i="12"/>
  <c r="M1458" i="12"/>
  <c r="M1448" i="12"/>
  <c r="D2400" i="12"/>
  <c r="C2240" i="12"/>
  <c r="D1440" i="12"/>
  <c r="B1920" i="12"/>
  <c r="D800" i="12"/>
  <c r="M2559" i="12"/>
  <c r="K2555" i="12"/>
  <c r="M2549" i="12"/>
  <c r="K2545" i="12"/>
  <c r="I2551" i="12"/>
  <c r="L2537" i="12"/>
  <c r="J2533" i="12"/>
  <c r="L2527" i="12"/>
  <c r="J2523" i="12"/>
  <c r="H2541" i="12"/>
  <c r="L2517" i="12"/>
  <c r="J2513" i="12"/>
  <c r="L2507" i="12"/>
  <c r="J2503" i="12"/>
  <c r="M2499" i="12"/>
  <c r="K2495" i="12"/>
  <c r="M2489" i="12"/>
  <c r="K2485" i="12"/>
  <c r="I2491" i="12"/>
  <c r="G2521" i="12"/>
  <c r="L2477" i="12"/>
  <c r="J2473" i="12"/>
  <c r="L2467" i="12"/>
  <c r="J2463" i="12"/>
  <c r="M2459" i="12"/>
  <c r="K2455" i="12"/>
  <c r="M2449" i="12"/>
  <c r="K2445" i="12"/>
  <c r="I2451" i="12"/>
  <c r="M2439" i="12"/>
  <c r="K2435" i="12"/>
  <c r="M2429" i="12"/>
  <c r="K2425" i="12"/>
  <c r="I2431" i="12"/>
  <c r="L2417" i="12"/>
  <c r="J2413" i="12"/>
  <c r="L2407" i="12"/>
  <c r="J2403" i="12"/>
  <c r="H2421" i="12"/>
  <c r="F2481" i="12"/>
  <c r="L2397" i="12"/>
  <c r="J2393" i="12"/>
  <c r="L2387" i="12"/>
  <c r="J2383" i="12"/>
  <c r="M2379" i="12"/>
  <c r="K2375" i="12"/>
  <c r="M2369" i="12"/>
  <c r="K2365" i="12"/>
  <c r="I2371" i="12"/>
  <c r="M2359" i="12"/>
  <c r="K2355" i="12"/>
  <c r="M2349" i="12"/>
  <c r="K2345" i="12"/>
  <c r="I2351" i="12"/>
  <c r="L2337" i="12"/>
  <c r="J2333" i="12"/>
  <c r="L2327" i="12"/>
  <c r="J2323" i="12"/>
  <c r="H2341" i="12"/>
  <c r="M2319" i="12"/>
  <c r="K2315" i="12"/>
  <c r="M2309" i="12"/>
  <c r="K2305" i="12"/>
  <c r="I2311" i="12"/>
  <c r="L2297" i="12"/>
  <c r="J2293" i="12"/>
  <c r="L2287" i="12"/>
  <c r="J2283" i="12"/>
  <c r="H2301" i="12"/>
  <c r="L2277" i="12"/>
  <c r="J2273" i="12"/>
  <c r="L2267" i="12"/>
  <c r="J2263" i="12"/>
  <c r="M2259" i="12"/>
  <c r="K2255" i="12"/>
  <c r="M2249" i="12"/>
  <c r="K2245" i="12"/>
  <c r="I2251" i="12"/>
  <c r="G2281" i="12"/>
  <c r="E2401" i="12"/>
  <c r="L2237" i="12"/>
  <c r="J2233" i="12"/>
  <c r="L2227" i="12"/>
  <c r="J2223" i="12"/>
  <c r="M2219" i="12"/>
  <c r="K2215" i="12"/>
  <c r="M2209" i="12"/>
  <c r="K2205" i="12"/>
  <c r="I2211" i="12"/>
  <c r="M2199" i="12"/>
  <c r="K2195" i="12"/>
  <c r="M2189" i="12"/>
  <c r="K2185" i="12"/>
  <c r="I2191" i="12"/>
  <c r="L2177" i="12"/>
  <c r="J2173" i="12"/>
  <c r="M2558" i="12"/>
  <c r="M2548" i="12"/>
  <c r="M2498" i="12"/>
  <c r="M2488" i="12"/>
  <c r="M2458" i="12"/>
  <c r="M2448" i="12"/>
  <c r="M2438" i="12"/>
  <c r="M2428" i="12"/>
  <c r="D2080" i="12"/>
  <c r="D1760" i="12"/>
  <c r="C1600" i="12"/>
  <c r="D1120" i="12"/>
  <c r="C960" i="12"/>
  <c r="D160" i="12"/>
  <c r="B640" i="12"/>
  <c r="J2543" i="12"/>
  <c r="M2519" i="12"/>
  <c r="L2497" i="12"/>
  <c r="K2475" i="12"/>
  <c r="L2427" i="12"/>
  <c r="I2411" i="12"/>
  <c r="I2391" i="12"/>
  <c r="L2347" i="12"/>
  <c r="I2331" i="12"/>
  <c r="K2295" i="12"/>
  <c r="M2269" i="12"/>
  <c r="H2261" i="12"/>
  <c r="K2225" i="12"/>
  <c r="J2193" i="12"/>
  <c r="K2135" i="12"/>
  <c r="M2129" i="12"/>
  <c r="L2057" i="12"/>
  <c r="J2053" i="12"/>
  <c r="K1995" i="12"/>
  <c r="M1989" i="12"/>
  <c r="K1855" i="12"/>
  <c r="M1849" i="12"/>
  <c r="L1797" i="12"/>
  <c r="J1793" i="12"/>
  <c r="M1778" i="12"/>
  <c r="M1768" i="12"/>
  <c r="M1758" i="12"/>
  <c r="M1748" i="12"/>
  <c r="K1715" i="12"/>
  <c r="M1709" i="12"/>
  <c r="L1617" i="12"/>
  <c r="J1613" i="12"/>
  <c r="K1565" i="12"/>
  <c r="I1571" i="12"/>
  <c r="M1559" i="12"/>
  <c r="L1507" i="12"/>
  <c r="J1503" i="12"/>
  <c r="M1499" i="12"/>
  <c r="K1495" i="12"/>
  <c r="M1489" i="12"/>
  <c r="K1485" i="12"/>
  <c r="I1491" i="12"/>
  <c r="M1479" i="12"/>
  <c r="K1475" i="12"/>
  <c r="M1469" i="12"/>
  <c r="K1465" i="12"/>
  <c r="I1471" i="12"/>
  <c r="D1601" i="12"/>
  <c r="M1278" i="12"/>
  <c r="M1268" i="12"/>
  <c r="M1218" i="12"/>
  <c r="M1208" i="12"/>
  <c r="M1178" i="12"/>
  <c r="M1168" i="12"/>
  <c r="M1158" i="12"/>
  <c r="M1148" i="12"/>
  <c r="M1098" i="12"/>
  <c r="M1088" i="12"/>
  <c r="M1078" i="12"/>
  <c r="M1068" i="12"/>
  <c r="M1038" i="12"/>
  <c r="M1028" i="12"/>
  <c r="M978" i="12"/>
  <c r="M968" i="12"/>
  <c r="M639" i="12"/>
  <c r="K635" i="12"/>
  <c r="M629" i="12"/>
  <c r="K625" i="12"/>
  <c r="I631" i="12"/>
  <c r="L617" i="12"/>
  <c r="J613" i="12"/>
  <c r="L607" i="12"/>
  <c r="J603" i="12"/>
  <c r="H621" i="12"/>
  <c r="L597" i="12"/>
  <c r="J593" i="12"/>
  <c r="L587" i="12"/>
  <c r="J583" i="12"/>
  <c r="M579" i="12"/>
  <c r="K575" i="12"/>
  <c r="M569" i="12"/>
  <c r="K565" i="12"/>
  <c r="I571" i="12"/>
  <c r="G601" i="12"/>
  <c r="L557" i="12"/>
  <c r="J553" i="12"/>
  <c r="L547" i="12"/>
  <c r="J543" i="12"/>
  <c r="M539" i="12"/>
  <c r="K535" i="12"/>
  <c r="M529" i="12"/>
  <c r="K525" i="12"/>
  <c r="I531" i="12"/>
  <c r="M519" i="12"/>
  <c r="K515" i="12"/>
  <c r="M509" i="12"/>
  <c r="K505" i="12"/>
  <c r="I511" i="12"/>
  <c r="L497" i="12"/>
  <c r="J493" i="12"/>
  <c r="L487" i="12"/>
  <c r="J483" i="12"/>
  <c r="H501" i="12"/>
  <c r="F561" i="12"/>
  <c r="L477" i="12"/>
  <c r="J473" i="12"/>
  <c r="L467" i="12"/>
  <c r="J463" i="12"/>
  <c r="M459" i="12"/>
  <c r="K455" i="12"/>
  <c r="M449" i="12"/>
  <c r="K445" i="12"/>
  <c r="I451" i="12"/>
  <c r="M439" i="12"/>
  <c r="K435" i="12"/>
  <c r="M429" i="12"/>
  <c r="K425" i="12"/>
  <c r="I431" i="12"/>
  <c r="L417" i="12"/>
  <c r="J413" i="12"/>
  <c r="L407" i="12"/>
  <c r="J403" i="12"/>
  <c r="H421" i="12"/>
  <c r="L2547" i="12"/>
  <c r="I2531" i="12"/>
  <c r="J2453" i="12"/>
  <c r="K2405" i="12"/>
  <c r="K2385" i="12"/>
  <c r="J2353" i="12"/>
  <c r="K2325" i="12"/>
  <c r="M2308" i="12"/>
  <c r="K2275" i="12"/>
  <c r="M2258" i="12"/>
  <c r="J2243" i="12"/>
  <c r="M2208" i="12"/>
  <c r="L2197" i="12"/>
  <c r="K2165" i="12"/>
  <c r="I2171" i="12"/>
  <c r="G2201" i="12"/>
  <c r="L2157" i="12"/>
  <c r="J2153" i="12"/>
  <c r="L2147" i="12"/>
  <c r="J2143" i="12"/>
  <c r="M2139" i="12"/>
  <c r="L2107" i="12"/>
  <c r="J2103" i="12"/>
  <c r="M2099" i="12"/>
  <c r="K2095" i="12"/>
  <c r="M2089" i="12"/>
  <c r="K2085" i="12"/>
  <c r="I2091" i="12"/>
  <c r="G2121" i="12"/>
  <c r="M2079" i="12"/>
  <c r="K2075" i="12"/>
  <c r="M2069" i="12"/>
  <c r="K2065" i="12"/>
  <c r="I2071" i="12"/>
  <c r="K2025" i="12"/>
  <c r="I2031" i="12"/>
  <c r="L2017" i="12"/>
  <c r="J2013" i="12"/>
  <c r="L2007" i="12"/>
  <c r="J2003" i="12"/>
  <c r="H2021" i="12"/>
  <c r="M1999" i="12"/>
  <c r="L1927" i="12"/>
  <c r="J1923" i="12"/>
  <c r="H1941" i="12"/>
  <c r="F2001" i="12"/>
  <c r="K1905" i="12"/>
  <c r="I1911" i="12"/>
  <c r="L1897" i="12"/>
  <c r="J1893" i="12"/>
  <c r="L1887" i="12"/>
  <c r="J1883" i="12"/>
  <c r="H1901" i="12"/>
  <c r="L1877" i="12"/>
  <c r="J1873" i="12"/>
  <c r="L1867" i="12"/>
  <c r="J1863" i="12"/>
  <c r="M1859" i="12"/>
  <c r="L1807" i="12"/>
  <c r="J1803" i="12"/>
  <c r="H1821" i="12"/>
  <c r="K1725" i="12"/>
  <c r="I1731" i="12"/>
  <c r="M1719" i="12"/>
  <c r="L1667" i="12"/>
  <c r="J1663" i="12"/>
  <c r="M1659" i="12"/>
  <c r="K1655" i="12"/>
  <c r="M1649" i="12"/>
  <c r="K1645" i="12"/>
  <c r="I1651" i="12"/>
  <c r="M1639" i="12"/>
  <c r="K1635" i="12"/>
  <c r="M1629" i="12"/>
  <c r="K1625" i="12"/>
  <c r="I1631" i="12"/>
  <c r="K1575" i="12"/>
  <c r="M1569" i="12"/>
  <c r="L1517" i="12"/>
  <c r="J1513" i="12"/>
  <c r="M1498" i="12"/>
  <c r="M1488" i="12"/>
  <c r="M1478" i="12"/>
  <c r="M1468" i="12"/>
  <c r="E801" i="12"/>
  <c r="M638" i="12"/>
  <c r="M628" i="12"/>
  <c r="M578" i="12"/>
  <c r="M568" i="12"/>
  <c r="M538" i="12"/>
  <c r="M528" i="12"/>
  <c r="M518" i="12"/>
  <c r="M508" i="12"/>
  <c r="M458" i="12"/>
  <c r="M448" i="12"/>
  <c r="M438" i="12"/>
  <c r="M428" i="12"/>
  <c r="M398" i="12"/>
  <c r="M388" i="12"/>
  <c r="M338" i="12"/>
  <c r="M328" i="12"/>
  <c r="M298" i="12"/>
  <c r="M288" i="12"/>
  <c r="M278" i="12"/>
  <c r="M268" i="12"/>
  <c r="M238" i="12"/>
  <c r="M228" i="12"/>
  <c r="M178" i="12"/>
  <c r="M168" i="12"/>
  <c r="M158" i="12"/>
  <c r="M148" i="12"/>
  <c r="K2525" i="12"/>
  <c r="I2511" i="12"/>
  <c r="M2479" i="12"/>
  <c r="L2457" i="12"/>
  <c r="J2433" i="12"/>
  <c r="M2368" i="12"/>
  <c r="L2357" i="12"/>
  <c r="M2299" i="12"/>
  <c r="L2247" i="12"/>
  <c r="M2229" i="12"/>
  <c r="H2221" i="12"/>
  <c r="M2169" i="12"/>
  <c r="L2117" i="12"/>
  <c r="J2113" i="12"/>
  <c r="M2098" i="12"/>
  <c r="M2088" i="12"/>
  <c r="M2078" i="12"/>
  <c r="M2068" i="12"/>
  <c r="K2035" i="12"/>
  <c r="M2029" i="12"/>
  <c r="L1937" i="12"/>
  <c r="J1933" i="12"/>
  <c r="K1915" i="12"/>
  <c r="M1909" i="12"/>
  <c r="L1817" i="12"/>
  <c r="J1813" i="12"/>
  <c r="K1735" i="12"/>
  <c r="M1729" i="12"/>
  <c r="L1677" i="12"/>
  <c r="J1673" i="12"/>
  <c r="M1658" i="12"/>
  <c r="M1648" i="12"/>
  <c r="M1638" i="12"/>
  <c r="M1628" i="12"/>
  <c r="E1761" i="12"/>
  <c r="L1597" i="12"/>
  <c r="J1593" i="12"/>
  <c r="L1587" i="12"/>
  <c r="J1583" i="12"/>
  <c r="M1579" i="12"/>
  <c r="L1547" i="12"/>
  <c r="J1543" i="12"/>
  <c r="M1539" i="12"/>
  <c r="K1535" i="12"/>
  <c r="M1529" i="12"/>
  <c r="K1525" i="12"/>
  <c r="I1531" i="12"/>
  <c r="G1561" i="12"/>
  <c r="K1445" i="12"/>
  <c r="I1451" i="12"/>
  <c r="G1481" i="12"/>
  <c r="M1439" i="12"/>
  <c r="K1435" i="12"/>
  <c r="M1429" i="12"/>
  <c r="K1425" i="12"/>
  <c r="I1431" i="12"/>
  <c r="L1417" i="12"/>
  <c r="J1413" i="12"/>
  <c r="L1407" i="12"/>
  <c r="J1403" i="12"/>
  <c r="H1421" i="12"/>
  <c r="L1397" i="12"/>
  <c r="J1393" i="12"/>
  <c r="L1387" i="12"/>
  <c r="J1383" i="12"/>
  <c r="M1379" i="12"/>
  <c r="K1375" i="12"/>
  <c r="M1369" i="12"/>
  <c r="K1365" i="12"/>
  <c r="I1371" i="12"/>
  <c r="J2553" i="12"/>
  <c r="K2505" i="12"/>
  <c r="H2501" i="12"/>
  <c r="L2437" i="12"/>
  <c r="M2409" i="12"/>
  <c r="M2389" i="12"/>
  <c r="H2381" i="12"/>
  <c r="M2329" i="12"/>
  <c r="M2318" i="12"/>
  <c r="J2303" i="12"/>
  <c r="M2279" i="12"/>
  <c r="J2253" i="12"/>
  <c r="K2235" i="12"/>
  <c r="M2218" i="12"/>
  <c r="J2203" i="12"/>
  <c r="K2175" i="12"/>
  <c r="L2127" i="12"/>
  <c r="J2123" i="12"/>
  <c r="H2141" i="12"/>
  <c r="K2045" i="12"/>
  <c r="I2051" i="12"/>
  <c r="M2039" i="12"/>
  <c r="L1987" i="12"/>
  <c r="J1983" i="12"/>
  <c r="M1979" i="12"/>
  <c r="K1975" i="12"/>
  <c r="M1969" i="12"/>
  <c r="K1965" i="12"/>
  <c r="I1971" i="12"/>
  <c r="M1959" i="12"/>
  <c r="K1955" i="12"/>
  <c r="M1949" i="12"/>
  <c r="K1945" i="12"/>
  <c r="I1951" i="12"/>
  <c r="M1919" i="12"/>
  <c r="L1847" i="12"/>
  <c r="J1843" i="12"/>
  <c r="H1861" i="12"/>
  <c r="M1839" i="12"/>
  <c r="K1835" i="12"/>
  <c r="M1829" i="12"/>
  <c r="K1825" i="12"/>
  <c r="I1831" i="12"/>
  <c r="K1785" i="12"/>
  <c r="I1791" i="12"/>
  <c r="L1777" i="12"/>
  <c r="J1773" i="12"/>
  <c r="L1767" i="12"/>
  <c r="J1763" i="12"/>
  <c r="H1781" i="12"/>
  <c r="F1841" i="12"/>
  <c r="L1757" i="12"/>
  <c r="J1753" i="12"/>
  <c r="L1747" i="12"/>
  <c r="J1743" i="12"/>
  <c r="M1739" i="12"/>
  <c r="L1707" i="12"/>
  <c r="J1703" i="12"/>
  <c r="M1699" i="12"/>
  <c r="K1695" i="12"/>
  <c r="M1689" i="12"/>
  <c r="K1685" i="12"/>
  <c r="I1691" i="12"/>
  <c r="G1721" i="12"/>
  <c r="K1605" i="12"/>
  <c r="I1611" i="12"/>
  <c r="G1641" i="12"/>
  <c r="L1557" i="12"/>
  <c r="J1553" i="12"/>
  <c r="M1538" i="12"/>
  <c r="M1528" i="12"/>
  <c r="K1455" i="12"/>
  <c r="M1449" i="12"/>
  <c r="M1438" i="12"/>
  <c r="M1428" i="12"/>
  <c r="L2557" i="12"/>
  <c r="M2529" i="12"/>
  <c r="J2483" i="12"/>
  <c r="I2471" i="12"/>
  <c r="K2415" i="12"/>
  <c r="K2395" i="12"/>
  <c r="M2378" i="12"/>
  <c r="J2363" i="12"/>
  <c r="K2335" i="12"/>
  <c r="L2307" i="12"/>
  <c r="I2291" i="12"/>
  <c r="L2257" i="12"/>
  <c r="L2207" i="12"/>
  <c r="M2188" i="12"/>
  <c r="L2137" i="12"/>
  <c r="J2133" i="12"/>
  <c r="K2055" i="12"/>
  <c r="M2049" i="12"/>
  <c r="L1997" i="12"/>
  <c r="J1993" i="12"/>
  <c r="M1978" i="12"/>
  <c r="M1968" i="12"/>
  <c r="M1958" i="12"/>
  <c r="M1948" i="12"/>
  <c r="E2081" i="12"/>
  <c r="L1857" i="12"/>
  <c r="J1853" i="12"/>
  <c r="M1838" i="12"/>
  <c r="M1828" i="12"/>
  <c r="K1795" i="12"/>
  <c r="M1789" i="12"/>
  <c r="L1717" i="12"/>
  <c r="J1713" i="12"/>
  <c r="M1698" i="12"/>
  <c r="M1688" i="12"/>
  <c r="K1615" i="12"/>
  <c r="M1609" i="12"/>
  <c r="L1567" i="12"/>
  <c r="J1563" i="12"/>
  <c r="H1581" i="12"/>
  <c r="K1505" i="12"/>
  <c r="I1511" i="12"/>
  <c r="L1497" i="12"/>
  <c r="J1493" i="12"/>
  <c r="L1487" i="12"/>
  <c r="J1483" i="12"/>
  <c r="H1501" i="12"/>
  <c r="L1477" i="12"/>
  <c r="J1473" i="12"/>
  <c r="L1467" i="12"/>
  <c r="J1463" i="12"/>
  <c r="M1459" i="12"/>
  <c r="M1258" i="12"/>
  <c r="M1248" i="12"/>
  <c r="M1238" i="12"/>
  <c r="M1228" i="12"/>
  <c r="M1198" i="12"/>
  <c r="M1188" i="12"/>
  <c r="M1138" i="12"/>
  <c r="M1128" i="12"/>
  <c r="M1118" i="12"/>
  <c r="M1108" i="12"/>
  <c r="M1058" i="12"/>
  <c r="M1048" i="12"/>
  <c r="M1018" i="12"/>
  <c r="M1008" i="12"/>
  <c r="M998" i="12"/>
  <c r="M988" i="12"/>
  <c r="D961" i="12"/>
  <c r="L637" i="12"/>
  <c r="J633" i="12"/>
  <c r="L627" i="12"/>
  <c r="J623" i="12"/>
  <c r="M619" i="12"/>
  <c r="K615" i="12"/>
  <c r="M609" i="12"/>
  <c r="K605" i="12"/>
  <c r="I611" i="12"/>
  <c r="M599" i="12"/>
  <c r="K595" i="12"/>
  <c r="M589" i="12"/>
  <c r="K585" i="12"/>
  <c r="I591" i="12"/>
  <c r="L577" i="12"/>
  <c r="J573" i="12"/>
  <c r="L567" i="12"/>
  <c r="J563" i="12"/>
  <c r="H581" i="12"/>
  <c r="M559" i="12"/>
  <c r="K555" i="12"/>
  <c r="M549" i="12"/>
  <c r="K545" i="12"/>
  <c r="I551" i="12"/>
  <c r="L537" i="12"/>
  <c r="J533" i="12"/>
  <c r="L527" i="12"/>
  <c r="J523" i="12"/>
  <c r="H541" i="12"/>
  <c r="L517" i="12"/>
  <c r="J513" i="12"/>
  <c r="L507" i="12"/>
  <c r="J503" i="12"/>
  <c r="M499" i="12"/>
  <c r="K495" i="12"/>
  <c r="M489" i="12"/>
  <c r="K485" i="12"/>
  <c r="I491" i="12"/>
  <c r="G521" i="12"/>
  <c r="M479" i="12"/>
  <c r="K475" i="12"/>
  <c r="M469" i="12"/>
  <c r="K465" i="12"/>
  <c r="I471" i="12"/>
  <c r="L457" i="12"/>
  <c r="J453" i="12"/>
  <c r="L447" i="12"/>
  <c r="J443" i="12"/>
  <c r="H461" i="12"/>
  <c r="L437" i="12"/>
  <c r="J433" i="12"/>
  <c r="L427" i="12"/>
  <c r="J423" i="12"/>
  <c r="M419" i="12"/>
  <c r="K415" i="12"/>
  <c r="M409" i="12"/>
  <c r="K405" i="12"/>
  <c r="I411" i="12"/>
  <c r="K2535" i="12"/>
  <c r="M2509" i="12"/>
  <c r="L2487" i="12"/>
  <c r="K2465" i="12"/>
  <c r="H2461" i="12"/>
  <c r="L2367" i="12"/>
  <c r="M2348" i="12"/>
  <c r="J2313" i="12"/>
  <c r="K2285" i="12"/>
  <c r="I2271" i="12"/>
  <c r="M2239" i="12"/>
  <c r="J2213" i="12"/>
  <c r="M2179" i="12"/>
  <c r="L2167" i="12"/>
  <c r="J2163" i="12"/>
  <c r="H2181" i="12"/>
  <c r="M2159" i="12"/>
  <c r="K2155" i="12"/>
  <c r="M2149" i="12"/>
  <c r="K2145" i="12"/>
  <c r="I2151" i="12"/>
  <c r="K2105" i="12"/>
  <c r="I2111" i="12"/>
  <c r="L2097" i="12"/>
  <c r="J2093" i="12"/>
  <c r="L2087" i="12"/>
  <c r="J2083" i="12"/>
  <c r="H2101" i="12"/>
  <c r="K2515" i="12"/>
  <c r="M2469" i="12"/>
  <c r="J2423" i="12"/>
  <c r="F2321" i="12"/>
  <c r="M2158" i="12"/>
  <c r="M2009" i="12"/>
  <c r="I1991" i="12"/>
  <c r="K1935" i="12"/>
  <c r="J1913" i="12"/>
  <c r="I1891" i="12"/>
  <c r="M1878" i="12"/>
  <c r="L1827" i="12"/>
  <c r="I1811" i="12"/>
  <c r="M1769" i="12"/>
  <c r="M1749" i="12"/>
  <c r="L1727" i="12"/>
  <c r="J1653" i="12"/>
  <c r="F1681" i="12"/>
  <c r="L1577" i="12"/>
  <c r="M1549" i="12"/>
  <c r="L1527" i="12"/>
  <c r="L1457" i="12"/>
  <c r="L1437" i="12"/>
  <c r="K1405" i="12"/>
  <c r="J1373" i="12"/>
  <c r="L1277" i="12"/>
  <c r="J1273" i="12"/>
  <c r="L1237" i="12"/>
  <c r="J1233" i="12"/>
  <c r="K1195" i="12"/>
  <c r="M1189" i="12"/>
  <c r="K1155" i="12"/>
  <c r="M1149" i="12"/>
  <c r="K1115" i="12"/>
  <c r="M1109" i="12"/>
  <c r="K1075" i="12"/>
  <c r="M1069" i="12"/>
  <c r="L1037" i="12"/>
  <c r="J1033" i="12"/>
  <c r="L997" i="12"/>
  <c r="J993" i="12"/>
  <c r="M959" i="12"/>
  <c r="K955" i="12"/>
  <c r="M949" i="12"/>
  <c r="K945" i="12"/>
  <c r="I951" i="12"/>
  <c r="L937" i="12"/>
  <c r="J933" i="12"/>
  <c r="L927" i="12"/>
  <c r="J923" i="12"/>
  <c r="H941" i="12"/>
  <c r="L917" i="12"/>
  <c r="J913" i="12"/>
  <c r="L907" i="12"/>
  <c r="J903" i="12"/>
  <c r="M899" i="12"/>
  <c r="K895" i="12"/>
  <c r="M889" i="12"/>
  <c r="K885" i="12"/>
  <c r="I891" i="12"/>
  <c r="G921" i="12"/>
  <c r="L877" i="12"/>
  <c r="J873" i="12"/>
  <c r="L867" i="12"/>
  <c r="J863" i="12"/>
  <c r="M859" i="12"/>
  <c r="K855" i="12"/>
  <c r="M849" i="12"/>
  <c r="K845" i="12"/>
  <c r="I851" i="12"/>
  <c r="M839" i="12"/>
  <c r="K835" i="12"/>
  <c r="M829" i="12"/>
  <c r="K825" i="12"/>
  <c r="I831" i="12"/>
  <c r="L817" i="12"/>
  <c r="J813" i="12"/>
  <c r="L807" i="12"/>
  <c r="J803" i="12"/>
  <c r="H821" i="12"/>
  <c r="F881" i="12"/>
  <c r="L797" i="12"/>
  <c r="J793" i="12"/>
  <c r="L787" i="12"/>
  <c r="J783" i="12"/>
  <c r="M779" i="12"/>
  <c r="K775" i="12"/>
  <c r="M769" i="12"/>
  <c r="K765" i="12"/>
  <c r="I771" i="12"/>
  <c r="M759" i="12"/>
  <c r="K755" i="12"/>
  <c r="M749" i="12"/>
  <c r="K745" i="12"/>
  <c r="I751" i="12"/>
  <c r="L737" i="12"/>
  <c r="J733" i="12"/>
  <c r="L727" i="12"/>
  <c r="J723" i="12"/>
  <c r="H741" i="12"/>
  <c r="M719" i="12"/>
  <c r="K715" i="12"/>
  <c r="M709" i="12"/>
  <c r="K705" i="12"/>
  <c r="I711" i="12"/>
  <c r="L697" i="12"/>
  <c r="J693" i="12"/>
  <c r="L687" i="12"/>
  <c r="J683" i="12"/>
  <c r="H701" i="12"/>
  <c r="L677" i="12"/>
  <c r="J673" i="12"/>
  <c r="L667" i="12"/>
  <c r="J663" i="12"/>
  <c r="M659" i="12"/>
  <c r="K655" i="12"/>
  <c r="M649" i="12"/>
  <c r="K645" i="12"/>
  <c r="I651" i="12"/>
  <c r="G681" i="12"/>
  <c r="K335" i="12"/>
  <c r="M329" i="12"/>
  <c r="L277" i="12"/>
  <c r="J273" i="12"/>
  <c r="M258" i="12"/>
  <c r="M248" i="12"/>
  <c r="K175" i="12"/>
  <c r="L2317" i="12"/>
  <c r="M2119" i="12"/>
  <c r="J2073" i="12"/>
  <c r="H2061" i="12"/>
  <c r="K2015" i="12"/>
  <c r="M2008" i="12"/>
  <c r="K1985" i="12"/>
  <c r="H1981" i="12"/>
  <c r="L1917" i="12"/>
  <c r="K1885" i="12"/>
  <c r="K1805" i="12"/>
  <c r="K1775" i="12"/>
  <c r="K1755" i="12"/>
  <c r="I1711" i="12"/>
  <c r="M1679" i="12"/>
  <c r="L1657" i="12"/>
  <c r="J1633" i="12"/>
  <c r="H1621" i="12"/>
  <c r="K1555" i="12"/>
  <c r="M1409" i="12"/>
  <c r="L1377" i="12"/>
  <c r="G1401" i="12"/>
  <c r="L1357" i="12"/>
  <c r="J1353" i="12"/>
  <c r="L1347" i="12"/>
  <c r="J1343" i="12"/>
  <c r="M1339" i="12"/>
  <c r="K1335" i="12"/>
  <c r="M1329" i="12"/>
  <c r="K1325" i="12"/>
  <c r="I1331" i="12"/>
  <c r="M1319" i="12"/>
  <c r="K1315" i="12"/>
  <c r="M1309" i="12"/>
  <c r="K1305" i="12"/>
  <c r="I1311" i="12"/>
  <c r="L1297" i="12"/>
  <c r="J1293" i="12"/>
  <c r="L1287" i="12"/>
  <c r="J1283" i="12"/>
  <c r="H1301" i="12"/>
  <c r="F1361" i="12"/>
  <c r="C1921" i="12"/>
  <c r="L1247" i="12"/>
  <c r="J1243" i="12"/>
  <c r="H1261" i="12"/>
  <c r="L1207" i="12"/>
  <c r="J1203" i="12"/>
  <c r="H1221" i="12"/>
  <c r="M1199" i="12"/>
  <c r="K1165" i="12"/>
  <c r="I1171" i="12"/>
  <c r="M1159" i="12"/>
  <c r="K1125" i="12"/>
  <c r="I1131" i="12"/>
  <c r="G1161" i="12"/>
  <c r="M1119" i="12"/>
  <c r="K1085" i="12"/>
  <c r="I1091" i="12"/>
  <c r="M1079" i="12"/>
  <c r="K1045" i="12"/>
  <c r="I1051" i="12"/>
  <c r="G1081" i="12"/>
  <c r="L1007" i="12"/>
  <c r="J1003" i="12"/>
  <c r="H1021" i="12"/>
  <c r="L967" i="12"/>
  <c r="J963" i="12"/>
  <c r="H981" i="12"/>
  <c r="F1041" i="12"/>
  <c r="M958" i="12"/>
  <c r="M948" i="12"/>
  <c r="M898" i="12"/>
  <c r="M888" i="12"/>
  <c r="M858" i="12"/>
  <c r="M848" i="12"/>
  <c r="M838" i="12"/>
  <c r="M828" i="12"/>
  <c r="M778" i="12"/>
  <c r="M768" i="12"/>
  <c r="M758" i="12"/>
  <c r="M748" i="12"/>
  <c r="M718" i="12"/>
  <c r="M708" i="12"/>
  <c r="L2217" i="12"/>
  <c r="J2183" i="12"/>
  <c r="I2131" i="12"/>
  <c r="L2077" i="12"/>
  <c r="J2043" i="12"/>
  <c r="M2019" i="12"/>
  <c r="J1963" i="12"/>
  <c r="M1939" i="12"/>
  <c r="M1889" i="12"/>
  <c r="J1833" i="12"/>
  <c r="J1733" i="12"/>
  <c r="K1705" i="12"/>
  <c r="H1701" i="12"/>
  <c r="L1637" i="12"/>
  <c r="J1603" i="12"/>
  <c r="I1591" i="12"/>
  <c r="J1533" i="12"/>
  <c r="M1509" i="12"/>
  <c r="F1521" i="12"/>
  <c r="K1415" i="12"/>
  <c r="M1408" i="12"/>
  <c r="I1391" i="12"/>
  <c r="M1338" i="12"/>
  <c r="M1328" i="12"/>
  <c r="M1318" i="12"/>
  <c r="M1308" i="12"/>
  <c r="L1257" i="12"/>
  <c r="J1253" i="12"/>
  <c r="L1217" i="12"/>
  <c r="J1213" i="12"/>
  <c r="K1175" i="12"/>
  <c r="M1169" i="12"/>
  <c r="K1135" i="12"/>
  <c r="M1129" i="12"/>
  <c r="K1095" i="12"/>
  <c r="M1089" i="12"/>
  <c r="K1055" i="12"/>
  <c r="M1049" i="12"/>
  <c r="L1017" i="12"/>
  <c r="J1013" i="12"/>
  <c r="L977" i="12"/>
  <c r="J973" i="12"/>
  <c r="K395" i="12"/>
  <c r="M389" i="12"/>
  <c r="L297" i="12"/>
  <c r="J293" i="12"/>
  <c r="K235" i="12"/>
  <c r="M229" i="12"/>
  <c r="L157" i="12"/>
  <c r="J153" i="12"/>
  <c r="M138" i="12"/>
  <c r="M128" i="12"/>
  <c r="M118" i="12"/>
  <c r="M108" i="12"/>
  <c r="M78" i="12"/>
  <c r="M68" i="12"/>
  <c r="J2443" i="12"/>
  <c r="M2399" i="12"/>
  <c r="M2358" i="12"/>
  <c r="G2361" i="12"/>
  <c r="M2248" i="12"/>
  <c r="L2187" i="12"/>
  <c r="K2125" i="12"/>
  <c r="L2047" i="12"/>
  <c r="J2023" i="12"/>
  <c r="M2018" i="12"/>
  <c r="L1967" i="12"/>
  <c r="J1943" i="12"/>
  <c r="G1961" i="12"/>
  <c r="D2241" i="12"/>
  <c r="K1895" i="12"/>
  <c r="M1888" i="12"/>
  <c r="I1871" i="12"/>
  <c r="L1837" i="12"/>
  <c r="M1809" i="12"/>
  <c r="M1779" i="12"/>
  <c r="M1759" i="12"/>
  <c r="L1737" i="12"/>
  <c r="J1683" i="12"/>
  <c r="I1671" i="12"/>
  <c r="L1607" i="12"/>
  <c r="K1585" i="12"/>
  <c r="L1537" i="12"/>
  <c r="K1515" i="12"/>
  <c r="H1461" i="12"/>
  <c r="M1419" i="12"/>
  <c r="K1385" i="12"/>
  <c r="K1265" i="12"/>
  <c r="I1271" i="12"/>
  <c r="K1225" i="12"/>
  <c r="I1231" i="12"/>
  <c r="L1187" i="12"/>
  <c r="J1183" i="12"/>
  <c r="M1179" i="12"/>
  <c r="L1147" i="12"/>
  <c r="J1143" i="12"/>
  <c r="M1139" i="12"/>
  <c r="L1107" i="12"/>
  <c r="J1103" i="12"/>
  <c r="M1099" i="12"/>
  <c r="L1067" i="12"/>
  <c r="J1063" i="12"/>
  <c r="M1059" i="12"/>
  <c r="K1025" i="12"/>
  <c r="I1031" i="12"/>
  <c r="K985" i="12"/>
  <c r="I991" i="12"/>
  <c r="M598" i="12"/>
  <c r="M399" i="12"/>
  <c r="L327" i="12"/>
  <c r="J323" i="12"/>
  <c r="H341" i="12"/>
  <c r="F401" i="12"/>
  <c r="M319" i="12"/>
  <c r="K315" i="12"/>
  <c r="M309" i="12"/>
  <c r="K305" i="12"/>
  <c r="I311" i="12"/>
  <c r="K265" i="12"/>
  <c r="I271" i="12"/>
  <c r="L257" i="12"/>
  <c r="J253" i="12"/>
  <c r="L247" i="12"/>
  <c r="J243" i="12"/>
  <c r="H261" i="12"/>
  <c r="M239" i="12"/>
  <c r="L167" i="12"/>
  <c r="J163" i="12"/>
  <c r="H181" i="12"/>
  <c r="F241" i="12"/>
  <c r="L2447" i="12"/>
  <c r="G2441" i="12"/>
  <c r="M2289" i="12"/>
  <c r="I2231" i="12"/>
  <c r="M2148" i="12"/>
  <c r="F2161" i="12"/>
  <c r="L2027" i="12"/>
  <c r="L1947" i="12"/>
  <c r="I1931" i="12"/>
  <c r="M1899" i="12"/>
  <c r="K1865" i="12"/>
  <c r="K1815" i="12"/>
  <c r="J1783" i="12"/>
  <c r="G1801" i="12"/>
  <c r="L1687" i="12"/>
  <c r="K1665" i="12"/>
  <c r="H1661" i="12"/>
  <c r="M1589" i="12"/>
  <c r="J1443" i="12"/>
  <c r="J1423" i="12"/>
  <c r="M1418" i="12"/>
  <c r="M1389" i="12"/>
  <c r="M1368" i="12"/>
  <c r="E1441" i="12"/>
  <c r="K1275" i="12"/>
  <c r="M1269" i="12"/>
  <c r="K1235" i="12"/>
  <c r="M1229" i="12"/>
  <c r="L1197" i="12"/>
  <c r="J1193" i="12"/>
  <c r="L1157" i="12"/>
  <c r="J1153" i="12"/>
  <c r="L1117" i="12"/>
  <c r="J1113" i="12"/>
  <c r="L1077" i="12"/>
  <c r="J1073" i="12"/>
  <c r="K1035" i="12"/>
  <c r="M1029" i="12"/>
  <c r="K995" i="12"/>
  <c r="M989" i="12"/>
  <c r="E1121" i="12"/>
  <c r="L957" i="12"/>
  <c r="J953" i="12"/>
  <c r="L947" i="12"/>
  <c r="J943" i="12"/>
  <c r="M939" i="12"/>
  <c r="K935" i="12"/>
  <c r="M929" i="12"/>
  <c r="K925" i="12"/>
  <c r="I931" i="12"/>
  <c r="M919" i="12"/>
  <c r="K915" i="12"/>
  <c r="M909" i="12"/>
  <c r="K905" i="12"/>
  <c r="I911" i="12"/>
  <c r="L897" i="12"/>
  <c r="J893" i="12"/>
  <c r="L887" i="12"/>
  <c r="J883" i="12"/>
  <c r="H901" i="12"/>
  <c r="M879" i="12"/>
  <c r="K875" i="12"/>
  <c r="M869" i="12"/>
  <c r="K865" i="12"/>
  <c r="I871" i="12"/>
  <c r="L857" i="12"/>
  <c r="J853" i="12"/>
  <c r="L847" i="12"/>
  <c r="J843" i="12"/>
  <c r="H861" i="12"/>
  <c r="L837" i="12"/>
  <c r="J833" i="12"/>
  <c r="L827" i="12"/>
  <c r="J823" i="12"/>
  <c r="M819" i="12"/>
  <c r="K815" i="12"/>
  <c r="M809" i="12"/>
  <c r="K805" i="12"/>
  <c r="I811" i="12"/>
  <c r="G841" i="12"/>
  <c r="M799" i="12"/>
  <c r="K795" i="12"/>
  <c r="M789" i="12"/>
  <c r="K785" i="12"/>
  <c r="I791" i="12"/>
  <c r="L777" i="12"/>
  <c r="J773" i="12"/>
  <c r="L767" i="12"/>
  <c r="J763" i="12"/>
  <c r="H781" i="12"/>
  <c r="L757" i="12"/>
  <c r="J753" i="12"/>
  <c r="L747" i="12"/>
  <c r="J743" i="12"/>
  <c r="M739" i="12"/>
  <c r="K735" i="12"/>
  <c r="M729" i="12"/>
  <c r="K725" i="12"/>
  <c r="I731" i="12"/>
  <c r="G761" i="12"/>
  <c r="L717" i="12"/>
  <c r="J713" i="12"/>
  <c r="L707" i="12"/>
  <c r="J703" i="12"/>
  <c r="M699" i="12"/>
  <c r="K695" i="12"/>
  <c r="M689" i="12"/>
  <c r="K685" i="12"/>
  <c r="I691" i="12"/>
  <c r="M679" i="12"/>
  <c r="K675" i="12"/>
  <c r="M669" i="12"/>
  <c r="K665" i="12"/>
  <c r="I671" i="12"/>
  <c r="L657" i="12"/>
  <c r="J653" i="12"/>
  <c r="L647" i="12"/>
  <c r="J643" i="12"/>
  <c r="H661" i="12"/>
  <c r="F721" i="12"/>
  <c r="M2419" i="12"/>
  <c r="L2377" i="12"/>
  <c r="J2343" i="12"/>
  <c r="K2115" i="12"/>
  <c r="L2067" i="12"/>
  <c r="L2037" i="12"/>
  <c r="K2005" i="12"/>
  <c r="L1957" i="12"/>
  <c r="M1929" i="12"/>
  <c r="M1879" i="12"/>
  <c r="K1845" i="12"/>
  <c r="J1823" i="12"/>
  <c r="M1799" i="12"/>
  <c r="J1723" i="12"/>
  <c r="L1697" i="12"/>
  <c r="K1675" i="12"/>
  <c r="L1627" i="12"/>
  <c r="M1598" i="12"/>
  <c r="J1573" i="12"/>
  <c r="J1523" i="12"/>
  <c r="J1453" i="12"/>
  <c r="J1433" i="12"/>
  <c r="I1411" i="12"/>
  <c r="M1398" i="12"/>
  <c r="L1367" i="12"/>
  <c r="L1267" i="12"/>
  <c r="J1263" i="12"/>
  <c r="M1259" i="12"/>
  <c r="L1227" i="12"/>
  <c r="J1223" i="12"/>
  <c r="M1219" i="12"/>
  <c r="K1185" i="12"/>
  <c r="I1191" i="12"/>
  <c r="K1145" i="12"/>
  <c r="I1151" i="12"/>
  <c r="K1105" i="12"/>
  <c r="I1111" i="12"/>
  <c r="K1065" i="12"/>
  <c r="I1071" i="12"/>
  <c r="L1027" i="12"/>
  <c r="J1023" i="12"/>
  <c r="M1019" i="12"/>
  <c r="L987" i="12"/>
  <c r="J983" i="12"/>
  <c r="M979" i="12"/>
  <c r="M588" i="12"/>
  <c r="G441" i="12"/>
  <c r="J2373" i="12"/>
  <c r="M1819" i="12"/>
  <c r="M1588" i="12"/>
  <c r="I1351" i="12"/>
  <c r="M1289" i="12"/>
  <c r="M1249" i="12"/>
  <c r="K1205" i="12"/>
  <c r="H1181" i="12"/>
  <c r="L1097" i="12"/>
  <c r="K1005" i="12"/>
  <c r="G1001" i="12"/>
  <c r="M918" i="12"/>
  <c r="M698" i="12"/>
  <c r="M558" i="12"/>
  <c r="M498" i="12"/>
  <c r="M468" i="12"/>
  <c r="M408" i="12"/>
  <c r="K385" i="12"/>
  <c r="I391" i="12"/>
  <c r="L377" i="12"/>
  <c r="J373" i="12"/>
  <c r="L367" i="12"/>
  <c r="J363" i="12"/>
  <c r="H381" i="12"/>
  <c r="L357" i="12"/>
  <c r="J353" i="12"/>
  <c r="L347" i="12"/>
  <c r="J343" i="12"/>
  <c r="M339" i="12"/>
  <c r="E481" i="12"/>
  <c r="M289" i="12"/>
  <c r="K245" i="12"/>
  <c r="L177" i="12"/>
  <c r="I171" i="12"/>
  <c r="L127" i="12"/>
  <c r="J123" i="12"/>
  <c r="H141" i="12"/>
  <c r="K65" i="12"/>
  <c r="I71" i="12"/>
  <c r="L57" i="12"/>
  <c r="M2539" i="12"/>
  <c r="J1953" i="12"/>
  <c r="K1595" i="12"/>
  <c r="K1345" i="12"/>
  <c r="H1341" i="12"/>
  <c r="K1295" i="12"/>
  <c r="M1288" i="12"/>
  <c r="K1255" i="12"/>
  <c r="J1163" i="12"/>
  <c r="F1201" i="12"/>
  <c r="J1053" i="12"/>
  <c r="I971" i="12"/>
  <c r="M658" i="12"/>
  <c r="G361" i="12"/>
  <c r="K295" i="12"/>
  <c r="L227" i="12"/>
  <c r="J223" i="12"/>
  <c r="M219" i="12"/>
  <c r="K215" i="12"/>
  <c r="M209" i="12"/>
  <c r="K205" i="12"/>
  <c r="I211" i="12"/>
  <c r="M199" i="12"/>
  <c r="K195" i="12"/>
  <c r="M189" i="12"/>
  <c r="K185" i="12"/>
  <c r="I191" i="12"/>
  <c r="K165" i="12"/>
  <c r="L137" i="12"/>
  <c r="J133" i="12"/>
  <c r="K75" i="12"/>
  <c r="M69" i="12"/>
  <c r="M18" i="12"/>
  <c r="M8" i="12"/>
  <c r="C320" i="12"/>
  <c r="M2059" i="12"/>
  <c r="L1787" i="12"/>
  <c r="I1751" i="12"/>
  <c r="J1643" i="12"/>
  <c r="I1551" i="12"/>
  <c r="L1447" i="12"/>
  <c r="M1378" i="12"/>
  <c r="M1349" i="12"/>
  <c r="J1323" i="12"/>
  <c r="M1299" i="12"/>
  <c r="M1279" i="12"/>
  <c r="M1209" i="12"/>
  <c r="L1167" i="12"/>
  <c r="H1141" i="12"/>
  <c r="L1057" i="12"/>
  <c r="M1009" i="12"/>
  <c r="K965" i="12"/>
  <c r="M938" i="12"/>
  <c r="M878" i="12"/>
  <c r="M818" i="12"/>
  <c r="M788" i="12"/>
  <c r="M728" i="12"/>
  <c r="M668" i="12"/>
  <c r="M618" i="12"/>
  <c r="J333" i="12"/>
  <c r="I331" i="12"/>
  <c r="M308" i="12"/>
  <c r="M249" i="12"/>
  <c r="M218" i="12"/>
  <c r="M208" i="12"/>
  <c r="M198" i="12"/>
  <c r="M188" i="12"/>
  <c r="K145" i="12"/>
  <c r="I151" i="12"/>
  <c r="K105" i="12"/>
  <c r="I111" i="12"/>
  <c r="L97" i="12"/>
  <c r="J93" i="12"/>
  <c r="L87" i="12"/>
  <c r="J83" i="12"/>
  <c r="H101" i="12"/>
  <c r="M79" i="12"/>
  <c r="B1281" i="12"/>
  <c r="K2265" i="12"/>
  <c r="J2063" i="12"/>
  <c r="K1925" i="12"/>
  <c r="G1881" i="12"/>
  <c r="K1745" i="12"/>
  <c r="L1647" i="12"/>
  <c r="M1599" i="12"/>
  <c r="K1545" i="12"/>
  <c r="M1388" i="12"/>
  <c r="K1355" i="12"/>
  <c r="M1348" i="12"/>
  <c r="L1327" i="12"/>
  <c r="J1303" i="12"/>
  <c r="M1298" i="12"/>
  <c r="K1215" i="12"/>
  <c r="J1123" i="12"/>
  <c r="H1101" i="12"/>
  <c r="K1015" i="12"/>
  <c r="L337" i="12"/>
  <c r="K325" i="12"/>
  <c r="M299" i="12"/>
  <c r="L287" i="12"/>
  <c r="J283" i="12"/>
  <c r="H301" i="12"/>
  <c r="K255" i="12"/>
  <c r="J233" i="12"/>
  <c r="M169" i="12"/>
  <c r="M149" i="12"/>
  <c r="K115" i="12"/>
  <c r="M109" i="12"/>
  <c r="D321" i="12"/>
  <c r="J1973" i="12"/>
  <c r="I1851" i="12"/>
  <c r="J1693" i="12"/>
  <c r="K1395" i="12"/>
  <c r="M1359" i="12"/>
  <c r="L1307" i="12"/>
  <c r="M1239" i="12"/>
  <c r="J1173" i="12"/>
  <c r="L1127" i="12"/>
  <c r="J1083" i="12"/>
  <c r="M1039" i="12"/>
  <c r="M969" i="12"/>
  <c r="M908" i="12"/>
  <c r="M688" i="12"/>
  <c r="M548" i="12"/>
  <c r="M488" i="12"/>
  <c r="M478" i="12"/>
  <c r="M418" i="12"/>
  <c r="L387" i="12"/>
  <c r="J383" i="12"/>
  <c r="M379" i="12"/>
  <c r="K375" i="12"/>
  <c r="M369" i="12"/>
  <c r="K365" i="12"/>
  <c r="I371" i="12"/>
  <c r="M359" i="12"/>
  <c r="K355" i="12"/>
  <c r="M349" i="12"/>
  <c r="K345" i="12"/>
  <c r="I351" i="12"/>
  <c r="M318" i="12"/>
  <c r="J303" i="12"/>
  <c r="M269" i="12"/>
  <c r="L237" i="12"/>
  <c r="K155" i="12"/>
  <c r="K125" i="12"/>
  <c r="I131" i="12"/>
  <c r="M119" i="12"/>
  <c r="L67" i="12"/>
  <c r="J63" i="12"/>
  <c r="M59" i="12"/>
  <c r="K55" i="12"/>
  <c r="M49" i="12"/>
  <c r="K45" i="12"/>
  <c r="I51" i="12"/>
  <c r="M39" i="12"/>
  <c r="K35" i="12"/>
  <c r="M29" i="12"/>
  <c r="K25" i="12"/>
  <c r="I31" i="12"/>
  <c r="L1977" i="12"/>
  <c r="M1898" i="12"/>
  <c r="L1427" i="12"/>
  <c r="H1381" i="12"/>
  <c r="M1358" i="12"/>
  <c r="J1333" i="12"/>
  <c r="G1321" i="12"/>
  <c r="I1251" i="12"/>
  <c r="L1177" i="12"/>
  <c r="L1087" i="12"/>
  <c r="H1061" i="12"/>
  <c r="K975" i="12"/>
  <c r="M648" i="12"/>
  <c r="M378" i="12"/>
  <c r="M368" i="12"/>
  <c r="M358" i="12"/>
  <c r="M348" i="12"/>
  <c r="L307" i="12"/>
  <c r="K275" i="12"/>
  <c r="M259" i="12"/>
  <c r="K225" i="12"/>
  <c r="I231" i="12"/>
  <c r="L217" i="12"/>
  <c r="J213" i="12"/>
  <c r="L207" i="12"/>
  <c r="J203" i="12"/>
  <c r="H221" i="12"/>
  <c r="L197" i="12"/>
  <c r="J193" i="12"/>
  <c r="L187" i="12"/>
  <c r="J183" i="12"/>
  <c r="M179" i="12"/>
  <c r="K135" i="12"/>
  <c r="M129" i="12"/>
  <c r="L77" i="12"/>
  <c r="J73" i="12"/>
  <c r="M58" i="12"/>
  <c r="M48" i="12"/>
  <c r="M38" i="12"/>
  <c r="M28" i="12"/>
  <c r="I1771" i="12"/>
  <c r="J1133" i="12"/>
  <c r="M868" i="12"/>
  <c r="L397" i="12"/>
  <c r="J143" i="12"/>
  <c r="K95" i="12"/>
  <c r="M88" i="12"/>
  <c r="L27" i="12"/>
  <c r="L7" i="12"/>
  <c r="J3" i="12"/>
  <c r="H21" i="12"/>
  <c r="F81" i="12"/>
  <c r="C641" i="12"/>
  <c r="G2041" i="12"/>
  <c r="K1765" i="12"/>
  <c r="J1363" i="12"/>
  <c r="L1337" i="12"/>
  <c r="L1137" i="12"/>
  <c r="M999" i="12"/>
  <c r="J263" i="12"/>
  <c r="L147" i="12"/>
  <c r="M99" i="12"/>
  <c r="J53" i="12"/>
  <c r="L17" i="12"/>
  <c r="J13" i="12"/>
  <c r="J2033" i="12"/>
  <c r="I2011" i="12"/>
  <c r="K1245" i="12"/>
  <c r="I1011" i="12"/>
  <c r="L267" i="12"/>
  <c r="J103" i="12"/>
  <c r="M98" i="12"/>
  <c r="J33" i="12"/>
  <c r="M2198" i="12"/>
  <c r="M1619" i="12"/>
  <c r="M928" i="12"/>
  <c r="M678" i="12"/>
  <c r="M159" i="12"/>
  <c r="L107" i="12"/>
  <c r="L37" i="12"/>
  <c r="E161" i="12"/>
  <c r="M2339" i="12"/>
  <c r="M2109" i="12"/>
  <c r="M1869" i="12"/>
  <c r="J1623" i="12"/>
  <c r="M1399" i="12"/>
  <c r="J1093" i="12"/>
  <c r="J313" i="12"/>
  <c r="M279" i="12"/>
  <c r="G201" i="12"/>
  <c r="G121" i="12"/>
  <c r="K5" i="12"/>
  <c r="I11" i="12"/>
  <c r="G41" i="12"/>
  <c r="J1903" i="12"/>
  <c r="K1875" i="12"/>
  <c r="M1868" i="12"/>
  <c r="J1313" i="12"/>
  <c r="G1241" i="12"/>
  <c r="L317" i="12"/>
  <c r="I291" i="12"/>
  <c r="G281" i="12"/>
  <c r="J113" i="12"/>
  <c r="I91" i="12"/>
  <c r="H61" i="12"/>
  <c r="K15" i="12"/>
  <c r="M9" i="12"/>
  <c r="L1907" i="12"/>
  <c r="M1519" i="12"/>
  <c r="L1047" i="12"/>
  <c r="M19" i="12"/>
  <c r="H1541" i="12"/>
  <c r="D480" i="12"/>
  <c r="M89" i="12"/>
  <c r="J23" i="12"/>
  <c r="M1669" i="12"/>
  <c r="J393" i="12"/>
  <c r="J43" i="12"/>
  <c r="J1043" i="12"/>
  <c r="M139" i="12"/>
  <c r="H1741" i="12"/>
  <c r="I1211" i="12"/>
  <c r="M738" i="12"/>
  <c r="M608" i="12"/>
  <c r="I251" i="12"/>
  <c r="J173" i="12"/>
  <c r="I1291" i="12"/>
  <c r="M808" i="12"/>
  <c r="M798" i="12"/>
  <c r="L1317" i="12"/>
  <c r="K1285" i="12"/>
  <c r="L47" i="12"/>
  <c r="J2493" i="12"/>
  <c r="L117" i="12"/>
  <c r="K285" i="12"/>
  <c r="K85" i="12"/>
  <c r="A52" i="13" l="1"/>
  <c r="A152" i="13"/>
  <c r="A68" i="13"/>
  <c r="A1256" i="13"/>
  <c r="A33" i="13"/>
  <c r="A652" i="13"/>
  <c r="A668" i="13"/>
  <c r="A655" i="13"/>
  <c r="A96" i="13"/>
  <c r="A135" i="13"/>
  <c r="A615" i="13"/>
  <c r="A880" i="13"/>
  <c r="A79" i="13"/>
  <c r="A531" i="13"/>
  <c r="A31" i="13"/>
  <c r="A206" i="13"/>
  <c r="A844" i="13"/>
  <c r="A21" i="13"/>
  <c r="A54" i="13"/>
  <c r="A780" i="13"/>
  <c r="A19" i="13"/>
  <c r="A533" i="13"/>
  <c r="A769" i="13"/>
  <c r="A963" i="13"/>
  <c r="A14" i="13"/>
  <c r="A17" i="13"/>
  <c r="A40" i="13"/>
  <c r="A55" i="13"/>
  <c r="A66" i="13"/>
  <c r="A150" i="13"/>
  <c r="A155" i="13"/>
  <c r="A168" i="13"/>
  <c r="A630" i="13"/>
  <c r="A666" i="13"/>
  <c r="A947" i="13"/>
  <c r="A961" i="13"/>
  <c r="A30" i="13"/>
  <c r="A15" i="13"/>
  <c r="A12" i="13"/>
  <c r="A70" i="13"/>
  <c r="A110" i="13"/>
  <c r="A149" i="13"/>
  <c r="A166" i="13"/>
  <c r="A556" i="13"/>
  <c r="A709" i="13"/>
  <c r="A821" i="13"/>
  <c r="A944" i="13"/>
  <c r="A1064" i="13"/>
  <c r="A1179" i="13"/>
  <c r="A90" i="13"/>
  <c r="A28" i="13"/>
  <c r="A63" i="13"/>
  <c r="A89" i="13"/>
  <c r="A819" i="13"/>
  <c r="A26" i="13"/>
  <c r="A61" i="13"/>
  <c r="A143" i="13"/>
  <c r="A515" i="13"/>
  <c r="A632" i="13"/>
  <c r="A1015" i="13"/>
  <c r="A1026" i="13"/>
  <c r="A16" i="13"/>
  <c r="A18" i="13"/>
  <c r="A36" i="13"/>
  <c r="A59" i="13"/>
  <c r="A83" i="13"/>
  <c r="A141" i="13"/>
  <c r="A509" i="13"/>
  <c r="A578" i="13"/>
  <c r="A678" i="13"/>
  <c r="A691" i="13"/>
  <c r="A892" i="13"/>
  <c r="A1030" i="13"/>
  <c r="A330" i="13"/>
  <c r="A50" i="13"/>
  <c r="A20" i="13"/>
  <c r="A11" i="13"/>
  <c r="A13" i="13"/>
  <c r="A23" i="13"/>
  <c r="A57" i="13"/>
  <c r="A81" i="13"/>
  <c r="A208" i="13"/>
  <c r="A576" i="13"/>
  <c r="A895" i="13"/>
  <c r="A46" i="13"/>
  <c r="A48" i="13"/>
  <c r="A74" i="13"/>
  <c r="A77" i="13"/>
  <c r="A99" i="13"/>
  <c r="A101" i="13"/>
  <c r="A103" i="13"/>
  <c r="A106" i="13"/>
  <c r="A108" i="13"/>
  <c r="A120" i="13"/>
  <c r="A111" i="13"/>
  <c r="A113" i="13"/>
  <c r="A116" i="13"/>
  <c r="A118" i="13"/>
  <c r="A125" i="13"/>
  <c r="A122" i="13"/>
  <c r="A139" i="13"/>
  <c r="A147" i="13"/>
  <c r="A163" i="13"/>
  <c r="A497" i="13"/>
  <c r="A540" i="13"/>
  <c r="A553" i="13"/>
  <c r="A598" i="13"/>
  <c r="A635" i="13"/>
  <c r="A670" i="13"/>
  <c r="A676" i="13"/>
  <c r="A700" i="13"/>
  <c r="A723" i="13"/>
  <c r="A998" i="13"/>
  <c r="A25" i="13"/>
  <c r="A22" i="13"/>
  <c r="A24" i="13"/>
  <c r="A27" i="13"/>
  <c r="A29" i="13"/>
  <c r="A35" i="13"/>
  <c r="A32" i="13"/>
  <c r="A34" i="13"/>
  <c r="A37" i="13"/>
  <c r="A39" i="13"/>
  <c r="A41" i="13"/>
  <c r="A43" i="13"/>
  <c r="A69" i="13"/>
  <c r="A75" i="13"/>
  <c r="A72" i="13"/>
  <c r="A87" i="13"/>
  <c r="A128" i="13"/>
  <c r="A144" i="13"/>
  <c r="A161" i="13"/>
  <c r="A185" i="13"/>
  <c r="A182" i="13"/>
  <c r="A184" i="13"/>
  <c r="A187" i="13"/>
  <c r="A189" i="13"/>
  <c r="A195" i="13"/>
  <c r="A192" i="13"/>
  <c r="A194" i="13"/>
  <c r="A197" i="13"/>
  <c r="A199" i="13"/>
  <c r="A201" i="13"/>
  <c r="A203" i="13"/>
  <c r="A494" i="13"/>
  <c r="A529" i="13"/>
  <c r="A551" i="13"/>
  <c r="A573" i="13"/>
  <c r="A596" i="13"/>
  <c r="A629" i="13"/>
  <c r="A663" i="13"/>
  <c r="A689" i="13"/>
  <c r="A707" i="13"/>
  <c r="A856" i="13"/>
  <c r="A935" i="13"/>
  <c r="A996" i="13"/>
  <c r="A170" i="13"/>
  <c r="A64" i="13"/>
  <c r="A67" i="13"/>
  <c r="A84" i="13"/>
  <c r="A94" i="13"/>
  <c r="A126" i="13"/>
  <c r="A137" i="13"/>
  <c r="A160" i="13"/>
  <c r="A151" i="13"/>
  <c r="A153" i="13"/>
  <c r="A159" i="13"/>
  <c r="A172" i="13"/>
  <c r="A178" i="13"/>
  <c r="A517" i="13"/>
  <c r="A560" i="13"/>
  <c r="A571" i="13"/>
  <c r="A617" i="13"/>
  <c r="A661" i="13"/>
  <c r="A673" i="13"/>
  <c r="A687" i="13"/>
  <c r="A782" i="13"/>
  <c r="A809" i="13"/>
  <c r="A833" i="13"/>
  <c r="A882" i="13"/>
  <c r="A950" i="13"/>
  <c r="A972" i="13"/>
  <c r="A1041" i="13"/>
  <c r="A1142" i="13"/>
  <c r="A650" i="13"/>
  <c r="A49" i="13"/>
  <c r="A60" i="13"/>
  <c r="A51" i="13"/>
  <c r="A53" i="13"/>
  <c r="A56" i="13"/>
  <c r="A58" i="13"/>
  <c r="A65" i="13"/>
  <c r="A62" i="13"/>
  <c r="A85" i="13"/>
  <c r="A82" i="13"/>
  <c r="A134" i="13"/>
  <c r="A175" i="13"/>
  <c r="A176" i="13"/>
  <c r="A492" i="13"/>
  <c r="A514" i="13"/>
  <c r="A538" i="13"/>
  <c r="A580" i="13"/>
  <c r="A593" i="13"/>
  <c r="A614" i="13"/>
  <c r="A649" i="13"/>
  <c r="A659" i="13"/>
  <c r="A671" i="13"/>
  <c r="A684" i="13"/>
  <c r="A733" i="13"/>
  <c r="A785" i="13"/>
  <c r="A831" i="13"/>
  <c r="A885" i="13"/>
  <c r="A903" i="13"/>
  <c r="A1039" i="13"/>
  <c r="A44" i="13"/>
  <c r="A47" i="13"/>
  <c r="A76" i="13"/>
  <c r="A78" i="13"/>
  <c r="A92" i="13"/>
  <c r="A105" i="13"/>
  <c r="A102" i="13"/>
  <c r="A104" i="13"/>
  <c r="A107" i="13"/>
  <c r="A109" i="13"/>
  <c r="A115" i="13"/>
  <c r="A112" i="13"/>
  <c r="A114" i="13"/>
  <c r="A117" i="13"/>
  <c r="A119" i="13"/>
  <c r="A121" i="13"/>
  <c r="A123" i="13"/>
  <c r="A157" i="13"/>
  <c r="A190" i="13"/>
  <c r="A495" i="13"/>
  <c r="A536" i="13"/>
  <c r="A610" i="13"/>
  <c r="A591" i="13"/>
  <c r="A637" i="13"/>
  <c r="A657" i="13"/>
  <c r="A680" i="13"/>
  <c r="A682" i="13"/>
  <c r="A807" i="13"/>
  <c r="A986" i="13"/>
  <c r="A1279" i="13"/>
  <c r="A38" i="13"/>
  <c r="A45" i="13"/>
  <c r="A42" i="13"/>
  <c r="A80" i="13"/>
  <c r="A71" i="13"/>
  <c r="A73" i="13"/>
  <c r="A95" i="13"/>
  <c r="A98" i="13"/>
  <c r="A132" i="13"/>
  <c r="A154" i="13"/>
  <c r="A250" i="13"/>
  <c r="A179" i="13"/>
  <c r="A181" i="13"/>
  <c r="A183" i="13"/>
  <c r="A186" i="13"/>
  <c r="A188" i="13"/>
  <c r="A200" i="13"/>
  <c r="A191" i="13"/>
  <c r="A193" i="13"/>
  <c r="A196" i="13"/>
  <c r="A198" i="13"/>
  <c r="A205" i="13"/>
  <c r="A202" i="13"/>
  <c r="A510" i="13"/>
  <c r="A512" i="13"/>
  <c r="A558" i="13"/>
  <c r="A600" i="13"/>
  <c r="A612" i="13"/>
  <c r="A634" i="13"/>
  <c r="A654" i="13"/>
  <c r="A685" i="13"/>
  <c r="A919" i="13"/>
  <c r="A1196" i="13"/>
  <c r="A230" i="13"/>
  <c r="A499" i="13"/>
  <c r="A501" i="13"/>
  <c r="A503" i="13"/>
  <c r="A519" i="13"/>
  <c r="A521" i="13"/>
  <c r="A523" i="13"/>
  <c r="A545" i="13"/>
  <c r="A542" i="13"/>
  <c r="A565" i="13"/>
  <c r="A562" i="13"/>
  <c r="A585" i="13"/>
  <c r="A582" i="13"/>
  <c r="A605" i="13"/>
  <c r="A602" i="13"/>
  <c r="A619" i="13"/>
  <c r="A621" i="13"/>
  <c r="A623" i="13"/>
  <c r="A639" i="13"/>
  <c r="A641" i="13"/>
  <c r="A643" i="13"/>
  <c r="A693" i="13"/>
  <c r="A715" i="13"/>
  <c r="A726" i="13"/>
  <c r="A736" i="13"/>
  <c r="A771" i="13"/>
  <c r="A796" i="13"/>
  <c r="A823" i="13"/>
  <c r="A847" i="13"/>
  <c r="A858" i="13"/>
  <c r="A871" i="13"/>
  <c r="A909" i="13"/>
  <c r="A921" i="13"/>
  <c r="A932" i="13"/>
  <c r="A949" i="13"/>
  <c r="A974" i="13"/>
  <c r="A988" i="13"/>
  <c r="A1012" i="13"/>
  <c r="A1028" i="13"/>
  <c r="A1043" i="13"/>
  <c r="A1067" i="13"/>
  <c r="A1181" i="13"/>
  <c r="A1198" i="13"/>
  <c r="A1219" i="13"/>
  <c r="A370" i="13"/>
  <c r="A340" i="13"/>
  <c r="A331" i="13"/>
  <c r="A333" i="13"/>
  <c r="A336" i="13"/>
  <c r="A338" i="13"/>
  <c r="A345" i="13"/>
  <c r="A342" i="13"/>
  <c r="A344" i="13"/>
  <c r="A347" i="13"/>
  <c r="A349" i="13"/>
  <c r="A355" i="13"/>
  <c r="A352" i="13"/>
  <c r="A354" i="13"/>
  <c r="A357" i="13"/>
  <c r="A359" i="13"/>
  <c r="A361" i="13"/>
  <c r="A363" i="13"/>
  <c r="A366" i="13"/>
  <c r="A368" i="13"/>
  <c r="A390" i="13"/>
  <c r="A375" i="13"/>
  <c r="A372" i="13"/>
  <c r="A374" i="13"/>
  <c r="A377" i="13"/>
  <c r="A379" i="13"/>
  <c r="A381" i="13"/>
  <c r="A383" i="13"/>
  <c r="A386" i="13"/>
  <c r="A388" i="13"/>
  <c r="A400" i="13"/>
  <c r="A391" i="13"/>
  <c r="A393" i="13"/>
  <c r="A396" i="13"/>
  <c r="A398" i="13"/>
  <c r="A405" i="13"/>
  <c r="A402" i="13"/>
  <c r="A404" i="13"/>
  <c r="A407" i="13"/>
  <c r="A409" i="13"/>
  <c r="A430" i="13"/>
  <c r="A415" i="13"/>
  <c r="A412" i="13"/>
  <c r="A414" i="13"/>
  <c r="A417" i="13"/>
  <c r="A419" i="13"/>
  <c r="A421" i="13"/>
  <c r="A423" i="13"/>
  <c r="A426" i="13"/>
  <c r="A428" i="13"/>
  <c r="A440" i="13"/>
  <c r="A431" i="13"/>
  <c r="A433" i="13"/>
  <c r="A436" i="13"/>
  <c r="A438" i="13"/>
  <c r="A445" i="13"/>
  <c r="A442" i="13"/>
  <c r="A444" i="13"/>
  <c r="A447" i="13"/>
  <c r="A449" i="13"/>
  <c r="A460" i="13"/>
  <c r="A451" i="13"/>
  <c r="A453" i="13"/>
  <c r="A456" i="13"/>
  <c r="A458" i="13"/>
  <c r="A465" i="13"/>
  <c r="A462" i="13"/>
  <c r="A464" i="13"/>
  <c r="A467" i="13"/>
  <c r="A469" i="13"/>
  <c r="A475" i="13"/>
  <c r="A472" i="13"/>
  <c r="A474" i="13"/>
  <c r="A477" i="13"/>
  <c r="A479" i="13"/>
  <c r="A481" i="13"/>
  <c r="A483" i="13"/>
  <c r="A486" i="13"/>
  <c r="A488" i="13"/>
  <c r="A570" i="13"/>
  <c r="A504" i="13"/>
  <c r="A507" i="13"/>
  <c r="A524" i="13"/>
  <c r="A527" i="13"/>
  <c r="A546" i="13"/>
  <c r="A548" i="13"/>
  <c r="A566" i="13"/>
  <c r="A568" i="13"/>
  <c r="A586" i="13"/>
  <c r="A588" i="13"/>
  <c r="A606" i="13"/>
  <c r="A608" i="13"/>
  <c r="A624" i="13"/>
  <c r="A627" i="13"/>
  <c r="A644" i="13"/>
  <c r="A647" i="13"/>
  <c r="A730" i="13"/>
  <c r="A704" i="13"/>
  <c r="A721" i="13"/>
  <c r="A731" i="13"/>
  <c r="A804" i="13"/>
  <c r="A840" i="13"/>
  <c r="A842" i="13"/>
  <c r="A853" i="13"/>
  <c r="A910" i="13"/>
  <c r="A901" i="13"/>
  <c r="A917" i="13"/>
  <c r="A942" i="13"/>
  <c r="A959" i="13"/>
  <c r="A975" i="13"/>
  <c r="A983" i="13"/>
  <c r="A1023" i="13"/>
  <c r="A1090" i="13"/>
  <c r="A1125" i="13"/>
  <c r="A1154" i="13"/>
  <c r="A1230" i="13"/>
  <c r="A1233" i="13"/>
  <c r="A130" i="13"/>
  <c r="A100" i="13"/>
  <c r="A91" i="13"/>
  <c r="A93" i="13"/>
  <c r="A129" i="13"/>
  <c r="A140" i="13"/>
  <c r="A131" i="13"/>
  <c r="A133" i="13"/>
  <c r="A136" i="13"/>
  <c r="A138" i="13"/>
  <c r="A145" i="13"/>
  <c r="A142" i="13"/>
  <c r="A165" i="13"/>
  <c r="A162" i="13"/>
  <c r="A164" i="13"/>
  <c r="A167" i="13"/>
  <c r="A169" i="13"/>
  <c r="A210" i="13"/>
  <c r="A180" i="13"/>
  <c r="A171" i="13"/>
  <c r="A173" i="13"/>
  <c r="A209" i="13"/>
  <c r="A505" i="13"/>
  <c r="A502" i="13"/>
  <c r="A525" i="13"/>
  <c r="A522" i="13"/>
  <c r="A539" i="13"/>
  <c r="A541" i="13"/>
  <c r="A543" i="13"/>
  <c r="A559" i="13"/>
  <c r="A561" i="13"/>
  <c r="A563" i="13"/>
  <c r="A579" i="13"/>
  <c r="A581" i="13"/>
  <c r="A583" i="13"/>
  <c r="A599" i="13"/>
  <c r="A601" i="13"/>
  <c r="A603" i="13"/>
  <c r="A625" i="13"/>
  <c r="A622" i="13"/>
  <c r="A645" i="13"/>
  <c r="A642" i="13"/>
  <c r="A702" i="13"/>
  <c r="A719" i="13"/>
  <c r="A740" i="13"/>
  <c r="A767" i="13"/>
  <c r="A778" i="13"/>
  <c r="A802" i="13"/>
  <c r="A813" i="13"/>
  <c r="A845" i="13"/>
  <c r="A851" i="13"/>
  <c r="A878" i="13"/>
  <c r="A889" i="13"/>
  <c r="A899" i="13"/>
  <c r="A914" i="13"/>
  <c r="A928" i="13"/>
  <c r="A945" i="13"/>
  <c r="A957" i="13"/>
  <c r="A1130" i="13"/>
  <c r="A990" i="13"/>
  <c r="A981" i="13"/>
  <c r="A993" i="13"/>
  <c r="A1021" i="13"/>
  <c r="A1033" i="13"/>
  <c r="A1072" i="13"/>
  <c r="A1103" i="13"/>
  <c r="A1190" i="13"/>
  <c r="A1209" i="13"/>
  <c r="A1231" i="13"/>
  <c r="A86" i="13"/>
  <c r="A88" i="13"/>
  <c r="A124" i="13"/>
  <c r="A127" i="13"/>
  <c r="A156" i="13"/>
  <c r="A158" i="13"/>
  <c r="A204" i="13"/>
  <c r="A207" i="13"/>
  <c r="A496" i="13"/>
  <c r="A498" i="13"/>
  <c r="A516" i="13"/>
  <c r="A518" i="13"/>
  <c r="A534" i="13"/>
  <c r="A537" i="13"/>
  <c r="A554" i="13"/>
  <c r="A557" i="13"/>
  <c r="A574" i="13"/>
  <c r="A577" i="13"/>
  <c r="A594" i="13"/>
  <c r="A597" i="13"/>
  <c r="A616" i="13"/>
  <c r="A618" i="13"/>
  <c r="A636" i="13"/>
  <c r="A638" i="13"/>
  <c r="A705" i="13"/>
  <c r="A717" i="13"/>
  <c r="A770" i="13"/>
  <c r="A764" i="13"/>
  <c r="A776" i="13"/>
  <c r="A805" i="13"/>
  <c r="A811" i="13"/>
  <c r="A828" i="13"/>
  <c r="A860" i="13"/>
  <c r="A862" i="13"/>
  <c r="A876" i="13"/>
  <c r="A926" i="13"/>
  <c r="A954" i="13"/>
  <c r="A979" i="13"/>
  <c r="A991" i="13"/>
  <c r="A1019" i="13"/>
  <c r="A1031" i="13"/>
  <c r="A1048" i="13"/>
  <c r="A1075" i="13"/>
  <c r="A1101" i="13"/>
  <c r="A1118" i="13"/>
  <c r="A530" i="13"/>
  <c r="A500" i="13"/>
  <c r="A491" i="13"/>
  <c r="A493" i="13"/>
  <c r="A520" i="13"/>
  <c r="A511" i="13"/>
  <c r="A513" i="13"/>
  <c r="A550" i="13"/>
  <c r="A535" i="13"/>
  <c r="A532" i="13"/>
  <c r="A549" i="13"/>
  <c r="A555" i="13"/>
  <c r="A552" i="13"/>
  <c r="A569" i="13"/>
  <c r="A590" i="13"/>
  <c r="A575" i="13"/>
  <c r="A572" i="13"/>
  <c r="A589" i="13"/>
  <c r="A595" i="13"/>
  <c r="A592" i="13"/>
  <c r="A609" i="13"/>
  <c r="A620" i="13"/>
  <c r="A611" i="13"/>
  <c r="A613" i="13"/>
  <c r="A640" i="13"/>
  <c r="A631" i="13"/>
  <c r="A633" i="13"/>
  <c r="A970" i="13"/>
  <c r="A690" i="13"/>
  <c r="A660" i="13"/>
  <c r="A651" i="13"/>
  <c r="A653" i="13"/>
  <c r="A656" i="13"/>
  <c r="A658" i="13"/>
  <c r="A665" i="13"/>
  <c r="A662" i="13"/>
  <c r="A664" i="13"/>
  <c r="A667" i="13"/>
  <c r="A669" i="13"/>
  <c r="A675" i="13"/>
  <c r="A672" i="13"/>
  <c r="A674" i="13"/>
  <c r="A677" i="13"/>
  <c r="A679" i="13"/>
  <c r="A681" i="13"/>
  <c r="A683" i="13"/>
  <c r="A686" i="13"/>
  <c r="A688" i="13"/>
  <c r="A710" i="13"/>
  <c r="A698" i="13"/>
  <c r="A714" i="13"/>
  <c r="A787" i="13"/>
  <c r="A820" i="13"/>
  <c r="A826" i="13"/>
  <c r="A838" i="13"/>
  <c r="A849" i="13"/>
  <c r="A865" i="13"/>
  <c r="A887" i="13"/>
  <c r="A897" i="13"/>
  <c r="A912" i="13"/>
  <c r="A952" i="13"/>
  <c r="A968" i="13"/>
  <c r="A1000" i="13"/>
  <c r="A1002" i="13"/>
  <c r="A1017" i="13"/>
  <c r="A1040" i="13"/>
  <c r="A1046" i="13"/>
  <c r="A1069" i="13"/>
  <c r="A1168" i="13"/>
  <c r="A97" i="13"/>
  <c r="A146" i="13"/>
  <c r="A148" i="13"/>
  <c r="A174" i="13"/>
  <c r="A177" i="13"/>
  <c r="A350" i="13"/>
  <c r="A335" i="13"/>
  <c r="A332" i="13"/>
  <c r="A334" i="13"/>
  <c r="A337" i="13"/>
  <c r="A339" i="13"/>
  <c r="A341" i="13"/>
  <c r="A343" i="13"/>
  <c r="A346" i="13"/>
  <c r="A348" i="13"/>
  <c r="A360" i="13"/>
  <c r="A351" i="13"/>
  <c r="A353" i="13"/>
  <c r="A356" i="13"/>
  <c r="A358" i="13"/>
  <c r="A365" i="13"/>
  <c r="A362" i="13"/>
  <c r="A364" i="13"/>
  <c r="A367" i="13"/>
  <c r="A369" i="13"/>
  <c r="A380" i="13"/>
  <c r="A371" i="13"/>
  <c r="A373" i="13"/>
  <c r="A376" i="13"/>
  <c r="A378" i="13"/>
  <c r="A385" i="13"/>
  <c r="A382" i="13"/>
  <c r="A384" i="13"/>
  <c r="A387" i="13"/>
  <c r="A389" i="13"/>
  <c r="A395" i="13"/>
  <c r="A392" i="13"/>
  <c r="A394" i="13"/>
  <c r="A397" i="13"/>
  <c r="A399" i="13"/>
  <c r="A401" i="13"/>
  <c r="A403" i="13"/>
  <c r="A406" i="13"/>
  <c r="A408" i="13"/>
  <c r="A450" i="13"/>
  <c r="A420" i="13"/>
  <c r="A411" i="13"/>
  <c r="A413" i="13"/>
  <c r="A416" i="13"/>
  <c r="A418" i="13"/>
  <c r="A425" i="13"/>
  <c r="A422" i="13"/>
  <c r="A424" i="13"/>
  <c r="A427" i="13"/>
  <c r="A429" i="13"/>
  <c r="A435" i="13"/>
  <c r="A432" i="13"/>
  <c r="A434" i="13"/>
  <c r="A437" i="13"/>
  <c r="A439" i="13"/>
  <c r="A441" i="13"/>
  <c r="A443" i="13"/>
  <c r="A446" i="13"/>
  <c r="A448" i="13"/>
  <c r="A470" i="13"/>
  <c r="A455" i="13"/>
  <c r="A452" i="13"/>
  <c r="A454" i="13"/>
  <c r="A457" i="13"/>
  <c r="A459" i="13"/>
  <c r="A461" i="13"/>
  <c r="A463" i="13"/>
  <c r="A466" i="13"/>
  <c r="A468" i="13"/>
  <c r="A480" i="13"/>
  <c r="A471" i="13"/>
  <c r="A473" i="13"/>
  <c r="A476" i="13"/>
  <c r="A478" i="13"/>
  <c r="A485" i="13"/>
  <c r="A482" i="13"/>
  <c r="A484" i="13"/>
  <c r="A487" i="13"/>
  <c r="A489" i="13"/>
  <c r="A506" i="13"/>
  <c r="A508" i="13"/>
  <c r="A526" i="13"/>
  <c r="A528" i="13"/>
  <c r="A544" i="13"/>
  <c r="A547" i="13"/>
  <c r="A564" i="13"/>
  <c r="A567" i="13"/>
  <c r="A584" i="13"/>
  <c r="A587" i="13"/>
  <c r="A604" i="13"/>
  <c r="A607" i="13"/>
  <c r="A626" i="13"/>
  <c r="A628" i="13"/>
  <c r="A646" i="13"/>
  <c r="A648" i="13"/>
  <c r="A696" i="13"/>
  <c r="A712" i="13"/>
  <c r="A728" i="13"/>
  <c r="A738" i="13"/>
  <c r="A773" i="13"/>
  <c r="A784" i="13"/>
  <c r="A798" i="13"/>
  <c r="A850" i="13"/>
  <c r="A836" i="13"/>
  <c r="A873" i="13"/>
  <c r="A884" i="13"/>
  <c r="A894" i="13"/>
  <c r="A915" i="13"/>
  <c r="A923" i="13"/>
  <c r="A955" i="13"/>
  <c r="A966" i="13"/>
  <c r="A977" i="13"/>
  <c r="A1005" i="13"/>
  <c r="A1014" i="13"/>
  <c r="A1170" i="13"/>
  <c r="A1221" i="13"/>
  <c r="A1244" i="13"/>
  <c r="A1267" i="13"/>
  <c r="A1060" i="13"/>
  <c r="A1051" i="13"/>
  <c r="A1053" i="13"/>
  <c r="A1056" i="13"/>
  <c r="A1058" i="13"/>
  <c r="A1065" i="13"/>
  <c r="A1062" i="13"/>
  <c r="A1085" i="13"/>
  <c r="A1082" i="13"/>
  <c r="A1084" i="13"/>
  <c r="A1087" i="13"/>
  <c r="A1089" i="13"/>
  <c r="A1100" i="13"/>
  <c r="A1091" i="13"/>
  <c r="A1093" i="13"/>
  <c r="A1099" i="13"/>
  <c r="A1116" i="13"/>
  <c r="A1129" i="13"/>
  <c r="A1145" i="13"/>
  <c r="A1152" i="13"/>
  <c r="A1166" i="13"/>
  <c r="A1193" i="13"/>
  <c r="A1240" i="13"/>
  <c r="A1242" i="13"/>
  <c r="A1253" i="13"/>
  <c r="A1264" i="13"/>
  <c r="A1277" i="13"/>
  <c r="A215" i="13"/>
  <c r="A212" i="13"/>
  <c r="A214" i="13"/>
  <c r="A217" i="13"/>
  <c r="A219" i="13"/>
  <c r="A221" i="13"/>
  <c r="A223" i="13"/>
  <c r="A226" i="13"/>
  <c r="A228" i="13"/>
  <c r="A240" i="13"/>
  <c r="A231" i="13"/>
  <c r="A233" i="13"/>
  <c r="A236" i="13"/>
  <c r="A238" i="13"/>
  <c r="A245" i="13"/>
  <c r="A242" i="13"/>
  <c r="A244" i="13"/>
  <c r="A247" i="13"/>
  <c r="A249" i="13"/>
  <c r="A270" i="13"/>
  <c r="A255" i="13"/>
  <c r="A252" i="13"/>
  <c r="A254" i="13"/>
  <c r="A257" i="13"/>
  <c r="A259" i="13"/>
  <c r="A261" i="13"/>
  <c r="A263" i="13"/>
  <c r="A266" i="13"/>
  <c r="A268" i="13"/>
  <c r="A280" i="13"/>
  <c r="A271" i="13"/>
  <c r="A273" i="13"/>
  <c r="A276" i="13"/>
  <c r="A278" i="13"/>
  <c r="A285" i="13"/>
  <c r="A282" i="13"/>
  <c r="A284" i="13"/>
  <c r="A287" i="13"/>
  <c r="A289" i="13"/>
  <c r="A300" i="13"/>
  <c r="A291" i="13"/>
  <c r="A293" i="13"/>
  <c r="A296" i="13"/>
  <c r="A298" i="13"/>
  <c r="A305" i="13"/>
  <c r="A302" i="13"/>
  <c r="A304" i="13"/>
  <c r="A307" i="13"/>
  <c r="A309" i="13"/>
  <c r="A315" i="13"/>
  <c r="A312" i="13"/>
  <c r="A314" i="13"/>
  <c r="A317" i="13"/>
  <c r="A319" i="13"/>
  <c r="A321" i="13"/>
  <c r="A323" i="13"/>
  <c r="A326" i="13"/>
  <c r="A328" i="13"/>
  <c r="A490" i="13"/>
  <c r="A739" i="13"/>
  <c r="A741" i="13"/>
  <c r="A743" i="13"/>
  <c r="A746" i="13"/>
  <c r="A748" i="13"/>
  <c r="A760" i="13"/>
  <c r="A751" i="13"/>
  <c r="A753" i="13"/>
  <c r="A756" i="13"/>
  <c r="A758" i="13"/>
  <c r="A765" i="13"/>
  <c r="A762" i="13"/>
  <c r="A800" i="13"/>
  <c r="A791" i="13"/>
  <c r="A793" i="13"/>
  <c r="A814" i="13"/>
  <c r="A817" i="13"/>
  <c r="A866" i="13"/>
  <c r="A868" i="13"/>
  <c r="A904" i="13"/>
  <c r="A907" i="13"/>
  <c r="A936" i="13"/>
  <c r="A938" i="13"/>
  <c r="A1050" i="13"/>
  <c r="A1006" i="13"/>
  <c r="A1008" i="13"/>
  <c r="A1034" i="13"/>
  <c r="A1037" i="13"/>
  <c r="A1076" i="13"/>
  <c r="A1078" i="13"/>
  <c r="A1113" i="13"/>
  <c r="A1138" i="13"/>
  <c r="A1155" i="13"/>
  <c r="A1163" i="13"/>
  <c r="A1177" i="13"/>
  <c r="A1191" i="13"/>
  <c r="A1207" i="13"/>
  <c r="A1217" i="13"/>
  <c r="A1245" i="13"/>
  <c r="A1251" i="13"/>
  <c r="A1274" i="13"/>
  <c r="A1288" i="13"/>
  <c r="A734" i="13"/>
  <c r="A737" i="13"/>
  <c r="A786" i="13"/>
  <c r="A788" i="13"/>
  <c r="A830" i="13"/>
  <c r="A815" i="13"/>
  <c r="A812" i="13"/>
  <c r="A870" i="13"/>
  <c r="A855" i="13"/>
  <c r="A852" i="13"/>
  <c r="A854" i="13"/>
  <c r="A857" i="13"/>
  <c r="A859" i="13"/>
  <c r="A861" i="13"/>
  <c r="A863" i="13"/>
  <c r="A879" i="13"/>
  <c r="A881" i="13"/>
  <c r="A883" i="13"/>
  <c r="A886" i="13"/>
  <c r="A888" i="13"/>
  <c r="A930" i="13"/>
  <c r="A900" i="13"/>
  <c r="A891" i="13"/>
  <c r="A893" i="13"/>
  <c r="A896" i="13"/>
  <c r="A898" i="13"/>
  <c r="A905" i="13"/>
  <c r="A902" i="13"/>
  <c r="A925" i="13"/>
  <c r="A922" i="13"/>
  <c r="A924" i="13"/>
  <c r="A927" i="13"/>
  <c r="A929" i="13"/>
  <c r="A940" i="13"/>
  <c r="A931" i="13"/>
  <c r="A933" i="13"/>
  <c r="A969" i="13"/>
  <c r="A985" i="13"/>
  <c r="A982" i="13"/>
  <c r="A984" i="13"/>
  <c r="A987" i="13"/>
  <c r="A989" i="13"/>
  <c r="A995" i="13"/>
  <c r="A992" i="13"/>
  <c r="A994" i="13"/>
  <c r="A997" i="13"/>
  <c r="A999" i="13"/>
  <c r="A1001" i="13"/>
  <c r="A1003" i="13"/>
  <c r="A1029" i="13"/>
  <c r="A1035" i="13"/>
  <c r="A1032" i="13"/>
  <c r="A1080" i="13"/>
  <c r="A1071" i="13"/>
  <c r="A1073" i="13"/>
  <c r="A1097" i="13"/>
  <c r="A1111" i="13"/>
  <c r="A1127" i="13"/>
  <c r="A1136" i="13"/>
  <c r="A1149" i="13"/>
  <c r="A1161" i="13"/>
  <c r="A1174" i="13"/>
  <c r="A1200" i="13"/>
  <c r="A1204" i="13"/>
  <c r="A1214" i="13"/>
  <c r="A1228" i="13"/>
  <c r="A1260" i="13"/>
  <c r="A1262" i="13"/>
  <c r="A1286" i="13"/>
  <c r="A695" i="13"/>
  <c r="A692" i="13"/>
  <c r="A694" i="13"/>
  <c r="A697" i="13"/>
  <c r="A699" i="13"/>
  <c r="A701" i="13"/>
  <c r="A703" i="13"/>
  <c r="A706" i="13"/>
  <c r="A708" i="13"/>
  <c r="A720" i="13"/>
  <c r="A711" i="13"/>
  <c r="A713" i="13"/>
  <c r="A716" i="13"/>
  <c r="A718" i="13"/>
  <c r="A725" i="13"/>
  <c r="A722" i="13"/>
  <c r="A724" i="13"/>
  <c r="A727" i="13"/>
  <c r="A729" i="13"/>
  <c r="A750" i="13"/>
  <c r="A735" i="13"/>
  <c r="A732" i="13"/>
  <c r="A790" i="13"/>
  <c r="A775" i="13"/>
  <c r="A772" i="13"/>
  <c r="A774" i="13"/>
  <c r="A777" i="13"/>
  <c r="A779" i="13"/>
  <c r="A781" i="13"/>
  <c r="A783" i="13"/>
  <c r="A799" i="13"/>
  <c r="A801" i="13"/>
  <c r="A803" i="13"/>
  <c r="A806" i="13"/>
  <c r="A808" i="13"/>
  <c r="A890" i="13"/>
  <c r="A846" i="13"/>
  <c r="A848" i="13"/>
  <c r="A874" i="13"/>
  <c r="A877" i="13"/>
  <c r="A916" i="13"/>
  <c r="A918" i="13"/>
  <c r="A964" i="13"/>
  <c r="A967" i="13"/>
  <c r="A976" i="13"/>
  <c r="A978" i="13"/>
  <c r="A1024" i="13"/>
  <c r="A1027" i="13"/>
  <c r="A1066" i="13"/>
  <c r="A1068" i="13"/>
  <c r="A1094" i="13"/>
  <c r="A1120" i="13"/>
  <c r="A1124" i="13"/>
  <c r="A1133" i="13"/>
  <c r="A1159" i="13"/>
  <c r="A1188" i="13"/>
  <c r="A1226" i="13"/>
  <c r="A1238" i="13"/>
  <c r="A1249" i="13"/>
  <c r="A1265" i="13"/>
  <c r="A1272" i="13"/>
  <c r="A410" i="13"/>
  <c r="A766" i="13"/>
  <c r="A768" i="13"/>
  <c r="A794" i="13"/>
  <c r="A797" i="13"/>
  <c r="A825" i="13"/>
  <c r="A822" i="13"/>
  <c r="A824" i="13"/>
  <c r="A827" i="13"/>
  <c r="A829" i="13"/>
  <c r="A835" i="13"/>
  <c r="A832" i="13"/>
  <c r="A834" i="13"/>
  <c r="A837" i="13"/>
  <c r="A839" i="13"/>
  <c r="A841" i="13"/>
  <c r="A843" i="13"/>
  <c r="A869" i="13"/>
  <c r="A875" i="13"/>
  <c r="A872" i="13"/>
  <c r="A920" i="13"/>
  <c r="A911" i="13"/>
  <c r="A913" i="13"/>
  <c r="A939" i="13"/>
  <c r="A941" i="13"/>
  <c r="A943" i="13"/>
  <c r="A946" i="13"/>
  <c r="A948" i="13"/>
  <c r="A960" i="13"/>
  <c r="A951" i="13"/>
  <c r="A953" i="13"/>
  <c r="A956" i="13"/>
  <c r="A958" i="13"/>
  <c r="A965" i="13"/>
  <c r="A962" i="13"/>
  <c r="A1010" i="13"/>
  <c r="A980" i="13"/>
  <c r="A971" i="13"/>
  <c r="A973" i="13"/>
  <c r="A1009" i="13"/>
  <c r="A1020" i="13"/>
  <c r="A1011" i="13"/>
  <c r="A1013" i="13"/>
  <c r="A1016" i="13"/>
  <c r="A1018" i="13"/>
  <c r="A1025" i="13"/>
  <c r="A1022" i="13"/>
  <c r="A1045" i="13"/>
  <c r="A1042" i="13"/>
  <c r="A1044" i="13"/>
  <c r="A1047" i="13"/>
  <c r="A1049" i="13"/>
  <c r="A1070" i="13"/>
  <c r="A1055" i="13"/>
  <c r="A1052" i="13"/>
  <c r="A1054" i="13"/>
  <c r="A1057" i="13"/>
  <c r="A1059" i="13"/>
  <c r="A1061" i="13"/>
  <c r="A1063" i="13"/>
  <c r="A1079" i="13"/>
  <c r="A1081" i="13"/>
  <c r="A1083" i="13"/>
  <c r="A1086" i="13"/>
  <c r="A1088" i="13"/>
  <c r="A1110" i="13"/>
  <c r="A1095" i="13"/>
  <c r="A1092" i="13"/>
  <c r="A1108" i="13"/>
  <c r="A1131" i="13"/>
  <c r="A1147" i="13"/>
  <c r="A1172" i="13"/>
  <c r="A1186" i="13"/>
  <c r="A1202" i="13"/>
  <c r="A1212" i="13"/>
  <c r="A1236" i="13"/>
  <c r="A1275" i="13"/>
  <c r="A1283" i="13"/>
  <c r="A220" i="13"/>
  <c r="A211" i="13"/>
  <c r="A213" i="13"/>
  <c r="A216" i="13"/>
  <c r="A218" i="13"/>
  <c r="A225" i="13"/>
  <c r="A222" i="13"/>
  <c r="A224" i="13"/>
  <c r="A227" i="13"/>
  <c r="A229" i="13"/>
  <c r="A235" i="13"/>
  <c r="A232" i="13"/>
  <c r="A234" i="13"/>
  <c r="A237" i="13"/>
  <c r="A239" i="13"/>
  <c r="A241" i="13"/>
  <c r="A243" i="13"/>
  <c r="A246" i="13"/>
  <c r="A248" i="13"/>
  <c r="A290" i="13"/>
  <c r="A260" i="13"/>
  <c r="A251" i="13"/>
  <c r="A253" i="13"/>
  <c r="A256" i="13"/>
  <c r="A258" i="13"/>
  <c r="A265" i="13"/>
  <c r="A262" i="13"/>
  <c r="A264" i="13"/>
  <c r="A267" i="13"/>
  <c r="A269" i="13"/>
  <c r="A275" i="13"/>
  <c r="A272" i="13"/>
  <c r="A274" i="13"/>
  <c r="A277" i="13"/>
  <c r="A279" i="13"/>
  <c r="A281" i="13"/>
  <c r="A283" i="13"/>
  <c r="A286" i="13"/>
  <c r="A288" i="13"/>
  <c r="A310" i="13"/>
  <c r="A295" i="13"/>
  <c r="A292" i="13"/>
  <c r="A294" i="13"/>
  <c r="A297" i="13"/>
  <c r="A299" i="13"/>
  <c r="A301" i="13"/>
  <c r="A303" i="13"/>
  <c r="A306" i="13"/>
  <c r="A308" i="13"/>
  <c r="A320" i="13"/>
  <c r="A311" i="13"/>
  <c r="A313" i="13"/>
  <c r="A316" i="13"/>
  <c r="A318" i="13"/>
  <c r="A325" i="13"/>
  <c r="A322" i="13"/>
  <c r="A324" i="13"/>
  <c r="A327" i="13"/>
  <c r="A329" i="13"/>
  <c r="A810" i="13"/>
  <c r="A745" i="13"/>
  <c r="A742" i="13"/>
  <c r="A744" i="13"/>
  <c r="A747" i="13"/>
  <c r="A749" i="13"/>
  <c r="A755" i="13"/>
  <c r="A752" i="13"/>
  <c r="A754" i="13"/>
  <c r="A757" i="13"/>
  <c r="A759" i="13"/>
  <c r="A761" i="13"/>
  <c r="A763" i="13"/>
  <c r="A789" i="13"/>
  <c r="A795" i="13"/>
  <c r="A792" i="13"/>
  <c r="A816" i="13"/>
  <c r="A818" i="13"/>
  <c r="A864" i="13"/>
  <c r="A867" i="13"/>
  <c r="A906" i="13"/>
  <c r="A908" i="13"/>
  <c r="A934" i="13"/>
  <c r="A937" i="13"/>
  <c r="A1004" i="13"/>
  <c r="A1007" i="13"/>
  <c r="A1036" i="13"/>
  <c r="A1038" i="13"/>
  <c r="A1074" i="13"/>
  <c r="A1077" i="13"/>
  <c r="A1106" i="13"/>
  <c r="A1122" i="13"/>
  <c r="A1140" i="13"/>
  <c r="A1144" i="13"/>
  <c r="A1157" i="13"/>
  <c r="A1175" i="13"/>
  <c r="A1183" i="13"/>
  <c r="A1205" i="13"/>
  <c r="A1215" i="13"/>
  <c r="A1223" i="13"/>
  <c r="A1247" i="13"/>
  <c r="A1258" i="13"/>
  <c r="A1269" i="13"/>
  <c r="A1281" i="13"/>
  <c r="A1096" i="13"/>
  <c r="A1098" i="13"/>
  <c r="A1105" i="13"/>
  <c r="A1102" i="13"/>
  <c r="A1104" i="13"/>
  <c r="A1107" i="13"/>
  <c r="A1109" i="13"/>
  <c r="A1115" i="13"/>
  <c r="A1112" i="13"/>
  <c r="A1114" i="13"/>
  <c r="A1117" i="13"/>
  <c r="A1119" i="13"/>
  <c r="A1121" i="13"/>
  <c r="A1123" i="13"/>
  <c r="A1126" i="13"/>
  <c r="A1128" i="13"/>
  <c r="A1210" i="13"/>
  <c r="A1150" i="13"/>
  <c r="A1135" i="13"/>
  <c r="A1132" i="13"/>
  <c r="A1134" i="13"/>
  <c r="A1137" i="13"/>
  <c r="A1139" i="13"/>
  <c r="A1141" i="13"/>
  <c r="A1143" i="13"/>
  <c r="A1146" i="13"/>
  <c r="A1148" i="13"/>
  <c r="A1160" i="13"/>
  <c r="A1151" i="13"/>
  <c r="A1153" i="13"/>
  <c r="A1156" i="13"/>
  <c r="A1158" i="13"/>
  <c r="A1165" i="13"/>
  <c r="A1162" i="13"/>
  <c r="A1164" i="13"/>
  <c r="A1167" i="13"/>
  <c r="A1169" i="13"/>
  <c r="A1180" i="13"/>
  <c r="A1171" i="13"/>
  <c r="A1173" i="13"/>
  <c r="A1176" i="13"/>
  <c r="A1178" i="13"/>
  <c r="A1185" i="13"/>
  <c r="A1182" i="13"/>
  <c r="A1184" i="13"/>
  <c r="A1187" i="13"/>
  <c r="A1189" i="13"/>
  <c r="A1195" i="13"/>
  <c r="A1192" i="13"/>
  <c r="A1194" i="13"/>
  <c r="A1197" i="13"/>
  <c r="A1199" i="13"/>
  <c r="A1201" i="13"/>
  <c r="A1203" i="13"/>
  <c r="A1206" i="13"/>
  <c r="A1208" i="13"/>
  <c r="A1250" i="13"/>
  <c r="A1220" i="13"/>
  <c r="A1211" i="13"/>
  <c r="A1213" i="13"/>
  <c r="A1216" i="13"/>
  <c r="A1218" i="13"/>
  <c r="A1225" i="13"/>
  <c r="A1222" i="13"/>
  <c r="A1224" i="13"/>
  <c r="A1227" i="13"/>
  <c r="A1229" i="13"/>
  <c r="A1235" i="13"/>
  <c r="A1232" i="13"/>
  <c r="A1234" i="13"/>
  <c r="A1237" i="13"/>
  <c r="A1239" i="13"/>
  <c r="A1241" i="13"/>
  <c r="A1243" i="13"/>
  <c r="A1246" i="13"/>
  <c r="A1248" i="13"/>
  <c r="A1270" i="13"/>
  <c r="A1255" i="13"/>
  <c r="A1252" i="13"/>
  <c r="A1254" i="13"/>
  <c r="A1257" i="13"/>
  <c r="A1259" i="13"/>
  <c r="A1261" i="13"/>
  <c r="A1263" i="13"/>
  <c r="A1266" i="13"/>
  <c r="A1268" i="13"/>
  <c r="A1280" i="13"/>
  <c r="A1271" i="13"/>
  <c r="A1273" i="13"/>
  <c r="A1276" i="13"/>
  <c r="A1278" i="13"/>
  <c r="A1285" i="13"/>
  <c r="A1282" i="13"/>
  <c r="A1284" i="13"/>
  <c r="A1287" i="13"/>
  <c r="A1289" i="13"/>
  <c r="B2" i="11"/>
  <c r="B2" i="9"/>
  <c r="B2" i="7"/>
  <c r="F2" i="11" a="1"/>
  <c r="F2" i="7" a="1"/>
  <c r="F2" i="9" a="1"/>
  <c r="H2" i="9" l="1"/>
  <c r="I2" i="9"/>
  <c r="J2" i="9"/>
  <c r="F2" i="9"/>
  <c r="G2" i="9"/>
  <c r="J2" i="7"/>
  <c r="B5" i="1" s="1"/>
  <c r="I2" i="7"/>
  <c r="F2" i="7"/>
  <c r="G2" i="7"/>
  <c r="H2" i="7"/>
  <c r="F2" i="11"/>
  <c r="I2" i="11"/>
  <c r="B4" i="10" s="1"/>
  <c r="G2" i="11"/>
  <c r="H2" i="11"/>
  <c r="B3" i="10" s="1"/>
  <c r="J2" i="11"/>
  <c r="B5" i="10" s="1"/>
  <c r="B2" i="10"/>
  <c r="B3" i="8"/>
  <c r="B4" i="8"/>
  <c r="B5" i="8"/>
  <c r="B2" i="8"/>
  <c r="B4" i="1"/>
  <c r="B2" i="1"/>
  <c r="B3" i="1"/>
</calcChain>
</file>

<file path=xl/sharedStrings.xml><?xml version="1.0" encoding="utf-8"?>
<sst xmlns="http://schemas.openxmlformats.org/spreadsheetml/2006/main" count="5068" uniqueCount="1499">
  <si>
    <t>Name</t>
  </si>
  <si>
    <t>SheetRef</t>
  </si>
  <si>
    <t>GenInfo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</si>
  <si>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</si>
  <si>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</si>
  <si>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</si>
  <si>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</si>
  <si>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</si>
  <si>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</si>
  <si>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</si>
  <si>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</si>
  <si>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</si>
  <si>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</si>
  <si>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</si>
  <si>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</si>
  <si>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7.6.0</t>
  </si>
  <si>
    <t>5.0.0</t>
  </si>
  <si>
    <t>&lt;NF&gt;</t>
  </si>
  <si>
    <t>Automatic</t>
  </si>
  <si>
    <t/>
  </si>
  <si>
    <t>Loan Approved</t>
  </si>
  <si>
    <t>Credit Report</t>
  </si>
  <si>
    <t>Payoff Node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</si>
  <si>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</si>
  <si>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</si>
  <si>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</si>
  <si>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</si>
  <si>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</si>
  <si>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</si>
  <si>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</si>
  <si>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</si>
  <si>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</si>
  <si>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</si>
  <si>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</si>
  <si>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</si>
  <si>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</si>
  <si>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</si>
  <si>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</si>
  <si>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</si>
  <si>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</si>
  <si>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</si>
  <si>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</si>
  <si>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</si>
  <si>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</si>
  <si>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</si>
  <si>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</si>
  <si>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</si>
  <si>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</si>
  <si>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</si>
  <si>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</si>
  <si>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</si>
  <si>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</si>
  <si>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</si>
  <si>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</si>
  <si>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</si>
  <si>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</si>
  <si>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</si>
  <si>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</si>
  <si>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</si>
  <si>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</si>
  <si>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</si>
  <si>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</si>
  <si>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0,0,0,Exponential,0,0,-1,0,-1,-1,.0001</t>
  </si>
  <si>
    <t>Expected Value</t>
  </si>
  <si>
    <t>Std. Deviation</t>
  </si>
  <si>
    <t>Minimum</t>
  </si>
  <si>
    <t>Maximum</t>
  </si>
  <si>
    <t>Loan Approval</t>
  </si>
  <si>
    <t>Employement Identification</t>
  </si>
  <si>
    <t>Credit Information</t>
  </si>
  <si>
    <t>Public Record Info</t>
  </si>
  <si>
    <t>Inquiries</t>
  </si>
  <si>
    <t>1,2,188,346</t>
  </si>
  <si>
    <t>A+ Rates and Interest</t>
  </si>
  <si>
    <t>2,2,326,254</t>
  </si>
  <si>
    <t>A score Rates and Interest</t>
  </si>
  <si>
    <t>2,2,330,384</t>
  </si>
  <si>
    <t>Others</t>
  </si>
  <si>
    <t>2,2,329,502</t>
  </si>
  <si>
    <t>Customer Negotiates</t>
  </si>
  <si>
    <t>Yes</t>
  </si>
  <si>
    <t>No</t>
  </si>
  <si>
    <t>2,2,552,352</t>
  </si>
  <si>
    <t>Customer Approves</t>
  </si>
  <si>
    <t>Negotiated Rates Fits?</t>
  </si>
  <si>
    <t>1,1</t>
  </si>
  <si>
    <t>2,6,6,2,1,0,1,0</t>
  </si>
  <si>
    <t>1,2</t>
  </si>
  <si>
    <t>2,1,2</t>
  </si>
  <si>
    <t>3,6,6,2,1,0,1,0</t>
  </si>
  <si>
    <t>1,3</t>
  </si>
  <si>
    <t>3,1,2,3</t>
  </si>
  <si>
    <t>4,6,6,2,1,0,1,0</t>
  </si>
  <si>
    <t>1,4</t>
  </si>
  <si>
    <t>4,1,2,3,4</t>
  </si>
  <si>
    <t>5,6,6,2,1,0,1,0</t>
  </si>
  <si>
    <t>1,5</t>
  </si>
  <si>
    <t>6,7,6,2,1,0,1,0</t>
  </si>
  <si>
    <t>1,6</t>
  </si>
  <si>
    <t>6,8,6,2,1,0,1,0</t>
  </si>
  <si>
    <t>1,7</t>
  </si>
  <si>
    <t>6,9,6,2,1,0,1,0</t>
  </si>
  <si>
    <t>7,10,6,2,1,0,1,0</t>
  </si>
  <si>
    <t>Revised Negotiations</t>
  </si>
  <si>
    <t>7,2,550,201</t>
  </si>
  <si>
    <t>8,10,6,2,1,0,1,0</t>
  </si>
  <si>
    <t>9,10,6,2,1,0,1,0</t>
  </si>
  <si>
    <t>2,8,12</t>
  </si>
  <si>
    <t>2,11,12</t>
  </si>
  <si>
    <t>7,11,6,2,1,0,1,0</t>
  </si>
  <si>
    <t>2,9,11</t>
  </si>
  <si>
    <t>8,11,6,2,1,0,1,0</t>
  </si>
  <si>
    <t>2,10,13</t>
  </si>
  <si>
    <t>3,12,11,13</t>
  </si>
  <si>
    <t>9,11,6,2,1,0,1,0</t>
  </si>
  <si>
    <t>1,14</t>
  </si>
  <si>
    <t>4,8,9,10,14</t>
  </si>
  <si>
    <t>11,10,6,2,1,0,1,0</t>
  </si>
  <si>
    <t>1,15</t>
  </si>
  <si>
    <t>10,1,6,2,1,0,1,0</t>
  </si>
  <si>
    <t>4,2,773,355</t>
  </si>
  <si>
    <t>Defaulter</t>
  </si>
  <si>
    <t>2,2,185,510</t>
  </si>
  <si>
    <t>4,5,6,7,16</t>
  </si>
  <si>
    <t>1,16</t>
  </si>
  <si>
    <t>6,12,6,2,1,0,1,0</t>
  </si>
  <si>
    <t>7,2,38,201</t>
  </si>
  <si>
    <t>7,2,17,312</t>
  </si>
  <si>
    <t>7,2,21,422</t>
  </si>
  <si>
    <t>7,2,43,526</t>
  </si>
  <si>
    <t>Rent the apartment</t>
  </si>
  <si>
    <t>Rent apartment</t>
  </si>
  <si>
    <t>Reduce overall rent</t>
  </si>
  <si>
    <t>Reduce Commute Time</t>
  </si>
  <si>
    <t>Increase Overall Convenience</t>
  </si>
  <si>
    <t>4,2,864,175</t>
  </si>
  <si>
    <t>7,2,700,160</t>
  </si>
  <si>
    <t>7,2,701,272</t>
  </si>
  <si>
    <t>7,2,701,52</t>
  </si>
  <si>
    <t>Number of Rooms and Restrooms</t>
  </si>
  <si>
    <t>Number of Roomates</t>
  </si>
  <si>
    <t>Utilities</t>
  </si>
  <si>
    <t>Time to college</t>
  </si>
  <si>
    <t>Nearest Transportation Station</t>
  </si>
  <si>
    <t>Grocery Store</t>
  </si>
  <si>
    <t>Wi-Fi &amp; Cable Ready</t>
  </si>
  <si>
    <t>Floor</t>
  </si>
  <si>
    <t>2,1,6,2,1,0,1,0</t>
  </si>
  <si>
    <t>3,1,6,2,1,0,1,0</t>
  </si>
  <si>
    <t>4,1,6,2,1,0,1,0</t>
  </si>
  <si>
    <t>5,2,6,2,1,0,1,0</t>
  </si>
  <si>
    <t>6,2,6,2,1,0,1,0</t>
  </si>
  <si>
    <t>8,3,6,2,1,0,1,0</t>
  </si>
  <si>
    <t>3,4,5,7</t>
  </si>
  <si>
    <t>7,2,6,2,1,0,1,0</t>
  </si>
  <si>
    <t>2,7,8</t>
  </si>
  <si>
    <t>7,4,6,2,1,0,1,0</t>
  </si>
  <si>
    <t>9,3,6,2,1,0,1,0</t>
  </si>
  <si>
    <t>2,9,10</t>
  </si>
  <si>
    <t>9,4,6,2,1,0,1,0</t>
  </si>
  <si>
    <t>3,6,9,11</t>
  </si>
  <si>
    <t>10,3,6,2,1,0,1,0</t>
  </si>
  <si>
    <t>10,4,6,2,1,0,1,0</t>
  </si>
  <si>
    <t>1,13</t>
  </si>
  <si>
    <t>11,4,6,2,1,0,1,0</t>
  </si>
  <si>
    <t>5,8,10,12,13,14</t>
  </si>
  <si>
    <t>12,4,6,2,1,0,1,0</t>
  </si>
  <si>
    <t>2,2,510,21</t>
  </si>
  <si>
    <t>2,2,413,84</t>
  </si>
  <si>
    <t>2,2,385,173</t>
  </si>
  <si>
    <t>1,2,487,224</t>
  </si>
  <si>
    <t>1,2,385,306</t>
  </si>
  <si>
    <t>1,2,502,343</t>
  </si>
  <si>
    <t>1,2,591,399</t>
  </si>
  <si>
    <t>1,2,710,407</t>
  </si>
  <si>
    <t>4,2,732,199</t>
  </si>
  <si>
    <t>Slack going public</t>
  </si>
  <si>
    <t>Going Public</t>
  </si>
  <si>
    <t>7,2,581,134</t>
  </si>
  <si>
    <t>Direct Listing</t>
  </si>
  <si>
    <t>7,2,583,308</t>
  </si>
  <si>
    <t>New Countries</t>
  </si>
  <si>
    <t>1,2,375,101</t>
  </si>
  <si>
    <t>More corporate features</t>
  </si>
  <si>
    <t>2,2,278,197</t>
  </si>
  <si>
    <t>More partners</t>
  </si>
  <si>
    <t>Increase Paid Users</t>
  </si>
  <si>
    <t>2,2,401,257</t>
  </si>
  <si>
    <t>Increase Employee Convenience</t>
  </si>
  <si>
    <t>2,2,380,383</t>
  </si>
  <si>
    <t>4,2,6,2,1,0,1,0</t>
  </si>
  <si>
    <t>3,3,4,5</t>
  </si>
  <si>
    <t>7,3,6,2,1,0,1,0</t>
  </si>
  <si>
    <t>375B591C</t>
  </si>
  <si>
    <t>Def. Link</t>
  </si>
  <si>
    <t>EXT REFS</t>
  </si>
  <si>
    <t>Def. Form</t>
  </si>
  <si>
    <t>Calc Macro</t>
  </si>
  <si>
    <t>Highest#</t>
  </si>
  <si>
    <t>Model GUID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</si>
  <si>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</si>
  <si>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</si>
  <si>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</si>
  <si>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</si>
  <si>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</si>
  <si>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</si>
  <si>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</si>
  <si>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</si>
  <si>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</si>
  <si>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</si>
  <si>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</si>
  <si>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</si>
  <si>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</si>
  <si>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</si>
  <si>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</si>
  <si>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Converted Rent the apartment</t>
  </si>
  <si>
    <t>=</t>
  </si>
  <si>
    <t>DEFAULT</t>
  </si>
  <si>
    <t>1,0,0,1,2,5,0,0</t>
  </si>
  <si>
    <t>Calculation</t>
  </si>
  <si>
    <t>1,0,0,1,3,1,0,0</t>
  </si>
  <si>
    <t>1,0,0,1,4,2,0,0</t>
  </si>
  <si>
    <t>4,0,0,0,3,0,0</t>
  </si>
  <si>
    <t>1,0,0,2,1,6,10,0,0</t>
  </si>
  <si>
    <t>1,0,0,1,7,5,0,0</t>
  </si>
  <si>
    <t>1,0,0,1,8,6,0,0</t>
  </si>
  <si>
    <t>1,0,0,1,9,7,0,0</t>
  </si>
  <si>
    <t>4,0,0,0,8,0,0</t>
  </si>
  <si>
    <t>1,0,0,2,5,15,20,0,0</t>
  </si>
  <si>
    <t>1,0,0,1,12,15,0,0</t>
  </si>
  <si>
    <t>1,0,0,1,13,11,0,0</t>
  </si>
  <si>
    <t>1,0,0,1,14,12,0,0</t>
  </si>
  <si>
    <t>4,0,0,0,13,0,0</t>
  </si>
  <si>
    <t>1,0,0,2,11,16,10,0,0</t>
  </si>
  <si>
    <t>1,0,0,1,17,15,0,0</t>
  </si>
  <si>
    <t>1,0,0,1,18,16,0,0</t>
  </si>
  <si>
    <t>1,0,0,1,19,17,0,0</t>
  </si>
  <si>
    <t>4,0,0,0,18,0,0</t>
  </si>
  <si>
    <t>1,0,0,2,10,30,40,0,0</t>
  </si>
  <si>
    <t>1,0,0,1,22,25,0,0</t>
  </si>
  <si>
    <t>1,0,0,1,23,21,0,0</t>
  </si>
  <si>
    <t>1,0,0,1,24,22,0,0</t>
  </si>
  <si>
    <t>4,0,0,0,23,0,0</t>
  </si>
  <si>
    <t>1,0,0,2,21,26,30,0,0</t>
  </si>
  <si>
    <t>1,0,0,1,27,25,0,0</t>
  </si>
  <si>
    <t>1,0,0,1,28,26,0,0</t>
  </si>
  <si>
    <t>1,0,0,1,29,27,0,0</t>
  </si>
  <si>
    <t>4,0,0,0,28,0,0</t>
  </si>
  <si>
    <t>1,0,0,2,25,35,20,0,0</t>
  </si>
  <si>
    <t>1,0,0,1,32,35,0,0</t>
  </si>
  <si>
    <t>1,0,0,1,33,31,0,0</t>
  </si>
  <si>
    <t>1,0,0,1,34,32,0,0</t>
  </si>
  <si>
    <t>4,0,0,0,33,0,0</t>
  </si>
  <si>
    <t>1,0,0,2,31,36,30,0,0</t>
  </si>
  <si>
    <t>1,0,0,1,37,35,0,0</t>
  </si>
  <si>
    <t>1,0,0,1,38,36,0,0</t>
  </si>
  <si>
    <t>1,0,0,1,39,37,0,0</t>
  </si>
  <si>
    <t>4,0,0,0,38,0,0</t>
  </si>
  <si>
    <t>1,0,0,2,20,60,80,0,0</t>
  </si>
  <si>
    <t>1,0,0,1,42,45,0,0</t>
  </si>
  <si>
    <t>1,0,0,1,43,41,0,0</t>
  </si>
  <si>
    <t>1,0,0,1,44,42,0,0</t>
  </si>
  <si>
    <t>4,0,0,0,43,0,0</t>
  </si>
  <si>
    <t>1,0,0,2,41,46,50,0,0</t>
  </si>
  <si>
    <t>1,0,0,1,47,45,0,0</t>
  </si>
  <si>
    <t>1,0,0,1,48,46,0,0</t>
  </si>
  <si>
    <t>1,0,0,1,49,47,0,0</t>
  </si>
  <si>
    <t>4,0,0,0,48,0,0</t>
  </si>
  <si>
    <t>1,0,0,2,45,55,60,0,0</t>
  </si>
  <si>
    <t>1,0,0,1,52,55,0,0</t>
  </si>
  <si>
    <t>1,0,0,1,53,51,0,0</t>
  </si>
  <si>
    <t>1,0,0,1,54,52,0,0</t>
  </si>
  <si>
    <t>4,0,0,0,53,0,0</t>
  </si>
  <si>
    <t>1,0,0,2,51,56,50,0,0</t>
  </si>
  <si>
    <t>1,0,0,1,57,55,0,0</t>
  </si>
  <si>
    <t>1,0,0,1,58,56,0,0</t>
  </si>
  <si>
    <t>1,0,0,1,59,57,0,0</t>
  </si>
  <si>
    <t>4,0,0,0,58,0,0</t>
  </si>
  <si>
    <t>1,0,0,2,50,70,40,0,0</t>
  </si>
  <si>
    <t>1,0,0,1,62,65,0,0</t>
  </si>
  <si>
    <t>1,0,0,1,63,61,0,0</t>
  </si>
  <si>
    <t>1,0,0,1,64,62,0,0</t>
  </si>
  <si>
    <t>4,0,0,0,63,0,0</t>
  </si>
  <si>
    <t>1,0,0,2,61,66,70,0,0</t>
  </si>
  <si>
    <t>1,0,0,1,67,65,0,0</t>
  </si>
  <si>
    <t>1,0,0,1,68,66,0,0</t>
  </si>
  <si>
    <t>1,0,0,1,69,67,0,0</t>
  </si>
  <si>
    <t>4,0,0,0,68,0,0</t>
  </si>
  <si>
    <t>1,0,0,2,65,75,60,0,0</t>
  </si>
  <si>
    <t>1,0,0,1,72,75,0,0</t>
  </si>
  <si>
    <t>1,0,0,1,73,71,0,0</t>
  </si>
  <si>
    <t>1,0,0,1,74,72,0,0</t>
  </si>
  <si>
    <t>4,0,0,0,73,0,0</t>
  </si>
  <si>
    <t>1,0,0,2,71,76,70,0,0</t>
  </si>
  <si>
    <t>1,0,0,1,77,75,0,0</t>
  </si>
  <si>
    <t>1,0,0,1,78,76,0,0</t>
  </si>
  <si>
    <t>1,0,0,1,79,77,0,0</t>
  </si>
  <si>
    <t>4,0,0,0,78,0,0</t>
  </si>
  <si>
    <t>1,0,0,2,40,120,160,0,0</t>
  </si>
  <si>
    <t>1,0,0,1,82,85,0,0</t>
  </si>
  <si>
    <t>1,0,0,1,83,81,0,0</t>
  </si>
  <si>
    <t>1,0,0,1,84,82,0,0</t>
  </si>
  <si>
    <t>4,0,0,0,83,0,0</t>
  </si>
  <si>
    <t>1,0,0,2,81,86,90,0,0</t>
  </si>
  <si>
    <t>1,0,0,1,87,85,0,0</t>
  </si>
  <si>
    <t>1,0,0,1,88,86,0,0</t>
  </si>
  <si>
    <t>1,0,0,1,89,87,0,0</t>
  </si>
  <si>
    <t>4,0,0,0,88,0,0</t>
  </si>
  <si>
    <t>1,0,0,2,85,95,100,0,0</t>
  </si>
  <si>
    <t>1,0,0,1,92,95,0,0</t>
  </si>
  <si>
    <t>1,0,0,1,93,91,0,0</t>
  </si>
  <si>
    <t>1,0,0,1,94,92,0,0</t>
  </si>
  <si>
    <t>4,0,0,0,93,0,0</t>
  </si>
  <si>
    <t>1,0,0,2,91,96,90,0,0</t>
  </si>
  <si>
    <t>1,0,0,1,97,95,0,0</t>
  </si>
  <si>
    <t>1,0,0,1,98,96,0,0</t>
  </si>
  <si>
    <t>1,0,0,1,99,97,0,0</t>
  </si>
  <si>
    <t>4,0,0,0,98,0,0</t>
  </si>
  <si>
    <t>1,0,0,2,90,110,120,0,0</t>
  </si>
  <si>
    <t>1,0,0,1,102,105,0,0</t>
  </si>
  <si>
    <t>1,0,0,1,103,101,0,0</t>
  </si>
  <si>
    <t>1,0,0,1,104,102,0,0</t>
  </si>
  <si>
    <t>4,0,0,0,103,0,0</t>
  </si>
  <si>
    <t>1,0,0,2,101,106,110,0,0</t>
  </si>
  <si>
    <t>1,0,0,1,107,105,0,0</t>
  </si>
  <si>
    <t>1,0,0,1,108,106,0,0</t>
  </si>
  <si>
    <t>1,0,0,1,109,107,0,0</t>
  </si>
  <si>
    <t>4,0,0,0,108,0,0</t>
  </si>
  <si>
    <t>1,0,0,2,105,115,100,0,0</t>
  </si>
  <si>
    <t>1,0,0,1,112,115,0,0</t>
  </si>
  <si>
    <t>1,0,0,1,113,111,0,0</t>
  </si>
  <si>
    <t>1,0,0,1,114,112,0,0</t>
  </si>
  <si>
    <t>4,0,0,0,113,0,0</t>
  </si>
  <si>
    <t>1,0,0,2,111,116,110,0,0</t>
  </si>
  <si>
    <t>1,0,0,1,117,115,0,0</t>
  </si>
  <si>
    <t>1,0,0,1,118,116,0,0</t>
  </si>
  <si>
    <t>1,0,0,1,119,117,0,0</t>
  </si>
  <si>
    <t>4,0,0,0,118,0,0</t>
  </si>
  <si>
    <t>1,0,0,2,100,140,80,0,0</t>
  </si>
  <si>
    <t>1,0,0,1,122,125,0,0</t>
  </si>
  <si>
    <t>1,0,0,1,123,121,0,0</t>
  </si>
  <si>
    <t>1,0,0,1,124,122,0,0</t>
  </si>
  <si>
    <t>4,0,0,0,123,0,0</t>
  </si>
  <si>
    <t>1,0,0,2,121,126,130,0,0</t>
  </si>
  <si>
    <t>1,0,0,1,127,125,0,0</t>
  </si>
  <si>
    <t>1,0,0,1,128,126,0,0</t>
  </si>
  <si>
    <t>1,0,0,1,129,127,0,0</t>
  </si>
  <si>
    <t>4,0,0,0,128,0,0</t>
  </si>
  <si>
    <t>1,0,0,2,125,135,140,0,0</t>
  </si>
  <si>
    <t>1,0,0,1,132,135,0,0</t>
  </si>
  <si>
    <t>1,0,0,1,133,131,0,0</t>
  </si>
  <si>
    <t>1,0,0,1,134,132,0,0</t>
  </si>
  <si>
    <t>4,0,0,0,133,0,0</t>
  </si>
  <si>
    <t>1,0,0,2,131,136,130,0,0</t>
  </si>
  <si>
    <t>1,0,0,1,137,135,0,0</t>
  </si>
  <si>
    <t>1,0,0,1,138,136,0,0</t>
  </si>
  <si>
    <t>1,0,0,1,139,137,0,0</t>
  </si>
  <si>
    <t>4,0,0,0,138,0,0</t>
  </si>
  <si>
    <t>1,0,0,2,130,150,120,0,0</t>
  </si>
  <si>
    <t>1,0,0,1,142,145,0,0</t>
  </si>
  <si>
    <t>1,0,0,1,143,141,0,0</t>
  </si>
  <si>
    <t>1,0,0,1,144,142,0,0</t>
  </si>
  <si>
    <t>4,0,0,0,143,0,0</t>
  </si>
  <si>
    <t>1,0,0,2,141,146,150,0,0</t>
  </si>
  <si>
    <t>1,0,0,1,147,145,0,0</t>
  </si>
  <si>
    <t>1,0,0,1,148,146,0,0</t>
  </si>
  <si>
    <t>1,0,0,1,149,147,0,0</t>
  </si>
  <si>
    <t>4,0,0,0,148,0,0</t>
  </si>
  <si>
    <t>1,0,0,2,145,155,140,0,0</t>
  </si>
  <si>
    <t>1,0,0,1,152,155,0,0</t>
  </si>
  <si>
    <t>1,0,0,1,153,151,0,0</t>
  </si>
  <si>
    <t>1,0,0,1,154,152,0,0</t>
  </si>
  <si>
    <t>4,0,0,0,153,0,0</t>
  </si>
  <si>
    <t>1,0,0,2,151,156,150,0,0</t>
  </si>
  <si>
    <t>1,0,0,1,157,155,0,0</t>
  </si>
  <si>
    <t>1,0,0,1,158,156,0,0</t>
  </si>
  <si>
    <t>1,0,0,1,159,157,0,0</t>
  </si>
  <si>
    <t>4,0,0,0,158,0,0</t>
  </si>
  <si>
    <t>2,0,0,2,80,240,320,0,0</t>
  </si>
  <si>
    <t>1,0,0,1,162,165,0,0</t>
  </si>
  <si>
    <t>1,0,0,1,163,161,0,0</t>
  </si>
  <si>
    <t>1,0,0,1,164,162,0,0</t>
  </si>
  <si>
    <t>4,0,0,0,163,0,0</t>
  </si>
  <si>
    <t>1,0,0,2,161,166,170,0,0</t>
  </si>
  <si>
    <t>1,0,0,1,167,165,0,0</t>
  </si>
  <si>
    <t>1,0,0,1,168,166,0,0</t>
  </si>
  <si>
    <t>1,0,0,1,169,167,0,0</t>
  </si>
  <si>
    <t>4,0,0,0,168,0,0</t>
  </si>
  <si>
    <t>1,0,0,2,165,175,180,0,0</t>
  </si>
  <si>
    <t>1,0,0,1,172,175,0,0</t>
  </si>
  <si>
    <t>1,0,0,1,173,171,0,0</t>
  </si>
  <si>
    <t>1,0,0,1,174,172,0,0</t>
  </si>
  <si>
    <t>4,0,0,0,173,0,0</t>
  </si>
  <si>
    <t>1,0,0,2,171,176,170,0,0</t>
  </si>
  <si>
    <t>1,0,0,1,177,175,0,0</t>
  </si>
  <si>
    <t>1,0,0,1,178,176,0,0</t>
  </si>
  <si>
    <t>1,0,0,1,179,177,0,0</t>
  </si>
  <si>
    <t>4,0,0,0,178,0,0</t>
  </si>
  <si>
    <t>1,0,0,2,170,190,200,0,0</t>
  </si>
  <si>
    <t>1,0,0,1,182,185,0,0</t>
  </si>
  <si>
    <t>1,0,0,1,183,181,0,0</t>
  </si>
  <si>
    <t>1,0,0,1,184,182,0,0</t>
  </si>
  <si>
    <t>4,0,0,0,183,0,0</t>
  </si>
  <si>
    <t>1,0,0,2,181,186,190,0,0</t>
  </si>
  <si>
    <t>1,0,0,1,187,185,0,0</t>
  </si>
  <si>
    <t>1,0,0,1,188,186,0,0</t>
  </si>
  <si>
    <t>1,0,0,1,189,187,0,0</t>
  </si>
  <si>
    <t>4,0,0,0,188,0,0</t>
  </si>
  <si>
    <t>1,0,0,2,185,195,180,0,0</t>
  </si>
  <si>
    <t>1,0,0,1,192,195,0,0</t>
  </si>
  <si>
    <t>1,0,0,1,193,191,0,0</t>
  </si>
  <si>
    <t>1,0,0,1,194,192,0,0</t>
  </si>
  <si>
    <t>4,0,0,0,193,0,0</t>
  </si>
  <si>
    <t>1,0,0,2,191,196,190,0,0</t>
  </si>
  <si>
    <t>1,0,0,1,197,195,0,0</t>
  </si>
  <si>
    <t>1,0,0,1,198,196,0,0</t>
  </si>
  <si>
    <t>1,0,0,1,199,197,0,0</t>
  </si>
  <si>
    <t>4,0,0,0,198,0,0</t>
  </si>
  <si>
    <t>1,0,0,2,180,220,240,0,0</t>
  </si>
  <si>
    <t>1,0,0,1,202,205,0,0</t>
  </si>
  <si>
    <t>1,0,0,1,203,201,0,0</t>
  </si>
  <si>
    <t>1,0,0,1,204,202,0,0</t>
  </si>
  <si>
    <t>4,0,0,0,203,0,0</t>
  </si>
  <si>
    <t>1,0,0,2,201,206,210,0,0</t>
  </si>
  <si>
    <t>1,0,0,1,207,205,0,0</t>
  </si>
  <si>
    <t>1,0,0,1,208,206,0,0</t>
  </si>
  <si>
    <t>1,0,0,1,209,207,0,0</t>
  </si>
  <si>
    <t>4,0,0,0,208,0,0</t>
  </si>
  <si>
    <t>1,0,0,2,205,215,220,0,0</t>
  </si>
  <si>
    <t>1,0,0,1,212,215,0,0</t>
  </si>
  <si>
    <t>1,0,0,1,213,211,0,0</t>
  </si>
  <si>
    <t>1,0,0,1,214,212,0,0</t>
  </si>
  <si>
    <t>4,0,0,0,213,0,0</t>
  </si>
  <si>
    <t>1,0,0,2,211,216,210,0,0</t>
  </si>
  <si>
    <t>1,0,0,1,217,215,0,0</t>
  </si>
  <si>
    <t>1,0,0,1,218,216,0,0</t>
  </si>
  <si>
    <t>1,0,0,1,219,217,0,0</t>
  </si>
  <si>
    <t>4,0,0,0,218,0,0</t>
  </si>
  <si>
    <t>1,0,0,2,210,230,200,0,0</t>
  </si>
  <si>
    <t>1,0,0,1,222,225,0,0</t>
  </si>
  <si>
    <t>1,0,0,1,223,221,0,0</t>
  </si>
  <si>
    <t>1,0,0,1,224,222,0,0</t>
  </si>
  <si>
    <t>4,0,0,0,223,0,0</t>
  </si>
  <si>
    <t>1,0,0,2,221,226,230,0,0</t>
  </si>
  <si>
    <t>1,0,0,1,227,225,0,0</t>
  </si>
  <si>
    <t>1,0,0,1,228,226,0,0</t>
  </si>
  <si>
    <t>1,0,0,1,229,227,0,0</t>
  </si>
  <si>
    <t>4,0,0,0,228,0,0</t>
  </si>
  <si>
    <t>1,0,0,2,225,235,220,0,0</t>
  </si>
  <si>
    <t>1,0,0,1,232,235,0,0</t>
  </si>
  <si>
    <t>1,0,0,1,233,231,0,0</t>
  </si>
  <si>
    <t>1,0,0,1,234,232,0,0</t>
  </si>
  <si>
    <t>4,0,0,0,233,0,0</t>
  </si>
  <si>
    <t>1,0,0,2,231,236,230,0,0</t>
  </si>
  <si>
    <t>1,0,0,1,237,235,0,0</t>
  </si>
  <si>
    <t>1,0,0,1,238,236,0,0</t>
  </si>
  <si>
    <t>1,0,0,1,239,237,0,0</t>
  </si>
  <si>
    <t>4,0,0,0,238,0,0</t>
  </si>
  <si>
    <t>1,0,0,2,200,280,160,0,0</t>
  </si>
  <si>
    <t>1,0,0,1,242,245,0,0</t>
  </si>
  <si>
    <t>1,0,0,1,243,241,0,0</t>
  </si>
  <si>
    <t>1,0,0,1,244,242,0,0</t>
  </si>
  <si>
    <t>4,0,0,0,243,0,0</t>
  </si>
  <si>
    <t>1,0,0,2,241,246,250,0,0</t>
  </si>
  <si>
    <t>1,0,0,1,247,245,0,0</t>
  </si>
  <si>
    <t>1,0,0,1,248,246,0,0</t>
  </si>
  <si>
    <t>1,0,0,1,249,247,0,0</t>
  </si>
  <si>
    <t>4,0,0,0,248,0,0</t>
  </si>
  <si>
    <t>1,0,0,2,245,255,260,0,0</t>
  </si>
  <si>
    <t>1,0,0,1,252,255,0,0</t>
  </si>
  <si>
    <t>1,0,0,1,253,251,0,0</t>
  </si>
  <si>
    <t>1,0,0,1,254,252,0,0</t>
  </si>
  <si>
    <t>4,0,0,0,253,0,0</t>
  </si>
  <si>
    <t>1,0,0,2,251,256,250,0,0</t>
  </si>
  <si>
    <t>1,0,0,1,257,255,0,0</t>
  </si>
  <si>
    <t>1,0,0,1,258,256,0,0</t>
  </si>
  <si>
    <t>1,0,0,1,259,257,0,0</t>
  </si>
  <si>
    <t>4,0,0,0,258,0,0</t>
  </si>
  <si>
    <t>1,0,0,2,250,270,280,0,0</t>
  </si>
  <si>
    <t>1,0,0,1,262,265,0,0</t>
  </si>
  <si>
    <t>1,0,0,1,263,261,0,0</t>
  </si>
  <si>
    <t>1,0,0,1,264,262,0,0</t>
  </si>
  <si>
    <t>4,0,0,0,263,0,0</t>
  </si>
  <si>
    <t>1,0,0,2,261,266,270,0,0</t>
  </si>
  <si>
    <t>1,0,0,1,267,265,0,0</t>
  </si>
  <si>
    <t>1,0,0,1,268,266,0,0</t>
  </si>
  <si>
    <t>1,0,0,1,269,267,0,0</t>
  </si>
  <si>
    <t>4,0,0,0,268,0,0</t>
  </si>
  <si>
    <t>1,0,0,2,265,275,260,0,0</t>
  </si>
  <si>
    <t>1,0,0,1,272,275,0,0</t>
  </si>
  <si>
    <t>1,0,0,1,273,271,0,0</t>
  </si>
  <si>
    <t>1,0,0,1,274,272,0,0</t>
  </si>
  <si>
    <t>4,0,0,0,273,0,0</t>
  </si>
  <si>
    <t>1,0,0,2,271,276,270,0,0</t>
  </si>
  <si>
    <t>1,0,0,1,277,275,0,0</t>
  </si>
  <si>
    <t>1,0,0,1,278,276,0,0</t>
  </si>
  <si>
    <t>1,0,0,1,279,277,0,0</t>
  </si>
  <si>
    <t>4,0,0,0,278,0,0</t>
  </si>
  <si>
    <t>1,0,0,2,260,300,240,0,0</t>
  </si>
  <si>
    <t>1,0,0,1,282,285,0,0</t>
  </si>
  <si>
    <t>1,0,0,1,283,281,0,0</t>
  </si>
  <si>
    <t>1,0,0,1,284,282,0,0</t>
  </si>
  <si>
    <t>4,0,0,0,283,0,0</t>
  </si>
  <si>
    <t>1,0,0,2,281,286,290,0,0</t>
  </si>
  <si>
    <t>1,0,0,1,287,285,0,0</t>
  </si>
  <si>
    <t>1,0,0,1,288,286,0,0</t>
  </si>
  <si>
    <t>1,0,0,1,289,287,0,0</t>
  </si>
  <si>
    <t>4,0,0,0,288,0,0</t>
  </si>
  <si>
    <t>1,0,0,2,285,295,300,0,0</t>
  </si>
  <si>
    <t>1,0,0,1,292,295,0,0</t>
  </si>
  <si>
    <t>1,0,0,1,293,291,0,0</t>
  </si>
  <si>
    <t>1,0,0,1,294,292,0,0</t>
  </si>
  <si>
    <t>4,0,0,0,293,0,0</t>
  </si>
  <si>
    <t>1,0,0,2,291,296,290,0,0</t>
  </si>
  <si>
    <t>1,0,0,1,297,295,0,0</t>
  </si>
  <si>
    <t>1,0,0,1,298,296,0,0</t>
  </si>
  <si>
    <t>1,0,0,1,299,297,0,0</t>
  </si>
  <si>
    <t>4,0,0,0,298,0,0</t>
  </si>
  <si>
    <t>1,0,0,2,290,310,280,0,0</t>
  </si>
  <si>
    <t>1,0,0,1,302,305,0,0</t>
  </si>
  <si>
    <t>1,0,0,1,303,301,0,0</t>
  </si>
  <si>
    <t>1,0,0,1,304,302,0,0</t>
  </si>
  <si>
    <t>4,0,0,0,303,0,0</t>
  </si>
  <si>
    <t>1,0,0,2,301,306,310,0,0</t>
  </si>
  <si>
    <t>1,0,0,1,307,305,0,0</t>
  </si>
  <si>
    <t>1,0,0,1,308,306,0,0</t>
  </si>
  <si>
    <t>1,0,0,1,309,307,0,0</t>
  </si>
  <si>
    <t>4,0,0,0,308,0,0</t>
  </si>
  <si>
    <t>1,0,0,2,305,315,300,0,0</t>
  </si>
  <si>
    <t>1,0,0,1,312,315,0,0</t>
  </si>
  <si>
    <t>1,0,0,1,313,311,0,0</t>
  </si>
  <si>
    <t>1,0,0,1,314,312,0,0</t>
  </si>
  <si>
    <t>4,0,0,0,313,0,0</t>
  </si>
  <si>
    <t>1,0,0,2,311,316,310,0,0</t>
  </si>
  <si>
    <t>1,0,0,1,317,315,0,0</t>
  </si>
  <si>
    <t>1,0,0,1,318,316,0,0</t>
  </si>
  <si>
    <t>1,0,0,1,319,317,0,0</t>
  </si>
  <si>
    <t>4,0,0,0,318,0,0</t>
  </si>
  <si>
    <t>2,0,0,2,160,480,640,0,0</t>
  </si>
  <si>
    <t>1,0,0,1,322,325,0,0</t>
  </si>
  <si>
    <t>1,0,0,1,323,321,0,0</t>
  </si>
  <si>
    <t>1,0,0,1,324,322,0,0</t>
  </si>
  <si>
    <t>4,0,0,0,323,0,0</t>
  </si>
  <si>
    <t>1,0,0,2,321,326,330,0,0</t>
  </si>
  <si>
    <t>1,0,0,1,327,325,0,0</t>
  </si>
  <si>
    <t>1,0,0,1,328,326,0,0</t>
  </si>
  <si>
    <t>1,0,0,1,329,327,0,0</t>
  </si>
  <si>
    <t>4,0,0,0,328,0,0</t>
  </si>
  <si>
    <t>1,0,0,2,325,335,340,0,0</t>
  </si>
  <si>
    <t>1,0,0,1,332,335,0,0</t>
  </si>
  <si>
    <t>1,0,0,1,333,331,0,0</t>
  </si>
  <si>
    <t>1,0,0,1,334,332,0,0</t>
  </si>
  <si>
    <t>4,0,0,0,333,0,0</t>
  </si>
  <si>
    <t>1,0,0,2,331,336,330,0,0</t>
  </si>
  <si>
    <t>1,0,0,1,337,335,0,0</t>
  </si>
  <si>
    <t>1,0,0,1,338,336,0,0</t>
  </si>
  <si>
    <t>1,0,0,1,339,337,0,0</t>
  </si>
  <si>
    <t>4,0,0,0,338,0,0</t>
  </si>
  <si>
    <t>1,0,0,2,330,350,360,0,0</t>
  </si>
  <si>
    <t>1,0,0,1,342,345,0,0</t>
  </si>
  <si>
    <t>1,0,0,1,343,341,0,0</t>
  </si>
  <si>
    <t>1,0,0,1,344,342,0,0</t>
  </si>
  <si>
    <t>4,0,0,0,343,0,0</t>
  </si>
  <si>
    <t>1,0,0,2,341,346,350,0,0</t>
  </si>
  <si>
    <t>1,0,0,1,347,345,0,0</t>
  </si>
  <si>
    <t>1,0,0,1,348,346,0,0</t>
  </si>
  <si>
    <t>1,0,0,1,349,347,0,0</t>
  </si>
  <si>
    <t>4,0,0,0,348,0,0</t>
  </si>
  <si>
    <t>1,0,0,2,345,355,340,0,0</t>
  </si>
  <si>
    <t>1,0,0,1,352,355,0,0</t>
  </si>
  <si>
    <t>1,0,0,1,353,351,0,0</t>
  </si>
  <si>
    <t>1,0,0,1,354,352,0,0</t>
  </si>
  <si>
    <t>4,0,0,0,353,0,0</t>
  </si>
  <si>
    <t>1,0,0,2,351,356,350,0,0</t>
  </si>
  <si>
    <t>1,0,0,1,357,355,0,0</t>
  </si>
  <si>
    <t>1,0,0,1,358,356,0,0</t>
  </si>
  <si>
    <t>1,0,0,1,359,357,0,0</t>
  </si>
  <si>
    <t>4,0,0,0,358,0,0</t>
  </si>
  <si>
    <t>1,0,0,2,340,380,400,0,0</t>
  </si>
  <si>
    <t>1,0,0,1,362,365,0,0</t>
  </si>
  <si>
    <t>1,0,0,1,363,361,0,0</t>
  </si>
  <si>
    <t>1,0,0,1,364,362,0,0</t>
  </si>
  <si>
    <t>4,0,0,0,363,0,0</t>
  </si>
  <si>
    <t>1,0,0,2,361,366,370,0,0</t>
  </si>
  <si>
    <t>1,0,0,1,367,365,0,0</t>
  </si>
  <si>
    <t>1,0,0,1,368,366,0,0</t>
  </si>
  <si>
    <t>1,0,0,1,369,367,0,0</t>
  </si>
  <si>
    <t>4,0,0,0,368,0,0</t>
  </si>
  <si>
    <t>1,0,0,2,365,375,380,0,0</t>
  </si>
  <si>
    <t>1,0,0,1,372,375,0,0</t>
  </si>
  <si>
    <t>1,0,0,1,373,371,0,0</t>
  </si>
  <si>
    <t>1,0,0,1,374,372,0,0</t>
  </si>
  <si>
    <t>4,0,0,0,373,0,0</t>
  </si>
  <si>
    <t>1,0,0,2,371,376,370,0,0</t>
  </si>
  <si>
    <t>1,0,0,1,377,375,0,0</t>
  </si>
  <si>
    <t>1,0,0,1,378,376,0,0</t>
  </si>
  <si>
    <t>1,0,0,1,379,377,0,0</t>
  </si>
  <si>
    <t>4,0,0,0,378,0,0</t>
  </si>
  <si>
    <t>1,0,0,2,370,390,360,0,0</t>
  </si>
  <si>
    <t>1,0,0,1,382,385,0,0</t>
  </si>
  <si>
    <t>1,0,0,1,383,381,0,0</t>
  </si>
  <si>
    <t>1,0,0,1,384,382,0,0</t>
  </si>
  <si>
    <t>4,0,0,0,383,0,0</t>
  </si>
  <si>
    <t>1,0,0,2,381,386,390,0,0</t>
  </si>
  <si>
    <t>1,0,0,1,387,385,0,0</t>
  </si>
  <si>
    <t>1,0,0,1,388,386,0,0</t>
  </si>
  <si>
    <t>1,0,0,1,389,387,0,0</t>
  </si>
  <si>
    <t>4,0,0,0,388,0,0</t>
  </si>
  <si>
    <t>1,0,0,2,385,395,380,0,0</t>
  </si>
  <si>
    <t>1,0,0,1,392,395,0,0</t>
  </si>
  <si>
    <t>1,0,0,1,393,391,0,0</t>
  </si>
  <si>
    <t>1,0,0,1,394,392,0,0</t>
  </si>
  <si>
    <t>4,0,0,0,393,0,0</t>
  </si>
  <si>
    <t>1,0,0,2,391,396,390,0,0</t>
  </si>
  <si>
    <t>1,0,0,1,397,395,0,0</t>
  </si>
  <si>
    <t>1,0,0,1,398,396,0,0</t>
  </si>
  <si>
    <t>1,0,0,1,399,397,0,0</t>
  </si>
  <si>
    <t>4,0,0,0,398,0,0</t>
  </si>
  <si>
    <t>1,0,0,2,360,440,480,0,0</t>
  </si>
  <si>
    <t>1,0,0,1,402,405,0,0</t>
  </si>
  <si>
    <t>1,0,0,1,403,401,0,0</t>
  </si>
  <si>
    <t>1,0,0,1,404,402,0,0</t>
  </si>
  <si>
    <t>4,0,0,0,403,0,0</t>
  </si>
  <si>
    <t>1,0,0,2,401,406,410,0,0</t>
  </si>
  <si>
    <t>1,0,0,1,407,405,0,0</t>
  </si>
  <si>
    <t>1,0,0,1,408,406,0,0</t>
  </si>
  <si>
    <t>1,0,0,1,409,407,0,0</t>
  </si>
  <si>
    <t>4,0,0,0,408,0,0</t>
  </si>
  <si>
    <t>1,0,0,2,405,415,420,0,0</t>
  </si>
  <si>
    <t>1,0,0,1,412,415,0,0</t>
  </si>
  <si>
    <t>1,0,0,1,413,411,0,0</t>
  </si>
  <si>
    <t>1,0,0,1,414,412,0,0</t>
  </si>
  <si>
    <t>4,0,0,0,413,0,0</t>
  </si>
  <si>
    <t>1,0,0,2,411,416,410,0,0</t>
  </si>
  <si>
    <t>1,0,0,1,417,415,0,0</t>
  </si>
  <si>
    <t>1,0,0,1,418,416,0,0</t>
  </si>
  <si>
    <t>1,0,0,1,419,417,0,0</t>
  </si>
  <si>
    <t>4,0,0,0,418,0,0</t>
  </si>
  <si>
    <t>1,0,0,2,410,430,440,0,0</t>
  </si>
  <si>
    <t>1,0,0,1,422,425,0,0</t>
  </si>
  <si>
    <t>1,0,0,1,423,421,0,0</t>
  </si>
  <si>
    <t>1,0,0,1,424,422,0,0</t>
  </si>
  <si>
    <t>4,0,0,0,423,0,0</t>
  </si>
  <si>
    <t>1,0,0,2,421,426,430,0,0</t>
  </si>
  <si>
    <t>1,0,0,1,427,425,0,0</t>
  </si>
  <si>
    <t>1,0,0,1,428,426,0,0</t>
  </si>
  <si>
    <t>1,0,0,1,429,427,0,0</t>
  </si>
  <si>
    <t>4,0,0,0,428,0,0</t>
  </si>
  <si>
    <t>1,0,0,2,425,435,420,0,0</t>
  </si>
  <si>
    <t>1,0,0,1,432,435,0,0</t>
  </si>
  <si>
    <t>1,0,0,1,433,431,0,0</t>
  </si>
  <si>
    <t>1,0,0,1,434,432,0,0</t>
  </si>
  <si>
    <t>4,0,0,0,433,0,0</t>
  </si>
  <si>
    <t>1,0,0,2,431,436,430,0,0</t>
  </si>
  <si>
    <t>1,0,0,1,437,435,0,0</t>
  </si>
  <si>
    <t>1,0,0,1,438,436,0,0</t>
  </si>
  <si>
    <t>1,0,0,1,439,437,0,0</t>
  </si>
  <si>
    <t>4,0,0,0,438,0,0</t>
  </si>
  <si>
    <t>1,0,0,2,420,460,400,0,0</t>
  </si>
  <si>
    <t>1,0,0,1,442,445,0,0</t>
  </si>
  <si>
    <t>1,0,0,1,443,441,0,0</t>
  </si>
  <si>
    <t>1,0,0,1,444,442,0,0</t>
  </si>
  <si>
    <t>4,0,0,0,443,0,0</t>
  </si>
  <si>
    <t>1,0,0,2,441,446,450,0,0</t>
  </si>
  <si>
    <t>1,0,0,1,447,445,0,0</t>
  </si>
  <si>
    <t>1,0,0,1,448,446,0,0</t>
  </si>
  <si>
    <t>1,0,0,1,449,447,0,0</t>
  </si>
  <si>
    <t>4,0,0,0,448,0,0</t>
  </si>
  <si>
    <t>1,0,0,2,445,455,460,0,0</t>
  </si>
  <si>
    <t>1,0,0,1,452,455,0,0</t>
  </si>
  <si>
    <t>1,0,0,1,453,451,0,0</t>
  </si>
  <si>
    <t>1,0,0,1,454,452,0,0</t>
  </si>
  <si>
    <t>4,0,0,0,453,0,0</t>
  </si>
  <si>
    <t>1,0,0,2,451,456,450,0,0</t>
  </si>
  <si>
    <t>1,0,0,1,457,455,0,0</t>
  </si>
  <si>
    <t>1,0,0,1,458,456,0,0</t>
  </si>
  <si>
    <t>1,0,0,1,459,457,0,0</t>
  </si>
  <si>
    <t>4,0,0,0,458,0,0</t>
  </si>
  <si>
    <t>1,0,0,2,450,470,440,0,0</t>
  </si>
  <si>
    <t>1,0,0,1,462,465,0,0</t>
  </si>
  <si>
    <t>1,0,0,1,463,461,0,0</t>
  </si>
  <si>
    <t>1,0,0,1,464,462,0,0</t>
  </si>
  <si>
    <t>4,0,0,0,463,0,0</t>
  </si>
  <si>
    <t>1,0,0,2,461,466,470,0,0</t>
  </si>
  <si>
    <t>1,0,0,1,467,465,0,0</t>
  </si>
  <si>
    <t>1,0,0,1,468,466,0,0</t>
  </si>
  <si>
    <t>1,0,0,1,469,467,0,0</t>
  </si>
  <si>
    <t>4,0,0,0,468,0,0</t>
  </si>
  <si>
    <t>1,0,0,2,465,475,460,0,0</t>
  </si>
  <si>
    <t>1,0,0,1,472,475,0,0</t>
  </si>
  <si>
    <t>1,0,0,1,473,471,0,0</t>
  </si>
  <si>
    <t>1,0,0,1,474,472,0,0</t>
  </si>
  <si>
    <t>4,0,0,0,473,0,0</t>
  </si>
  <si>
    <t>1,0,0,2,471,476,470,0,0</t>
  </si>
  <si>
    <t>1,0,0,1,477,475,0,0</t>
  </si>
  <si>
    <t>1,0,0,1,478,476,0,0</t>
  </si>
  <si>
    <t>1,0,0,1,479,477,0,0</t>
  </si>
  <si>
    <t>4,0,0,0,478,0,0</t>
  </si>
  <si>
    <t>2,0,0,2,400,560,320,0,0</t>
  </si>
  <si>
    <t>1,0,0,1,482,485,0,0</t>
  </si>
  <si>
    <t>1,0,0,1,483,481,0,0</t>
  </si>
  <si>
    <t>1,0,0,1,484,482,0,0</t>
  </si>
  <si>
    <t>4,0,0,0,483,0,0</t>
  </si>
  <si>
    <t>1,0,0,2,481,486,490,0,0</t>
  </si>
  <si>
    <t>1,0,0,1,487,485,0,0</t>
  </si>
  <si>
    <t>1,0,0,1,488,486,0,0</t>
  </si>
  <si>
    <t>1,0,0,1,489,487,0,0</t>
  </si>
  <si>
    <t>4,0,0,0,488,0,0</t>
  </si>
  <si>
    <t>1,0,0,2,485,495,500,0,0</t>
  </si>
  <si>
    <t>1,0,0,1,492,495,0,0</t>
  </si>
  <si>
    <t>1,0,0,1,493,491,0,0</t>
  </si>
  <si>
    <t>1,0,0,1,494,492,0,0</t>
  </si>
  <si>
    <t>4,0,0,0,493,0,0</t>
  </si>
  <si>
    <t>1,0,0,2,491,496,490,0,0</t>
  </si>
  <si>
    <t>1,0,0,1,497,495,0,0</t>
  </si>
  <si>
    <t>1,0,0,1,498,496,0,0</t>
  </si>
  <si>
    <t>1,0,0,1,499,497,0,0</t>
  </si>
  <si>
    <t>4,0,0,0,498,0,0</t>
  </si>
  <si>
    <t>1,0,0,2,490,510,520,0,0</t>
  </si>
  <si>
    <t>1,0,0,1,502,505,0,0</t>
  </si>
  <si>
    <t>1,0,0,1,503,501,0,0</t>
  </si>
  <si>
    <t>1,0,0,1,504,502,0,0</t>
  </si>
  <si>
    <t>4,0,0,0,503,0,0</t>
  </si>
  <si>
    <t>1,0,0,2,501,506,510,0,0</t>
  </si>
  <si>
    <t>1,0,0,1,507,505,0,0</t>
  </si>
  <si>
    <t>1,0,0,1,508,506,0,0</t>
  </si>
  <si>
    <t>1,0,0,1,509,507,0,0</t>
  </si>
  <si>
    <t>4,0,0,0,508,0,0</t>
  </si>
  <si>
    <t>1,0,0,2,505,515,500,0,0</t>
  </si>
  <si>
    <t>1,0,0,1,512,515,0,0</t>
  </si>
  <si>
    <t>1,0,0,1,513,511,0,0</t>
  </si>
  <si>
    <t>1,0,0,1,514,512,0,0</t>
  </si>
  <si>
    <t>4,0,0,0,513,0,0</t>
  </si>
  <si>
    <t>1,0,0,2,511,516,510,0,0</t>
  </si>
  <si>
    <t>1,0,0,1,517,515,0,0</t>
  </si>
  <si>
    <t>1,0,0,1,518,516,0,0</t>
  </si>
  <si>
    <t>1,0,0,1,519,517,0,0</t>
  </si>
  <si>
    <t>4,0,0,0,518,0,0</t>
  </si>
  <si>
    <t>1,0,0,2,500,540,560,0,0</t>
  </si>
  <si>
    <t>1,0,0,1,522,525,0,0</t>
  </si>
  <si>
    <t>1,0,0,1,523,521,0,0</t>
  </si>
  <si>
    <t>1,0,0,1,524,522,0,0</t>
  </si>
  <si>
    <t>4,0,0,0,523,0,0</t>
  </si>
  <si>
    <t>1,0,0,2,521,526,530,0,0</t>
  </si>
  <si>
    <t>1,0,0,1,527,525,0,0</t>
  </si>
  <si>
    <t>1,0,0,1,528,526,0,0</t>
  </si>
  <si>
    <t>1,0,0,1,529,527,0,0</t>
  </si>
  <si>
    <t>4,0,0,0,528,0,0</t>
  </si>
  <si>
    <t>1,0,0,2,525,535,540,0,0</t>
  </si>
  <si>
    <t>1,0,0,1,532,535,0,0</t>
  </si>
  <si>
    <t>1,0,0,1,533,531,0,0</t>
  </si>
  <si>
    <t>1,0,0,1,534,532,0,0</t>
  </si>
  <si>
    <t>4,0,0,0,533,0,0</t>
  </si>
  <si>
    <t>1,0,0,2,531,536,530,0,0</t>
  </si>
  <si>
    <t>1,0,0,1,537,535,0,0</t>
  </si>
  <si>
    <t>1,0,0,1,538,536,0,0</t>
  </si>
  <si>
    <t>1,0,0,1,539,537,0,0</t>
  </si>
  <si>
    <t>4,0,0,0,538,0,0</t>
  </si>
  <si>
    <t>1,0,0,2,530,550,520,0,0</t>
  </si>
  <si>
    <t>1,0,0,1,542,545,0,0</t>
  </si>
  <si>
    <t>1,0,0,1,543,541,0,0</t>
  </si>
  <si>
    <t>1,0,0,1,544,542,0,0</t>
  </si>
  <si>
    <t>4,0,0,0,543,0,0</t>
  </si>
  <si>
    <t>1,0,0,2,541,546,550,0,0</t>
  </si>
  <si>
    <t>1,0,0,1,547,545,0,0</t>
  </si>
  <si>
    <t>1,0,0,1,548,546,0,0</t>
  </si>
  <si>
    <t>1,0,0,1,549,547,0,0</t>
  </si>
  <si>
    <t>4,0,0,0,548,0,0</t>
  </si>
  <si>
    <t>1,0,0,2,545,555,540,0,0</t>
  </si>
  <si>
    <t>1,0,0,1,552,555,0,0</t>
  </si>
  <si>
    <t>1,0,0,1,553,551,0,0</t>
  </si>
  <si>
    <t>1,0,0,1,554,552,0,0</t>
  </si>
  <si>
    <t>4,0,0,0,553,0,0</t>
  </si>
  <si>
    <t>1,0,0,2,551,556,550,0,0</t>
  </si>
  <si>
    <t>1,0,0,1,557,555,0,0</t>
  </si>
  <si>
    <t>1,0,0,1,558,556,0,0</t>
  </si>
  <si>
    <t>1,0,0,1,559,557,0,0</t>
  </si>
  <si>
    <t>4,0,0,0,558,0,0</t>
  </si>
  <si>
    <t>1,0,0,2,520,600,480,0,0</t>
  </si>
  <si>
    <t>1,0,0,1,562,565,0,0</t>
  </si>
  <si>
    <t>1,0,0,1,563,561,0,0</t>
  </si>
  <si>
    <t>1,0,0,1,564,562,0,0</t>
  </si>
  <si>
    <t>4,0,0,0,563,0,0</t>
  </si>
  <si>
    <t>1,0,0,2,561,566,570,0,0</t>
  </si>
  <si>
    <t>1,0,0,1,567,565,0,0</t>
  </si>
  <si>
    <t>1,0,0,1,568,566,0,0</t>
  </si>
  <si>
    <t>1,0,0,1,569,567,0,0</t>
  </si>
  <si>
    <t>4,0,0,0,568,0,0</t>
  </si>
  <si>
    <t>1,0,0,2,565,575,580,0,0</t>
  </si>
  <si>
    <t>1,0,0,1,572,575,0,0</t>
  </si>
  <si>
    <t>1,0,0,1,573,571,0,0</t>
  </si>
  <si>
    <t>1,0,0,1,574,572,0,0</t>
  </si>
  <si>
    <t>4,0,0,0,573,0,0</t>
  </si>
  <si>
    <t>1,0,0,2,571,576,570,0,0</t>
  </si>
  <si>
    <t>1,0,0,1,577,575,0,0</t>
  </si>
  <si>
    <t>1,0,0,1,578,576,0,0</t>
  </si>
  <si>
    <t>1,0,0,1,579,577,0,0</t>
  </si>
  <si>
    <t>4,0,0,0,578,0,0</t>
  </si>
  <si>
    <t>1,0,0,2,570,590,600,0,0</t>
  </si>
  <si>
    <t>1,0,0,1,582,585,0,0</t>
  </si>
  <si>
    <t>1,0,0,1,583,581,0,0</t>
  </si>
  <si>
    <t>1,0,0,1,584,582,0,0</t>
  </si>
  <si>
    <t>4,0,0,0,583,0,0</t>
  </si>
  <si>
    <t>1,0,0,2,581,586,590,0,0</t>
  </si>
  <si>
    <t>1,0,0,1,587,585,0,0</t>
  </si>
  <si>
    <t>1,0,0,1,588,586,0,0</t>
  </si>
  <si>
    <t>1,0,0,1,589,587,0,0</t>
  </si>
  <si>
    <t>4,0,0,0,588,0,0</t>
  </si>
  <si>
    <t>1,0,0,2,585,595,580,0,0</t>
  </si>
  <si>
    <t>1,0,0,1,592,595,0,0</t>
  </si>
  <si>
    <t>1,0,0,1,593,591,0,0</t>
  </si>
  <si>
    <t>1,0,0,1,594,592,0,0</t>
  </si>
  <si>
    <t>4,0,0,0,593,0,0</t>
  </si>
  <si>
    <t>1,0,0,2,591,596,590,0,0</t>
  </si>
  <si>
    <t>1,0,0,1,597,595,0,0</t>
  </si>
  <si>
    <t>1,0,0,1,598,596,0,0</t>
  </si>
  <si>
    <t>1,0,0,1,599,597,0,0</t>
  </si>
  <si>
    <t>4,0,0,0,598,0,0</t>
  </si>
  <si>
    <t>1,0,0,2,580,620,560,0,0</t>
  </si>
  <si>
    <t>1,0,0,1,602,605,0,0</t>
  </si>
  <si>
    <t>1,0,0,1,603,601,0,0</t>
  </si>
  <si>
    <t>1,0,0,1,604,602,0,0</t>
  </si>
  <si>
    <t>4,0,0,0,603,0,0</t>
  </si>
  <si>
    <t>1,0,0,2,601,606,610,0,0</t>
  </si>
  <si>
    <t>1,0,0,1,607,605,0,0</t>
  </si>
  <si>
    <t>1,0,0,1,608,606,0,0</t>
  </si>
  <si>
    <t>1,0,0,1,609,607,0,0</t>
  </si>
  <si>
    <t>4,0,0,0,608,0,0</t>
  </si>
  <si>
    <t>1,0,0,2,605,615,620,0,0</t>
  </si>
  <si>
    <t>1,0,0,1,612,615,0,0</t>
  </si>
  <si>
    <t>1,0,0,1,613,611,0,0</t>
  </si>
  <si>
    <t>1,0,0,1,614,612,0,0</t>
  </si>
  <si>
    <t>4,0,0,0,613,0,0</t>
  </si>
  <si>
    <t>1,0,0,2,611,616,610,0,0</t>
  </si>
  <si>
    <t>1,0,0,1,617,615,0,0</t>
  </si>
  <si>
    <t>1,0,0,1,618,616,0,0</t>
  </si>
  <si>
    <t>1,0,0,1,619,617,0,0</t>
  </si>
  <si>
    <t>4,0,0,0,618,0,0</t>
  </si>
  <si>
    <t>1,0,0,2,610,630,600,0,0</t>
  </si>
  <si>
    <t>1,0,0,1,622,625,0,0</t>
  </si>
  <si>
    <t>1,0,0,1,623,621,0,0</t>
  </si>
  <si>
    <t>1,0,0,1,624,622,0,0</t>
  </si>
  <si>
    <t>4,0,0,0,623,0,0</t>
  </si>
  <si>
    <t>1,0,0,2,621,626,630,0,0</t>
  </si>
  <si>
    <t>1,0,0,1,627,625,0,0</t>
  </si>
  <si>
    <t>1,0,0,1,628,626,0,0</t>
  </si>
  <si>
    <t>1,0,0,1,629,627,0,0</t>
  </si>
  <si>
    <t>4,0,0,0,628,0,0</t>
  </si>
  <si>
    <t>1,0,0,2,625,635,620,0,0</t>
  </si>
  <si>
    <t>1,0,0,1,632,635,0,0</t>
  </si>
  <si>
    <t>1,0,0,1,633,631,0,0</t>
  </si>
  <si>
    <t>1,0,0,1,634,632,0,0</t>
  </si>
  <si>
    <t>4,0,0,0,633,0,0</t>
  </si>
  <si>
    <t>1,0,0,2,631,636,630,0,0</t>
  </si>
  <si>
    <t>1,0,0,1,637,635,0,0</t>
  </si>
  <si>
    <t>1,0,0,1,638,636,0,0</t>
  </si>
  <si>
    <t>1,0,0,1,639,637,0,0</t>
  </si>
  <si>
    <t>4,0,0,0,638,0,0</t>
  </si>
  <si>
    <t>2,0,0,2,320,960,0,0,0</t>
  </si>
  <si>
    <t>1,0,0,1,642,645,0,0</t>
  </si>
  <si>
    <t>1,0,0,1,643,641,0,0</t>
  </si>
  <si>
    <t>1,0,0,1,644,642,0,0</t>
  </si>
  <si>
    <t>4,0,0,0,643,0,0</t>
  </si>
  <si>
    <t>1,0,0,2,641,646,650,0,0</t>
  </si>
  <si>
    <t>1,0,0,1,647,645,0,0</t>
  </si>
  <si>
    <t>1,0,0,1,648,646,0,0</t>
  </si>
  <si>
    <t>1,0,0,1,649,647,0,0</t>
  </si>
  <si>
    <t>4,0,0,0,648,0,0</t>
  </si>
  <si>
    <t>1,0,0,2,645,655,660,0,0</t>
  </si>
  <si>
    <t>1,0,0,1,652,655,0,0</t>
  </si>
  <si>
    <t>1,0,0,1,653,651,0,0</t>
  </si>
  <si>
    <t>1,0,0,1,654,652,0,0</t>
  </si>
  <si>
    <t>4,0,0,0,653,0,0</t>
  </si>
  <si>
    <t>1,0,0,2,651,656,650,0,0</t>
  </si>
  <si>
    <t>1,0,0,1,657,655,0,0</t>
  </si>
  <si>
    <t>1,0,0,1,658,656,0,0</t>
  </si>
  <si>
    <t>1,0,0,1,659,657,0,0</t>
  </si>
  <si>
    <t>4,0,0,0,658,0,0</t>
  </si>
  <si>
    <t>1,0,0,2,650,670,680,0,0</t>
  </si>
  <si>
    <t>1,0,0,1,662,665,0,0</t>
  </si>
  <si>
    <t>1,0,0,1,663,661,0,0</t>
  </si>
  <si>
    <t>1,0,0,1,664,662,0,0</t>
  </si>
  <si>
    <t>4,0,0,0,663,0,0</t>
  </si>
  <si>
    <t>1,0,0,2,661,666,670,0,0</t>
  </si>
  <si>
    <t>1,0,0,1,667,665,0,0</t>
  </si>
  <si>
    <t>1,0,0,1,668,666,0,0</t>
  </si>
  <si>
    <t>1,0,0,1,669,667,0,0</t>
  </si>
  <si>
    <t>4,0,0,0,668,0,0</t>
  </si>
  <si>
    <t>1,0,0,2,665,675,660,0,0</t>
  </si>
  <si>
    <t>1,0,0,1,672,675,0,0</t>
  </si>
  <si>
    <t>1,0,0,1,673,671,0,0</t>
  </si>
  <si>
    <t>1,0,0,1,674,672,0,0</t>
  </si>
  <si>
    <t>4,0,0,0,673,0,0</t>
  </si>
  <si>
    <t>1,0,0,2,671,676,670,0,0</t>
  </si>
  <si>
    <t>1,0,0,1,677,675,0,0</t>
  </si>
  <si>
    <t>1,0,0,1,678,676,0,0</t>
  </si>
  <si>
    <t>1,0,0,1,679,677,0,0</t>
  </si>
  <si>
    <t>4,0,0,0,678,0,0</t>
  </si>
  <si>
    <t>1,0,0,2,660,700,720,0,0</t>
  </si>
  <si>
    <t>1,0,0,1,682,685,0,0</t>
  </si>
  <si>
    <t>1,0,0,1,683,681,0,0</t>
  </si>
  <si>
    <t>1,0,0,1,684,682,0,0</t>
  </si>
  <si>
    <t>4,0,0,0,683,0,0</t>
  </si>
  <si>
    <t>1,0,0,2,681,686,690,0,0</t>
  </si>
  <si>
    <t>1,0,0,1,687,685,0,0</t>
  </si>
  <si>
    <t>1,0,0,1,688,686,0,0</t>
  </si>
  <si>
    <t>1,0,0,1,689,687,0,0</t>
  </si>
  <si>
    <t>4,0,0,0,688,0,0</t>
  </si>
  <si>
    <t>1,0,0,2,685,695,700,0,0</t>
  </si>
  <si>
    <t>1,0,0,1,692,695,0,0</t>
  </si>
  <si>
    <t>1,0,0,1,693,691,0,0</t>
  </si>
  <si>
    <t>1,0,0,1,694,692,0,0</t>
  </si>
  <si>
    <t>4,0,0,0,693,0,0</t>
  </si>
  <si>
    <t>1,0,0,2,691,696,690,0,0</t>
  </si>
  <si>
    <t>1,0,0,1,697,695,0,0</t>
  </si>
  <si>
    <t>1,0,0,1,698,696,0,0</t>
  </si>
  <si>
    <t>1,0,0,1,699,697,0,0</t>
  </si>
  <si>
    <t>4,0,0,0,698,0,0</t>
  </si>
  <si>
    <t>1,0,0,2,690,710,680,0,0</t>
  </si>
  <si>
    <t>1,0,0,1,702,705,0,0</t>
  </si>
  <si>
    <t>1,0,0,1,703,701,0,0</t>
  </si>
  <si>
    <t>1,0,0,1,704,702,0,0</t>
  </si>
  <si>
    <t>4,0,0,0,703,0,0</t>
  </si>
  <si>
    <t>1,0,0,2,701,706,710,0,0</t>
  </si>
  <si>
    <t>1,0,0,1,707,705,0,0</t>
  </si>
  <si>
    <t>1,0,0,1,708,706,0,0</t>
  </si>
  <si>
    <t>1,0,0,1,709,707,0,0</t>
  </si>
  <si>
    <t>4,0,0,0,708,0,0</t>
  </si>
  <si>
    <t>1,0,0,2,705,715,700,0,0</t>
  </si>
  <si>
    <t>1,0,0,1,712,715,0,0</t>
  </si>
  <si>
    <t>1,0,0,1,713,711,0,0</t>
  </si>
  <si>
    <t>1,0,0,1,714,712,0,0</t>
  </si>
  <si>
    <t>4,0,0,0,713,0,0</t>
  </si>
  <si>
    <t>1,0,0,2,711,716,710,0,0</t>
  </si>
  <si>
    <t>1,0,0,1,717,715,0,0</t>
  </si>
  <si>
    <t>1,0,0,1,718,716,0,0</t>
  </si>
  <si>
    <t>1,0,0,1,719,717,0,0</t>
  </si>
  <si>
    <t>4,0,0,0,718,0,0</t>
  </si>
  <si>
    <t>1,0,0,2,680,760,800,0,0</t>
  </si>
  <si>
    <t>1,0,0,1,722,725,0,0</t>
  </si>
  <si>
    <t>1,0,0,1,723,721,0,0</t>
  </si>
  <si>
    <t>1,0,0,1,724,722,0,0</t>
  </si>
  <si>
    <t>4,0,0,0,723,0,0</t>
  </si>
  <si>
    <t>1,0,0,2,721,726,730,0,0</t>
  </si>
  <si>
    <t>1,0,0,1,727,725,0,0</t>
  </si>
  <si>
    <t>1,0,0,1,728,726,0,0</t>
  </si>
  <si>
    <t>1,0,0,1,729,727,0,0</t>
  </si>
  <si>
    <t>4,0,0,0,728,0,0</t>
  </si>
  <si>
    <t>1,0,0,2,725,735,740,0,0</t>
  </si>
  <si>
    <t>1,0,0,1,732,735,0,0</t>
  </si>
  <si>
    <t>1,0,0,1,733,731,0,0</t>
  </si>
  <si>
    <t>1,0,0,1,734,732,0,0</t>
  </si>
  <si>
    <t>4,0,0,0,733,0,0</t>
  </si>
  <si>
    <t>1,0,0,2,731,736,730,0,0</t>
  </si>
  <si>
    <t>1,0,0,1,737,735,0,0</t>
  </si>
  <si>
    <t>1,0,0,1,738,736,0,0</t>
  </si>
  <si>
    <t>1,0,0,1,739,737,0,0</t>
  </si>
  <si>
    <t>4,0,0,0,738,0,0</t>
  </si>
  <si>
    <t>1,0,0,2,730,750,760,0,0</t>
  </si>
  <si>
    <t>1,0,0,1,742,745,0,0</t>
  </si>
  <si>
    <t>1,0,0,1,743,741,0,0</t>
  </si>
  <si>
    <t>1,0,0,1,744,742,0,0</t>
  </si>
  <si>
    <t>4,0,0,0,743,0,0</t>
  </si>
  <si>
    <t>1,0,0,2,741,746,750,0,0</t>
  </si>
  <si>
    <t>1,0,0,1,747,745,0,0</t>
  </si>
  <si>
    <t>1,0,0,1,748,746,0,0</t>
  </si>
  <si>
    <t>1,0,0,1,749,747,0,0</t>
  </si>
  <si>
    <t>4,0,0,0,748,0,0</t>
  </si>
  <si>
    <t>1,0,0,2,745,755,740,0,0</t>
  </si>
  <si>
    <t>1,0,0,1,752,755,0,0</t>
  </si>
  <si>
    <t>1,0,0,1,753,751,0,0</t>
  </si>
  <si>
    <t>1,0,0,1,754,752,0,0</t>
  </si>
  <si>
    <t>4,0,0,0,753,0,0</t>
  </si>
  <si>
    <t>1,0,0,2,751,756,750,0,0</t>
  </si>
  <si>
    <t>1,0,0,1,757,755,0,0</t>
  </si>
  <si>
    <t>1,0,0,1,758,756,0,0</t>
  </si>
  <si>
    <t>1,0,0,1,759,757,0,0</t>
  </si>
  <si>
    <t>4,0,0,0,758,0,0</t>
  </si>
  <si>
    <t>1,0,0,2,740,780,720,0,0</t>
  </si>
  <si>
    <t>1,0,0,1,762,765,0,0</t>
  </si>
  <si>
    <t>1,0,0,1,763,761,0,0</t>
  </si>
  <si>
    <t>1,0,0,1,764,762,0,0</t>
  </si>
  <si>
    <t>4,0,0,0,763,0,0</t>
  </si>
  <si>
    <t>1,0,0,2,761,766,770,0,0</t>
  </si>
  <si>
    <t>1,0,0,1,767,765,0,0</t>
  </si>
  <si>
    <t>1,0,0,1,768,766,0,0</t>
  </si>
  <si>
    <t>1,0,0,1,769,767,0,0</t>
  </si>
  <si>
    <t>4,0,0,0,768,0,0</t>
  </si>
  <si>
    <t>1,0,0,2,765,775,780,0,0</t>
  </si>
  <si>
    <t>1,0,0,1,772,775,0,0</t>
  </si>
  <si>
    <t>1,0,0,1,773,771,0,0</t>
  </si>
  <si>
    <t>1,0,0,1,774,772,0,0</t>
  </si>
  <si>
    <t>4,0,0,0,773,0,0</t>
  </si>
  <si>
    <t>1,0,0,2,771,776,770,0,0</t>
  </si>
  <si>
    <t>1,0,0,1,777,775,0,0</t>
  </si>
  <si>
    <t>1,0,0,1,778,776,0,0</t>
  </si>
  <si>
    <t>1,0,0,1,779,777,0,0</t>
  </si>
  <si>
    <t>4,0,0,0,778,0,0</t>
  </si>
  <si>
    <t>1,0,0,2,770,790,760,0,0</t>
  </si>
  <si>
    <t>1,0,0,1,782,785,0,0</t>
  </si>
  <si>
    <t>1,0,0,1,783,781,0,0</t>
  </si>
  <si>
    <t>1,0,0,1,784,782,0,0</t>
  </si>
  <si>
    <t>4,0,0,0,783,0,0</t>
  </si>
  <si>
    <t>1,0,0,2,781,786,790,0,0</t>
  </si>
  <si>
    <t>1,0,0,1,787,785,0,0</t>
  </si>
  <si>
    <t>1,0,0,1,788,786,0,0</t>
  </si>
  <si>
    <t>1,0,0,1,789,787,0,0</t>
  </si>
  <si>
    <t>4,0,0,0,788,0,0</t>
  </si>
  <si>
    <t>1,0,0,2,785,795,780,0,0</t>
  </si>
  <si>
    <t>1,0,0,1,792,795,0,0</t>
  </si>
  <si>
    <t>1,0,0,1,793,791,0,0</t>
  </si>
  <si>
    <t>1,0,0,1,794,792,0,0</t>
  </si>
  <si>
    <t>4,0,0,0,793,0,0</t>
  </si>
  <si>
    <t>1,0,0,2,791,796,790,0,0</t>
  </si>
  <si>
    <t>1,0,0,1,797,795,0,0</t>
  </si>
  <si>
    <t>1,0,0,1,798,796,0,0</t>
  </si>
  <si>
    <t>1,0,0,1,799,797,0,0</t>
  </si>
  <si>
    <t>4,0,0,0,798,0,0</t>
  </si>
  <si>
    <t>2,0,0,2,720,880,960,0,0</t>
  </si>
  <si>
    <t>1,0,0,1,802,805,0,0</t>
  </si>
  <si>
    <t>1,0,0,1,803,801,0,0</t>
  </si>
  <si>
    <t>1,0,0,1,804,802,0,0</t>
  </si>
  <si>
    <t>4,0,0,0,803,0,0</t>
  </si>
  <si>
    <t>1,0,0,2,801,806,810,0,0</t>
  </si>
  <si>
    <t>1,0,0,1,807,805,0,0</t>
  </si>
  <si>
    <t>1,0,0,1,808,806,0,0</t>
  </si>
  <si>
    <t>1,0,0,1,809,807,0,0</t>
  </si>
  <si>
    <t>4,0,0,0,808,0,0</t>
  </si>
  <si>
    <t>1,0,0,2,805,815,820,0,0</t>
  </si>
  <si>
    <t>1,0,0,1,812,815,0,0</t>
  </si>
  <si>
    <t>1,0,0,1,813,811,0,0</t>
  </si>
  <si>
    <t>1,0,0,1,814,812,0,0</t>
  </si>
  <si>
    <t>4,0,0,0,813,0,0</t>
  </si>
  <si>
    <t>1,0,0,2,811,816,810,0,0</t>
  </si>
  <si>
    <t>1,0,0,1,817,815,0,0</t>
  </si>
  <si>
    <t>1,0,0,1,818,816,0,0</t>
  </si>
  <si>
    <t>1,0,0,1,819,817,0,0</t>
  </si>
  <si>
    <t>4,0,0,0,818,0,0</t>
  </si>
  <si>
    <t>1,0,0,2,810,830,840,0,0</t>
  </si>
  <si>
    <t>1,0,0,1,822,825,0,0</t>
  </si>
  <si>
    <t>1,0,0,1,823,821,0,0</t>
  </si>
  <si>
    <t>1,0,0,1,824,822,0,0</t>
  </si>
  <si>
    <t>4,0,0,0,823,0,0</t>
  </si>
  <si>
    <t>1,0,0,2,821,826,830,0,0</t>
  </si>
  <si>
    <t>1,0,0,1,827,825,0,0</t>
  </si>
  <si>
    <t>1,0,0,1,828,826,0,0</t>
  </si>
  <si>
    <t>1,0,0,1,829,827,0,0</t>
  </si>
  <si>
    <t>4,0,0,0,828,0,0</t>
  </si>
  <si>
    <t>1,0,0,2,825,835,820,0,0</t>
  </si>
  <si>
    <t>1,0,0,1,832,835,0,0</t>
  </si>
  <si>
    <t>1,0,0,1,833,831,0,0</t>
  </si>
  <si>
    <t>1,0,0,1,834,832,0,0</t>
  </si>
  <si>
    <t>4,0,0,0,833,0,0</t>
  </si>
  <si>
    <t>1,0,0,2,831,836,830,0,0</t>
  </si>
  <si>
    <t>1,0,0,1,837,835,0,0</t>
  </si>
  <si>
    <t>1,0,0,1,838,836,0,0</t>
  </si>
  <si>
    <t>1,0,0,1,839,837,0,0</t>
  </si>
  <si>
    <t>4,0,0,0,838,0,0</t>
  </si>
  <si>
    <t>1,0,0,2,820,860,880,0,0</t>
  </si>
  <si>
    <t>1,0,0,1,842,845,0,0</t>
  </si>
  <si>
    <t>1,0,0,1,843,841,0,0</t>
  </si>
  <si>
    <t>1,0,0,1,844,842,0,0</t>
  </si>
  <si>
    <t>4,0,0,0,843,0,0</t>
  </si>
  <si>
    <t>1,0,0,2,841,846,850,0,0</t>
  </si>
  <si>
    <t>1,0,0,1,847,845,0,0</t>
  </si>
  <si>
    <t>1,0,0,1,848,846,0,0</t>
  </si>
  <si>
    <t>1,0,0,1,849,847,0,0</t>
  </si>
  <si>
    <t>4,0,0,0,848,0,0</t>
  </si>
  <si>
    <t>1,0,0,2,845,855,860,0,0</t>
  </si>
  <si>
    <t>1,0,0,1,852,855,0,0</t>
  </si>
  <si>
    <t>1,0,0,1,853,851,0,0</t>
  </si>
  <si>
    <t>1,0,0,1,854,852,0,0</t>
  </si>
  <si>
    <t>4,0,0,0,853,0,0</t>
  </si>
  <si>
    <t>1,0,0,2,851,856,850,0,0</t>
  </si>
  <si>
    <t>1,0,0,1,857,855,0,0</t>
  </si>
  <si>
    <t>1,0,0,1,858,856,0,0</t>
  </si>
  <si>
    <t>1,0,0,1,859,857,0,0</t>
  </si>
  <si>
    <t>4,0,0,0,858,0,0</t>
  </si>
  <si>
    <t>1,0,0,2,850,870,840,0,0</t>
  </si>
  <si>
    <t>1,0,0,1,862,865,0,0</t>
  </si>
  <si>
    <t>1,0,0,1,863,861,0,0</t>
  </si>
  <si>
    <t>1,0,0,1,864,862,0,0</t>
  </si>
  <si>
    <t>4,0,0,0,863,0,0</t>
  </si>
  <si>
    <t>1,0,0,2,861,866,870,0,0</t>
  </si>
  <si>
    <t>1,0,0,1,867,865,0,0</t>
  </si>
  <si>
    <t>1,0,0,1,868,866,0,0</t>
  </si>
  <si>
    <t>1,0,0,1,869,867,0,0</t>
  </si>
  <si>
    <t>4,0,0,0,868,0,0</t>
  </si>
  <si>
    <t>1,0,0,2,865,875,860,0,0</t>
  </si>
  <si>
    <t>1,0,0,1,872,875,0,0</t>
  </si>
  <si>
    <t>1,0,0,1,873,871,0,0</t>
  </si>
  <si>
    <t>1,0,0,1,874,872,0,0</t>
  </si>
  <si>
    <t>4,0,0,0,873,0,0</t>
  </si>
  <si>
    <t>1,0,0,2,871,876,870,0,0</t>
  </si>
  <si>
    <t>1,0,0,1,877,875,0,0</t>
  </si>
  <si>
    <t>1,0,0,1,878,876,0,0</t>
  </si>
  <si>
    <t>1,0,0,1,879,877,0,0</t>
  </si>
  <si>
    <t>4,0,0,0,878,0,0</t>
  </si>
  <si>
    <t>1,0,0,2,840,920,800,0,0</t>
  </si>
  <si>
    <t>1,0,0,1,882,885,0,0</t>
  </si>
  <si>
    <t>1,0,0,1,883,881,0,0</t>
  </si>
  <si>
    <t>1,0,0,1,884,882,0,0</t>
  </si>
  <si>
    <t>4,0,0,0,883,0,0</t>
  </si>
  <si>
    <t>1,0,0,2,881,886,890,0,0</t>
  </si>
  <si>
    <t>1,0,0,1,887,885,0,0</t>
  </si>
  <si>
    <t>1,0,0,1,888,886,0,0</t>
  </si>
  <si>
    <t>1,0,0,1,889,887,0,0</t>
  </si>
  <si>
    <t>4,0,0,0,888,0,0</t>
  </si>
  <si>
    <t>1,0,0,2,885,895,900,0,0</t>
  </si>
  <si>
    <t>1,0,0,1,892,895,0,0</t>
  </si>
  <si>
    <t>1,0,0,1,893,891,0,0</t>
  </si>
  <si>
    <t>1,0,0,1,894,892,0,0</t>
  </si>
  <si>
    <t>4,0,0,0,893,0,0</t>
  </si>
  <si>
    <t>1,0,0,2,891,896,890,0,0</t>
  </si>
  <si>
    <t>1,0,0,1,897,895,0,0</t>
  </si>
  <si>
    <t>1,0,0,1,898,896,0,0</t>
  </si>
  <si>
    <t>1,0,0,1,899,897,0,0</t>
  </si>
  <si>
    <t>4,0,0,0,898,0,0</t>
  </si>
  <si>
    <t>1,0,0,2,890,910,920,0,0</t>
  </si>
  <si>
    <t>1,0,0,1,902,905,0,0</t>
  </si>
  <si>
    <t>1,0,0,1,903,901,0,0</t>
  </si>
  <si>
    <t>1,0,0,1,904,902,0,0</t>
  </si>
  <si>
    <t>4,0,0,0,903,0,0</t>
  </si>
  <si>
    <t>1,0,0,2,901,906,910,0,0</t>
  </si>
  <si>
    <t>1,0,0,1,907,905,0,0</t>
  </si>
  <si>
    <t>1,0,0,1,908,906,0,0</t>
  </si>
  <si>
    <t>1,0,0,1,909,907,0,0</t>
  </si>
  <si>
    <t>4,0,0,0,908,0,0</t>
  </si>
  <si>
    <t>1,0,0,2,905,915,900,0,0</t>
  </si>
  <si>
    <t>1,0,0,1,912,915,0,0</t>
  </si>
  <si>
    <t>1,0,0,1,913,911,0,0</t>
  </si>
  <si>
    <t>1,0,0,1,914,912,0,0</t>
  </si>
  <si>
    <t>4,0,0,0,913,0,0</t>
  </si>
  <si>
    <t>1,0,0,2,911,916,910,0,0</t>
  </si>
  <si>
    <t>1,0,0,1,917,915,0,0</t>
  </si>
  <si>
    <t>1,0,0,1,918,916,0,0</t>
  </si>
  <si>
    <t>1,0,0,1,919,917,0,0</t>
  </si>
  <si>
    <t>4,0,0,0,918,0,0</t>
  </si>
  <si>
    <t>1,0,0,2,900,940,880,0,0</t>
  </si>
  <si>
    <t>1,0,0,1,922,925,0,0</t>
  </si>
  <si>
    <t>1,0,0,1,923,921,0,0</t>
  </si>
  <si>
    <t>1,0,0,1,924,922,0,0</t>
  </si>
  <si>
    <t>4,0,0,0,923,0,0</t>
  </si>
  <si>
    <t>1,0,0,2,921,926,930,0,0</t>
  </si>
  <si>
    <t>1,0,0,1,927,925,0,0</t>
  </si>
  <si>
    <t>1,0,0,1,928,926,0,0</t>
  </si>
  <si>
    <t>1,0,0,1,929,927,0,0</t>
  </si>
  <si>
    <t>4,0,0,0,928,0,0</t>
  </si>
  <si>
    <t>1,0,0,2,925,935,940,0,0</t>
  </si>
  <si>
    <t>1,0,0,1,932,935,0,0</t>
  </si>
  <si>
    <t>1,0,0,1,933,931,0,0</t>
  </si>
  <si>
    <t>1,0,0,1,934,932,0,0</t>
  </si>
  <si>
    <t>4,0,0,0,933,0,0</t>
  </si>
  <si>
    <t>1,0,0,2,931,936,930,0,0</t>
  </si>
  <si>
    <t>1,0,0,1,937,935,0,0</t>
  </si>
  <si>
    <t>1,0,0,1,938,936,0,0</t>
  </si>
  <si>
    <t>1,0,0,1,939,937,0,0</t>
  </si>
  <si>
    <t>4,0,0,0,938,0,0</t>
  </si>
  <si>
    <t>1,0,0,2,930,950,920,0,0</t>
  </si>
  <si>
    <t>1,0,0,1,942,945,0,0</t>
  </si>
  <si>
    <t>1,0,0,1,943,941,0,0</t>
  </si>
  <si>
    <t>1,0,0,1,944,942,0,0</t>
  </si>
  <si>
    <t>4,0,0,0,943,0,0</t>
  </si>
  <si>
    <t>1,0,0,2,941,946,950,0,0</t>
  </si>
  <si>
    <t>1,0,0,1,947,945,0,0</t>
  </si>
  <si>
    <t>1,0,0,1,948,946,0,0</t>
  </si>
  <si>
    <t>1,0,0,1,949,947,0,0</t>
  </si>
  <si>
    <t>4,0,0,0,948,0,0</t>
  </si>
  <si>
    <t>1,0,0,2,945,955,940,0,0</t>
  </si>
  <si>
    <t>1,0,0,1,952,955,0,0</t>
  </si>
  <si>
    <t>1,0,0,1,953,951,0,0</t>
  </si>
  <si>
    <t>1,0,0,1,954,952,0,0</t>
  </si>
  <si>
    <t>4,0,0,0,953,0,0</t>
  </si>
  <si>
    <t>1,0,0,2,951,956,950,0,0</t>
  </si>
  <si>
    <t>1,0,0,1,957,955,0,0</t>
  </si>
  <si>
    <t>1,0,0,1,958,956,0,0</t>
  </si>
  <si>
    <t>1,0,0,1,959,957,0,0</t>
  </si>
  <si>
    <t>4,0,0,0,958,0,0</t>
  </si>
  <si>
    <t>2,0,0,2,800,1120,640,0,0</t>
  </si>
  <si>
    <t>1,0,0,1,962,965,0,0</t>
  </si>
  <si>
    <t>1,0,0,1,963,961,0,0</t>
  </si>
  <si>
    <t>1,0,0,1,964,962,0,0</t>
  </si>
  <si>
    <t>4,0,0,0,963,0,0</t>
  </si>
  <si>
    <t>1,0,0,2,961,966,970,0,0</t>
  </si>
  <si>
    <t>1,0,0,1,967,965,0,0</t>
  </si>
  <si>
    <t>1,0,0,1,968,966,0,0</t>
  </si>
  <si>
    <t>1,0,0,1,969,967,0,0</t>
  </si>
  <si>
    <t>4,0,0,0,968,0,0</t>
  </si>
  <si>
    <t>1,0,0,2,965,975,980,0,0</t>
  </si>
  <si>
    <t>1,0,0,1,972,975,0,0</t>
  </si>
  <si>
    <t>1,0,0,1,973,971,0,0</t>
  </si>
  <si>
    <t>1,0,0,1,974,972,0,0</t>
  </si>
  <si>
    <t>4,0,0,0,973,0,0</t>
  </si>
  <si>
    <t>1,0,0,2,971,976,970,0,0</t>
  </si>
  <si>
    <t>1,0,0,1,977,975,0,0</t>
  </si>
  <si>
    <t>1,0,0,1,978,976,0,0</t>
  </si>
  <si>
    <t>1,0,0,1,979,977,0,0</t>
  </si>
  <si>
    <t>4,0,0,0,978,0,0</t>
  </si>
  <si>
    <t>1,0,0,2,970,990,1000,0,0</t>
  </si>
  <si>
    <t>1,0,0,1,982,985,0,0</t>
  </si>
  <si>
    <t>1,0,0,1,983,981,0,0</t>
  </si>
  <si>
    <t>1,0,0,1,984,982,0,0</t>
  </si>
  <si>
    <t>4,0,0,0,983,0,0</t>
  </si>
  <si>
    <t>1,0,0,2,981,986,990,0,0</t>
  </si>
  <si>
    <t>1,0,0,1,987,985,0,0</t>
  </si>
  <si>
    <t>1,0,0,1,988,986,0,0</t>
  </si>
  <si>
    <t>1,0,0,1,989,987,0,0</t>
  </si>
  <si>
    <t>4,0,0,0,988,0,0</t>
  </si>
  <si>
    <t>1,0,0,2,985,995,980,0,0</t>
  </si>
  <si>
    <t>1,0,0,1,992,995,0,0</t>
  </si>
  <si>
    <t>1,0,0,1,993,991,0,0</t>
  </si>
  <si>
    <t>1,0,0,1,994,992,0,0</t>
  </si>
  <si>
    <t>4,0,0,0,993,0,0</t>
  </si>
  <si>
    <t>1,0,0,2,991,996,990,0,0</t>
  </si>
  <si>
    <t>1,0,0,1,997,995,0,0</t>
  </si>
  <si>
    <t>1,0,0,1,998,996,0,0</t>
  </si>
  <si>
    <t>1,0,0,1,999,997,0,0</t>
  </si>
  <si>
    <t>4,0,0,0,998,0,0</t>
  </si>
  <si>
    <t>1,0,0,2,980,1020,1040,0,0</t>
  </si>
  <si>
    <t>1,0,0,1,1002,1005,0,0</t>
  </si>
  <si>
    <t>1,0,0,1,1003,1001,0,0</t>
  </si>
  <si>
    <t>1,0,0,1,1004,1002,0,0</t>
  </si>
  <si>
    <t>4,0,0,0,1003,0,0</t>
  </si>
  <si>
    <t>1,0,0,2,1001,1006,1010,0,0</t>
  </si>
  <si>
    <t>1,0,0,1,1007,1005,0,0</t>
  </si>
  <si>
    <t>1,0,0,1,1008,1006,0,0</t>
  </si>
  <si>
    <t>1,0,0,1,1009,1007,0,0</t>
  </si>
  <si>
    <t>4,0,0,0,1008,0,0</t>
  </si>
  <si>
    <t>1,0,0,2,1005,1015,1020,0,0</t>
  </si>
  <si>
    <t>1,0,0,1,1012,1015,0,0</t>
  </si>
  <si>
    <t>1,0,0,1,1013,1011,0,0</t>
  </si>
  <si>
    <t>1,0,0,1,1014,1012,0,0</t>
  </si>
  <si>
    <t>4,0,0,0,1013,0,0</t>
  </si>
  <si>
    <t>1,0,0,2,1011,1016,1010,0,0</t>
  </si>
  <si>
    <t>1,0,0,1,1017,1015,0,0</t>
  </si>
  <si>
    <t>1,0,0,1,1018,1016,0,0</t>
  </si>
  <si>
    <t>1,0,0,1,1019,1017,0,0</t>
  </si>
  <si>
    <t>4,0,0,0,1018,0,0</t>
  </si>
  <si>
    <t>1,0,0,2,1010,1030,1000,0,0</t>
  </si>
  <si>
    <t>1,0,0,1,1022,1025,0,0</t>
  </si>
  <si>
    <t>1,0,0,1,1023,1021,0,0</t>
  </si>
  <si>
    <t>1,0,0,1,1024,1022,0,0</t>
  </si>
  <si>
    <t>4,0,0,0,1023,0,0</t>
  </si>
  <si>
    <t>1,0,0,2,1021,1026,1030,0,0</t>
  </si>
  <si>
    <t>1,0,0,1,1027,1025,0,0</t>
  </si>
  <si>
    <t>1,0,0,1,1028,1026,0,0</t>
  </si>
  <si>
    <t>1,0,0,1,1029,1027,0,0</t>
  </si>
  <si>
    <t>4,0,0,0,1028,0,0</t>
  </si>
  <si>
    <t>1,0,0,2,1025,1035,1020,0,0</t>
  </si>
  <si>
    <t>1,0,0,1,1032,1035,0,0</t>
  </si>
  <si>
    <t>1,0,0,1,1033,1031,0,0</t>
  </si>
  <si>
    <t>1,0,0,1,1034,1032,0,0</t>
  </si>
  <si>
    <t>4,0,0,0,1033,0,0</t>
  </si>
  <si>
    <t>1,0,0,2,1031,1036,1030,0,0</t>
  </si>
  <si>
    <t>1,0,0,1,1037,1035,0,0</t>
  </si>
  <si>
    <t>1,0,0,1,1038,1036,0,0</t>
  </si>
  <si>
    <t>1,0,0,1,1039,1037,0,0</t>
  </si>
  <si>
    <t>4,0,0,0,1038,0,0</t>
  </si>
  <si>
    <t>1,0,0,2,1000,1080,1120,0,0</t>
  </si>
  <si>
    <t>1,0,0,1,1042,1045,0,0</t>
  </si>
  <si>
    <t>1,0,0,1,1043,1041,0,0</t>
  </si>
  <si>
    <t>1,0,0,1,1044,1042,0,0</t>
  </si>
  <si>
    <t>4,0,0,0,1043,0,0</t>
  </si>
  <si>
    <t>1,0,0,2,1041,1046,1050,0,0</t>
  </si>
  <si>
    <t>1,0,0,1,1047,1045,0,0</t>
  </si>
  <si>
    <t>1,0,0,1,1048,1046,0,0</t>
  </si>
  <si>
    <t>1,0,0,1,1049,1047,0,0</t>
  </si>
  <si>
    <t>4,0,0,0,1048,0,0</t>
  </si>
  <si>
    <t>1,0,0,2,1045,1055,1060,0,0</t>
  </si>
  <si>
    <t>1,0,0,1,1052,1055,0,0</t>
  </si>
  <si>
    <t>1,0,0,1,1053,1051,0,0</t>
  </si>
  <si>
    <t>1,0,0,1,1054,1052,0,0</t>
  </si>
  <si>
    <t>4,0,0,0,1053,0,0</t>
  </si>
  <si>
    <t>1,0,0,2,1051,1056,1050,0,0</t>
  </si>
  <si>
    <t>1,0,0,1,1057,1055,0,0</t>
  </si>
  <si>
    <t>1,0,0,1,1058,1056,0,0</t>
  </si>
  <si>
    <t>1,0,0,1,1059,1057,0,0</t>
  </si>
  <si>
    <t>4,0,0,0,1058,0,0</t>
  </si>
  <si>
    <t>1,0,0,2,1050,1070,1080,0,0</t>
  </si>
  <si>
    <t>1,0,0,1,1062,1065,0,0</t>
  </si>
  <si>
    <t>1,0,0,1,1063,1061,0,0</t>
  </si>
  <si>
    <t>1,0,0,1,1064,1062,0,0</t>
  </si>
  <si>
    <t>4,0,0,0,1063,0,0</t>
  </si>
  <si>
    <t>1,0,0,2,1061,1066,1070,0,0</t>
  </si>
  <si>
    <t>1,0,0,1,1067,1065,0,0</t>
  </si>
  <si>
    <t>1,0,0,1,1068,1066,0,0</t>
  </si>
  <si>
    <t>1,0,0,1,1069,1067,0,0</t>
  </si>
  <si>
    <t>4,0,0,0,1068,0,0</t>
  </si>
  <si>
    <t>1,0,0,2,1065,1075,1060,0,0</t>
  </si>
  <si>
    <t>1,0,0,1,1072,1075,0,0</t>
  </si>
  <si>
    <t>1,0,0,1,1073,1071,0,0</t>
  </si>
  <si>
    <t>1,0,0,1,1074,1072,0,0</t>
  </si>
  <si>
    <t>4,0,0,0,1073,0,0</t>
  </si>
  <si>
    <t>1,0,0,2,1071,1076,1070,0,0</t>
  </si>
  <si>
    <t>1,0,0,1,1077,1075,0,0</t>
  </si>
  <si>
    <t>1,0,0,1,1078,1076,0,0</t>
  </si>
  <si>
    <t>1,0,0,1,1079,1077,0,0</t>
  </si>
  <si>
    <t>4,0,0,0,1078,0,0</t>
  </si>
  <si>
    <t>1,0,0,2,1060,1100,1040,0,0</t>
  </si>
  <si>
    <t>1,0,0,1,1082,1085,0,0</t>
  </si>
  <si>
    <t>1,0,0,1,1083,1081,0,0</t>
  </si>
  <si>
    <t>1,0,0,1,1084,1082,0,0</t>
  </si>
  <si>
    <t>4,0,0,0,1083,0,0</t>
  </si>
  <si>
    <t>1,0,0,2,1081,1086,1090,0,0</t>
  </si>
  <si>
    <t>1,0,0,1,1087,1085,0,0</t>
  </si>
  <si>
    <t>1,0,0,1,1088,1086,0,0</t>
  </si>
  <si>
    <t>1,0,0,1,1089,1087,0,0</t>
  </si>
  <si>
    <t>4,0,0,0,1088,0,0</t>
  </si>
  <si>
    <t>1,0,0,2,1085,1095,1100,0,0</t>
  </si>
  <si>
    <t>1,0,0,1,1092,1095,0,0</t>
  </si>
  <si>
    <t>1,0,0,1,1093,1091,0,0</t>
  </si>
  <si>
    <t>1,0,0,1,1094,1092,0,0</t>
  </si>
  <si>
    <t>4,0,0,0,1093,0,0</t>
  </si>
  <si>
    <t>1,0,0,2,1091,1096,1090,0,0</t>
  </si>
  <si>
    <t>1,0,0,1,1097,1095,0,0</t>
  </si>
  <si>
    <t>1,0,0,1,1098,1096,0,0</t>
  </si>
  <si>
    <t>1,0,0,1,1099,1097,0,0</t>
  </si>
  <si>
    <t>4,0,0,0,1098,0,0</t>
  </si>
  <si>
    <t>1,0,0,2,1090,1110,1080,0,0</t>
  </si>
  <si>
    <t>1,0,0,1,1102,1105,0,0</t>
  </si>
  <si>
    <t>1,0,0,1,1103,1101,0,0</t>
  </si>
  <si>
    <t>1,0,0,1,1104,1102,0,0</t>
  </si>
  <si>
    <t>4,0,0,0,1103,0,0</t>
  </si>
  <si>
    <t>1,0,0,2,1101,1106,1110,0,0</t>
  </si>
  <si>
    <t>1,0,0,1,1107,1105,0,0</t>
  </si>
  <si>
    <t>1,0,0,1,1108,1106,0,0</t>
  </si>
  <si>
    <t>1,0,0,1,1109,1107,0,0</t>
  </si>
  <si>
    <t>4,0,0,0,1108,0,0</t>
  </si>
  <si>
    <t>1,0,0,2,1105,1115,1100,0,0</t>
  </si>
  <si>
    <t>1,0,0,1,1112,1115,0,0</t>
  </si>
  <si>
    <t>1,0,0,1,1113,1111,0,0</t>
  </si>
  <si>
    <t>1,0,0,1,1114,1112,0,0</t>
  </si>
  <si>
    <t>4,0,0,0,1113,0,0</t>
  </si>
  <si>
    <t>1,0,0,2,1111,1116,1110,0,0</t>
  </si>
  <si>
    <t>1,0,0,1,1117,1115,0,0</t>
  </si>
  <si>
    <t>1,0,0,1,1118,1116,0,0</t>
  </si>
  <si>
    <t>1,0,0,1,1119,1117,0,0</t>
  </si>
  <si>
    <t>4,0,0,0,1118,0,0</t>
  </si>
  <si>
    <t>2,0,0,2,1040,1200,960,0,0</t>
  </si>
  <si>
    <t>1,0,0,1,1122,1125,0,0</t>
  </si>
  <si>
    <t>1,0,0,1,1123,1121,0,0</t>
  </si>
  <si>
    <t>1,0,0,1,1124,1122,0,0</t>
  </si>
  <si>
    <t>4,0,0,0,1123,0,0</t>
  </si>
  <si>
    <t>1,0,0,2,1121,1126,1130,0,0</t>
  </si>
  <si>
    <t>1,0,0,1,1127,1125,0,0</t>
  </si>
  <si>
    <t>1,0,0,1,1128,1126,0,0</t>
  </si>
  <si>
    <t>1,0,0,1,1129,1127,0,0</t>
  </si>
  <si>
    <t>4,0,0,0,1128,0,0</t>
  </si>
  <si>
    <t>1,0,0,2,1125,1135,1140,0,0</t>
  </si>
  <si>
    <t>1,0,0,1,1132,1135,0,0</t>
  </si>
  <si>
    <t>1,0,0,1,1133,1131,0,0</t>
  </si>
  <si>
    <t>1,0,0,1,1134,1132,0,0</t>
  </si>
  <si>
    <t>4,0,0,0,1133,0,0</t>
  </si>
  <si>
    <t>1,0,0,2,1131,1136,1130,0,0</t>
  </si>
  <si>
    <t>1,0,0,1,1137,1135,0,0</t>
  </si>
  <si>
    <t>1,0,0,1,1138,1136,0,0</t>
  </si>
  <si>
    <t>1,0,0,1,1139,1137,0,0</t>
  </si>
  <si>
    <t>4,0,0,0,1138,0,0</t>
  </si>
  <si>
    <t>1,0,0,2,1130,1150,1160,0,0</t>
  </si>
  <si>
    <t>1,0,0,1,1142,1145,0,0</t>
  </si>
  <si>
    <t>1,0,0,1,1143,1141,0,0</t>
  </si>
  <si>
    <t>1,0,0,1,1144,1142,0,0</t>
  </si>
  <si>
    <t>4,0,0,0,1143,0,0</t>
  </si>
  <si>
    <t>1,0,0,2,1141,1146,1150,0,0</t>
  </si>
  <si>
    <t>1,0,0,1,1147,1145,0,0</t>
  </si>
  <si>
    <t>1,0,0,1,1148,1146,0,0</t>
  </si>
  <si>
    <t>1,0,0,1,1149,1147,0,0</t>
  </si>
  <si>
    <t>4,0,0,0,1148,0,0</t>
  </si>
  <si>
    <t>1,0,0,2,1145,1155,1140,0,0</t>
  </si>
  <si>
    <t>1,0,0,1,1152,1155,0,0</t>
  </si>
  <si>
    <t>1,0,0,1,1153,1151,0,0</t>
  </si>
  <si>
    <t>1,0,0,1,1154,1152,0,0</t>
  </si>
  <si>
    <t>4,0,0,0,1153,0,0</t>
  </si>
  <si>
    <t>1,0,0,2,1151,1156,1150,0,0</t>
  </si>
  <si>
    <t>1,0,0,1,1157,1155,0,0</t>
  </si>
  <si>
    <t>1,0,0,1,1158,1156,0,0</t>
  </si>
  <si>
    <t>1,0,0,1,1159,1157,0,0</t>
  </si>
  <si>
    <t>4,0,0,0,1158,0,0</t>
  </si>
  <si>
    <t>1,0,0,2,1140,1180,1200,0,0</t>
  </si>
  <si>
    <t>1,0,0,1,1162,1165,0,0</t>
  </si>
  <si>
    <t>1,0,0,1,1163,1161,0,0</t>
  </si>
  <si>
    <t>1,0,0,1,1164,1162,0,0</t>
  </si>
  <si>
    <t>4,0,0,0,1163,0,0</t>
  </si>
  <si>
    <t>1,0,0,2,1161,1166,1170,0,0</t>
  </si>
  <si>
    <t>1,0,0,1,1167,1165,0,0</t>
  </si>
  <si>
    <t>1,0,0,1,1168,1166,0,0</t>
  </si>
  <si>
    <t>1,0,0,1,1169,1167,0,0</t>
  </si>
  <si>
    <t>4,0,0,0,1168,0,0</t>
  </si>
  <si>
    <t>1,0,0,2,1165,1175,1180,0,0</t>
  </si>
  <si>
    <t>1,0,0,1,1172,1175,0,0</t>
  </si>
  <si>
    <t>1,0,0,1,1173,1171,0,0</t>
  </si>
  <si>
    <t>1,0,0,1,1174,1172,0,0</t>
  </si>
  <si>
    <t>4,0,0,0,1173,0,0</t>
  </si>
  <si>
    <t>1,0,0,2,1171,1176,1170,0,0</t>
  </si>
  <si>
    <t>1,0,0,1,1177,1175,0,0</t>
  </si>
  <si>
    <t>1,0,0,1,1178,1176,0,0</t>
  </si>
  <si>
    <t>1,0,0,1,1179,1177,0,0</t>
  </si>
  <si>
    <t>4,0,0,0,1178,0,0</t>
  </si>
  <si>
    <t>1,0,0,2,1170,1190,1160,0,0</t>
  </si>
  <si>
    <t>1,0,0,1,1182,1185,0,0</t>
  </si>
  <si>
    <t>1,0,0,1,1183,1181,0,0</t>
  </si>
  <si>
    <t>1,0,0,1,1184,1182,0,0</t>
  </si>
  <si>
    <t>4,0,0,0,1183,0,0</t>
  </si>
  <si>
    <t>1,0,0,2,1181,1186,1190,0,0</t>
  </si>
  <si>
    <t>1,0,0,1,1187,1185,0,0</t>
  </si>
  <si>
    <t>1,0,0,1,1188,1186,0,0</t>
  </si>
  <si>
    <t>1,0,0,1,1189,1187,0,0</t>
  </si>
  <si>
    <t>4,0,0,0,1188,0,0</t>
  </si>
  <si>
    <t>1,0,0,2,1185,1195,1180,0,0</t>
  </si>
  <si>
    <t>1,0,0,1,1192,1195,0,0</t>
  </si>
  <si>
    <t>1,0,0,1,1193,1191,0,0</t>
  </si>
  <si>
    <t>1,0,0,1,1194,1192,0,0</t>
  </si>
  <si>
    <t>4,0,0,0,1193,0,0</t>
  </si>
  <si>
    <t>1,0,0,2,1191,1196,1190,0,0</t>
  </si>
  <si>
    <t>1,0,0,1,1197,1195,0,0</t>
  </si>
  <si>
    <t>1,0,0,1,1198,1196,0,0</t>
  </si>
  <si>
    <t>1,0,0,1,1199,1197,0,0</t>
  </si>
  <si>
    <t>4,0,0,0,1198,0,0</t>
  </si>
  <si>
    <t>1,0,0,2,1160,1240,1120,0,0</t>
  </si>
  <si>
    <t>1,0,0,1,1202,1205,0,0</t>
  </si>
  <si>
    <t>1,0,0,1,1203,1201,0,0</t>
  </si>
  <si>
    <t>1,0,0,1,1204,1202,0,0</t>
  </si>
  <si>
    <t>4,0,0,0,1203,0,0</t>
  </si>
  <si>
    <t>1,0,0,2,1201,1206,1210,0,0</t>
  </si>
  <si>
    <t>1,0,0,1,1207,1205,0,0</t>
  </si>
  <si>
    <t>1,0,0,1,1208,1206,0,0</t>
  </si>
  <si>
    <t>1,0,0,1,1209,1207,0,0</t>
  </si>
  <si>
    <t>4,0,0,0,1208,0,0</t>
  </si>
  <si>
    <t>1,0,0,2,1205,1215,1220,0,0</t>
  </si>
  <si>
    <t>1,0,0,1,1212,1215,0,0</t>
  </si>
  <si>
    <t>1,0,0,1,1213,1211,0,0</t>
  </si>
  <si>
    <t>1,0,0,1,1214,1212,0,0</t>
  </si>
  <si>
    <t>4,0,0,0,1213,0,0</t>
  </si>
  <si>
    <t>1,0,0,2,1211,1216,1210,0,0</t>
  </si>
  <si>
    <t>1,0,0,1,1217,1215,0,0</t>
  </si>
  <si>
    <t>1,0,0,1,1218,1216,0,0</t>
  </si>
  <si>
    <t>1,0,0,1,1219,1217,0,0</t>
  </si>
  <si>
    <t>4,0,0,0,1218,0,0</t>
  </si>
  <si>
    <t>1,0,0,2,1210,1230,1240,0,0</t>
  </si>
  <si>
    <t>1,0,0,1,1222,1225,0,0</t>
  </si>
  <si>
    <t>1,0,0,1,1223,1221,0,0</t>
  </si>
  <si>
    <t>1,0,0,1,1224,1222,0,0</t>
  </si>
  <si>
    <t>4,0,0,0,1223,0,0</t>
  </si>
  <si>
    <t>1,0,0,2,1221,1226,1230,0,0</t>
  </si>
  <si>
    <t>1,0,0,1,1227,1225,0,0</t>
  </si>
  <si>
    <t>1,0,0,1,1228,1226,0,0</t>
  </si>
  <si>
    <t>1,0,0,1,1229,1227,0,0</t>
  </si>
  <si>
    <t>4,0,0,0,1228,0,0</t>
  </si>
  <si>
    <t>1,0,0,2,1225,1235,1220,0,0</t>
  </si>
  <si>
    <t>1,0,0,1,1232,1235,0,0</t>
  </si>
  <si>
    <t>1,0,0,1,1233,1231,0,0</t>
  </si>
  <si>
    <t>1,0,0,1,1234,1232,0,0</t>
  </si>
  <si>
    <t>4,0,0,0,1233,0,0</t>
  </si>
  <si>
    <t>1,0,0,2,1231,1236,1230,0,0</t>
  </si>
  <si>
    <t>1,0,0,1,1237,1235,0,0</t>
  </si>
  <si>
    <t>1,0,0,1,1238,1236,0,0</t>
  </si>
  <si>
    <t>1,0,0,1,1239,1237,0,0</t>
  </si>
  <si>
    <t>4,0,0,0,1238,0,0</t>
  </si>
  <si>
    <t>1,0,0,2,1220,1260,1200,0,0</t>
  </si>
  <si>
    <t>1,0,0,1,1242,1245,0,0</t>
  </si>
  <si>
    <t>1,0,0,1,1243,1241,0,0</t>
  </si>
  <si>
    <t>1,0,0,1,1244,1242,0,0</t>
  </si>
  <si>
    <t>4,0,0,0,1243,0,0</t>
  </si>
  <si>
    <t>1,0,0,2,1241,1246,1250,0,0</t>
  </si>
  <si>
    <t>1,0,0,1,1247,1245,0,0</t>
  </si>
  <si>
    <t>1,0,0,1,1248,1246,0,0</t>
  </si>
  <si>
    <t>1,0,0,1,1249,1247,0,0</t>
  </si>
  <si>
    <t>4,0,0,0,1248,0,0</t>
  </si>
  <si>
    <t>1,0,0,2,1245,1255,1260,0,0</t>
  </si>
  <si>
    <t>1,0,0,1,1252,1255,0,0</t>
  </si>
  <si>
    <t>1,0,0,1,1253,1251,0,0</t>
  </si>
  <si>
    <t>1,0,0,1,1254,1252,0,0</t>
  </si>
  <si>
    <t>4,0,0,0,1253,0,0</t>
  </si>
  <si>
    <t>1,0,0,2,1251,1256,1250,0,0</t>
  </si>
  <si>
    <t>1,0,0,1,1257,1255,0,0</t>
  </si>
  <si>
    <t>1,0,0,1,1258,1256,0,0</t>
  </si>
  <si>
    <t>1,0,0,1,1259,1257,0,0</t>
  </si>
  <si>
    <t>4,0,0,0,1258,0,0</t>
  </si>
  <si>
    <t>1,0,0,2,1250,1270,1240,0,0</t>
  </si>
  <si>
    <t>1,0,0,1,1262,1265,0,0</t>
  </si>
  <si>
    <t>1,0,0,1,1263,1261,0,0</t>
  </si>
  <si>
    <t>1,0,0,1,1264,1262,0,0</t>
  </si>
  <si>
    <t>4,0,0,0,1263,0,0</t>
  </si>
  <si>
    <t>1,0,0,2,1261,1266,1270,0,0</t>
  </si>
  <si>
    <t>1,0,0,1,1267,1265,0,0</t>
  </si>
  <si>
    <t>1,0,0,1,1268,1266,0,0</t>
  </si>
  <si>
    <t>1,0,0,1,1269,1267,0,0</t>
  </si>
  <si>
    <t>4,0,0,0,1268,0,0</t>
  </si>
  <si>
    <t>1,0,0,2,1265,1275,1260,0,0</t>
  </si>
  <si>
    <t>1,0,0,1,1272,1275,0,0</t>
  </si>
  <si>
    <t>1,0,0,1,1273,1271,0,0</t>
  </si>
  <si>
    <t>1,0,0,1,1274,1272,0,0</t>
  </si>
  <si>
    <t>4,0,0,0,1273,0,0</t>
  </si>
  <si>
    <t>1,0,0,2,1271,1276,1270,0,0</t>
  </si>
  <si>
    <t>1,0,0,1,1277,1275,0,0</t>
  </si>
  <si>
    <t>1,0,0,1,1278,1276,0,0</t>
  </si>
  <si>
    <t>1,0,0,1,1279,1277,0,0</t>
  </si>
  <si>
    <t>4,0,0,0,1278,0,0</t>
  </si>
  <si>
    <t>1,1,640,0,0,Exponential, 0,0,-1,0,-1,-1,.0001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</si>
</sst>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8" x14ac:knownFonts="1">
    <font>
      <sz val="11"/>
      <color theme="1"/>
      <name val="Calibri"/>
      <family val="2"/>
      <scheme val="minor"/>
    </font>
    <font>
      <sz val="6"/>
      <color rgb="FF000080"/>
      <name val="Small Fonts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b/>
      <sz val="8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0" fillId="2" borderId="2" xfId="0" applyNumberFormat="1" applyFill="1" applyBorder="1"/>
    <xf numFmtId="0" fontId="0" fillId="2" borderId="4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213706</xdr:colOff>
      <xdr:row>26</xdr:row>
      <xdr:rowOff>142430</xdr:rowOff>
    </xdr:from>
    <xdr:to>
      <xdr:col>1</xdr:col>
      <xdr:colOff>1321715</xdr:colOff>
      <xdr:row>34</xdr:row>
      <xdr:rowOff>52388</xdr:rowOff>
    </xdr:to>
    <xdr:cxnSp macro="_xll.PtreeEvent_ObjectClick">
      <xdr:nvCxnSpPr>
        <xdr:cNvPr id="143" name="PTObj_IDiagArc_1_4">
          <a:extLst>
            <a:ext uri="{FF2B5EF4-FFF2-40B4-BE49-F238E27FC236}">
              <a16:creationId xmlns:a16="http://schemas.microsoft.com/office/drawing/2014/main" id="{27715F16-E06A-4D7E-AD64-264AF284D019}"/>
            </a:ext>
          </a:extLst>
        </xdr:cNvPr>
        <xdr:cNvCxnSpPr/>
      </xdr:nvCxnSpPr>
      <xdr:spPr>
        <a:xfrm flipV="1">
          <a:off x="1463386" y="5304980"/>
          <a:ext cx="1108009" cy="137299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39687</xdr:colOff>
      <xdr:row>25</xdr:row>
      <xdr:rowOff>139385</xdr:rowOff>
    </xdr:from>
    <xdr:to>
      <xdr:col>1</xdr:col>
      <xdr:colOff>1178532</xdr:colOff>
      <xdr:row>28</xdr:row>
      <xdr:rowOff>104697</xdr:rowOff>
    </xdr:to>
    <xdr:cxnSp macro="_xll.PtreeEvent_ObjectClick">
      <xdr:nvCxnSpPr>
        <xdr:cNvPr id="142" name="PTObj_IDiagArc_1_3">
          <a:extLst>
            <a:ext uri="{FF2B5EF4-FFF2-40B4-BE49-F238E27FC236}">
              <a16:creationId xmlns:a16="http://schemas.microsoft.com/office/drawing/2014/main" id="{32082C80-E667-41C4-8A96-A0B66C2F41AF}"/>
            </a:ext>
          </a:extLst>
        </xdr:cNvPr>
        <xdr:cNvCxnSpPr/>
      </xdr:nvCxnSpPr>
      <xdr:spPr>
        <a:xfrm flipV="1">
          <a:off x="1289367" y="5119055"/>
          <a:ext cx="1138845" cy="51395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1230313</xdr:colOff>
      <xdr:row>22</xdr:row>
      <xdr:rowOff>142280</xdr:rowOff>
    </xdr:from>
    <xdr:to>
      <xdr:col>1</xdr:col>
      <xdr:colOff>1143228</xdr:colOff>
      <xdr:row>24</xdr:row>
      <xdr:rowOff>13460</xdr:rowOff>
    </xdr:to>
    <xdr:cxnSp macro="_xll.PtreeEvent_ObjectClick">
      <xdr:nvCxnSpPr>
        <xdr:cNvPr id="141" name="PTObj_IDiagArc_1_2">
          <a:extLst>
            <a:ext uri="{FF2B5EF4-FFF2-40B4-BE49-F238E27FC236}">
              <a16:creationId xmlns:a16="http://schemas.microsoft.com/office/drawing/2014/main" id="{270161AB-1CE1-48A3-AA95-C6475CF9207B}"/>
            </a:ext>
          </a:extLst>
        </xdr:cNvPr>
        <xdr:cNvCxnSpPr/>
      </xdr:nvCxnSpPr>
      <xdr:spPr>
        <a:xfrm>
          <a:off x="1230313" y="4573310"/>
          <a:ext cx="1162595" cy="23694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254000</xdr:colOff>
      <xdr:row>17</xdr:row>
      <xdr:rowOff>39917</xdr:rowOff>
    </xdr:from>
    <xdr:to>
      <xdr:col>1</xdr:col>
      <xdr:colOff>1278630</xdr:colOff>
      <xdr:row>22</xdr:row>
      <xdr:rowOff>122267</xdr:rowOff>
    </xdr:to>
    <xdr:cxnSp macro="_xll.PtreeEvent_ObjectClick">
      <xdr:nvCxnSpPr>
        <xdr:cNvPr id="140" name="PTObj_IDiagArc_1_1">
          <a:extLst>
            <a:ext uri="{FF2B5EF4-FFF2-40B4-BE49-F238E27FC236}">
              <a16:creationId xmlns:a16="http://schemas.microsoft.com/office/drawing/2014/main" id="{8975E10A-8F22-4C6E-9BA6-834A5E835EEC}"/>
            </a:ext>
          </a:extLst>
        </xdr:cNvPr>
        <xdr:cNvCxnSpPr/>
      </xdr:nvCxnSpPr>
      <xdr:spPr>
        <a:xfrm>
          <a:off x="1503680" y="3556547"/>
          <a:ext cx="1024630" cy="99675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1612726</xdr:colOff>
      <xdr:row>27</xdr:row>
      <xdr:rowOff>72939</xdr:rowOff>
    </xdr:from>
    <xdr:to>
      <xdr:col>1</xdr:col>
      <xdr:colOff>1632127</xdr:colOff>
      <xdr:row>33</xdr:row>
      <xdr:rowOff>28575</xdr:rowOff>
    </xdr:to>
    <xdr:cxnSp macro="_xll.PtreeEvent_ObjectClick">
      <xdr:nvCxnSpPr>
        <xdr:cNvPr id="139" name="PTObj_IDiagArc_1_16">
          <a:extLst>
            <a:ext uri="{FF2B5EF4-FFF2-40B4-BE49-F238E27FC236}">
              <a16:creationId xmlns:a16="http://schemas.microsoft.com/office/drawing/2014/main" id="{8486B06F-8E5A-41DC-94D5-236B13ED49F6}"/>
            </a:ext>
          </a:extLst>
        </xdr:cNvPr>
        <xdr:cNvCxnSpPr/>
      </xdr:nvCxnSpPr>
      <xdr:spPr>
        <a:xfrm flipH="1">
          <a:off x="2862406" y="5418369"/>
          <a:ext cx="19401" cy="105291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782637</xdr:colOff>
      <xdr:row>25</xdr:row>
      <xdr:rowOff>1499</xdr:rowOff>
    </xdr:from>
    <xdr:to>
      <xdr:col>5</xdr:col>
      <xdr:colOff>313506</xdr:colOff>
      <xdr:row>25</xdr:row>
      <xdr:rowOff>28756</xdr:rowOff>
    </xdr:to>
    <xdr:cxnSp macro="_xll.PtreeEvent_ObjectClick">
      <xdr:nvCxnSpPr>
        <xdr:cNvPr id="113" name="PTObj_IDiagArc_1_15">
          <a:extLst>
            <a:ext uri="{FF2B5EF4-FFF2-40B4-BE49-F238E27FC236}">
              <a16:creationId xmlns:a16="http://schemas.microsoft.com/office/drawing/2014/main" id="{A108E8DB-348F-4C24-8ECB-E6F7D5AAD45C}"/>
            </a:ext>
          </a:extLst>
        </xdr:cNvPr>
        <xdr:cNvCxnSpPr/>
      </xdr:nvCxnSpPr>
      <xdr:spPr>
        <a:xfrm>
          <a:off x="8025447" y="4979264"/>
          <a:ext cx="1794009" cy="2916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257579</xdr:colOff>
      <xdr:row>17</xdr:row>
      <xdr:rowOff>51117</xdr:rowOff>
    </xdr:from>
    <xdr:to>
      <xdr:col>4</xdr:col>
      <xdr:colOff>267909</xdr:colOff>
      <xdr:row>22</xdr:row>
      <xdr:rowOff>33338</xdr:rowOff>
    </xdr:to>
    <xdr:cxnSp macro="_xll.PtreeEvent_ObjectClick">
      <xdr:nvCxnSpPr>
        <xdr:cNvPr id="111" name="PTObj_IDiagArc_1_14">
          <a:extLst>
            <a:ext uri="{FF2B5EF4-FFF2-40B4-BE49-F238E27FC236}">
              <a16:creationId xmlns:a16="http://schemas.microsoft.com/office/drawing/2014/main" id="{0689152B-640D-4AB9-8544-3C0C0ECA612F}"/>
            </a:ext>
          </a:extLst>
        </xdr:cNvPr>
        <xdr:cNvCxnSpPr/>
      </xdr:nvCxnSpPr>
      <xdr:spPr>
        <a:xfrm>
          <a:off x="7500389" y="3567747"/>
          <a:ext cx="10330" cy="89662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1771033</xdr:colOff>
      <xdr:row>17</xdr:row>
      <xdr:rowOff>51117</xdr:rowOff>
    </xdr:from>
    <xdr:to>
      <xdr:col>3</xdr:col>
      <xdr:colOff>1858883</xdr:colOff>
      <xdr:row>32</xdr:row>
      <xdr:rowOff>119062</xdr:rowOff>
    </xdr:to>
    <xdr:cxnSp macro="_xll.PtreeEvent_ObjectClick">
      <xdr:nvCxnSpPr>
        <xdr:cNvPr id="102" name="PTObj_IDiagArc_1_13">
          <a:extLst>
            <a:ext uri="{FF2B5EF4-FFF2-40B4-BE49-F238E27FC236}">
              <a16:creationId xmlns:a16="http://schemas.microsoft.com/office/drawing/2014/main" id="{0DF05A08-A3C9-4791-8389-F14B90AD93D9}"/>
            </a:ext>
          </a:extLst>
        </xdr:cNvPr>
        <xdr:cNvCxnSpPr/>
      </xdr:nvCxnSpPr>
      <xdr:spPr>
        <a:xfrm flipV="1">
          <a:off x="5059063" y="3567747"/>
          <a:ext cx="2061430" cy="2811145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1920875</xdr:colOff>
      <xdr:row>16</xdr:row>
      <xdr:rowOff>146655</xdr:rowOff>
    </xdr:from>
    <xdr:to>
      <xdr:col>3</xdr:col>
      <xdr:colOff>1724025</xdr:colOff>
      <xdr:row>24</xdr:row>
      <xdr:rowOff>167352</xdr:rowOff>
    </xdr:to>
    <xdr:cxnSp macro="_xll.PtreeEvent_ObjectClick">
      <xdr:nvCxnSpPr>
        <xdr:cNvPr id="101" name="PTObj_IDiagArc_1_11">
          <a:extLst>
            <a:ext uri="{FF2B5EF4-FFF2-40B4-BE49-F238E27FC236}">
              <a16:creationId xmlns:a16="http://schemas.microsoft.com/office/drawing/2014/main" id="{C56DE9C4-136C-4C6A-BAC3-F20F85B33522}"/>
            </a:ext>
          </a:extLst>
        </xdr:cNvPr>
        <xdr:cNvCxnSpPr/>
      </xdr:nvCxnSpPr>
      <xdr:spPr>
        <a:xfrm flipV="1">
          <a:off x="5208905" y="3480405"/>
          <a:ext cx="1776730" cy="148373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1873250</xdr:colOff>
      <xdr:row>15</xdr:row>
      <xdr:rowOff>27168</xdr:rowOff>
    </xdr:from>
    <xdr:to>
      <xdr:col>3</xdr:col>
      <xdr:colOff>1724025</xdr:colOff>
      <xdr:row>17</xdr:row>
      <xdr:rowOff>93481</xdr:rowOff>
    </xdr:to>
    <xdr:cxnSp macro="_xll.PtreeEvent_ObjectClick">
      <xdr:nvCxnSpPr>
        <xdr:cNvPr id="100" name="PTObj_IDiagArc_1_12">
          <a:extLst>
            <a:ext uri="{FF2B5EF4-FFF2-40B4-BE49-F238E27FC236}">
              <a16:creationId xmlns:a16="http://schemas.microsoft.com/office/drawing/2014/main" id="{C87CB384-3F76-4565-9118-E4E3BD58E2D9}"/>
            </a:ext>
          </a:extLst>
        </xdr:cNvPr>
        <xdr:cNvCxnSpPr/>
      </xdr:nvCxnSpPr>
      <xdr:spPr>
        <a:xfrm flipV="1">
          <a:off x="5161280" y="3178038"/>
          <a:ext cx="1824355" cy="43207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1906588</xdr:colOff>
      <xdr:row>26</xdr:row>
      <xdr:rowOff>153800</xdr:rowOff>
    </xdr:from>
    <xdr:to>
      <xdr:col>3</xdr:col>
      <xdr:colOff>1747837</xdr:colOff>
      <xdr:row>33</xdr:row>
      <xdr:rowOff>101153</xdr:rowOff>
    </xdr:to>
    <xdr:cxnSp macro="_xll.PtreeEvent_ObjectClick">
      <xdr:nvCxnSpPr>
        <xdr:cNvPr id="94" name="PTObj_IDiagArc_1_10">
          <a:extLst>
            <a:ext uri="{FF2B5EF4-FFF2-40B4-BE49-F238E27FC236}">
              <a16:creationId xmlns:a16="http://schemas.microsoft.com/office/drawing/2014/main" id="{F978DBD8-BA10-48AE-9CD2-AAAED33D3F8F}"/>
            </a:ext>
          </a:extLst>
        </xdr:cNvPr>
        <xdr:cNvCxnSpPr/>
      </xdr:nvCxnSpPr>
      <xdr:spPr>
        <a:xfrm flipV="1">
          <a:off x="5194618" y="5316350"/>
          <a:ext cx="1814829" cy="122751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1920875</xdr:colOff>
      <xdr:row>25</xdr:row>
      <xdr:rowOff>68211</xdr:rowOff>
    </xdr:from>
    <xdr:to>
      <xdr:col>3</xdr:col>
      <xdr:colOff>1747837</xdr:colOff>
      <xdr:row>26</xdr:row>
      <xdr:rowOff>148642</xdr:rowOff>
    </xdr:to>
    <xdr:cxnSp macro="_xll.PtreeEvent_ObjectClick">
      <xdr:nvCxnSpPr>
        <xdr:cNvPr id="92" name="PTObj_IDiagArc_1_9">
          <a:extLst>
            <a:ext uri="{FF2B5EF4-FFF2-40B4-BE49-F238E27FC236}">
              <a16:creationId xmlns:a16="http://schemas.microsoft.com/office/drawing/2014/main" id="{75829D7C-AF6F-47A2-8670-36F58AB9988D}"/>
            </a:ext>
          </a:extLst>
        </xdr:cNvPr>
        <xdr:cNvCxnSpPr/>
      </xdr:nvCxnSpPr>
      <xdr:spPr>
        <a:xfrm flipV="1">
          <a:off x="5208905" y="5047881"/>
          <a:ext cx="1800542" cy="26331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1873250</xdr:colOff>
      <xdr:row>19</xdr:row>
      <xdr:rowOff>68200</xdr:rowOff>
    </xdr:from>
    <xdr:to>
      <xdr:col>3</xdr:col>
      <xdr:colOff>1747837</xdr:colOff>
      <xdr:row>23</xdr:row>
      <xdr:rowOff>138175</xdr:rowOff>
    </xdr:to>
    <xdr:cxnSp macro="_xll.PtreeEvent_ObjectClick">
      <xdr:nvCxnSpPr>
        <xdr:cNvPr id="78" name="PTObj_IDiagArc_1_8">
          <a:extLst>
            <a:ext uri="{FF2B5EF4-FFF2-40B4-BE49-F238E27FC236}">
              <a16:creationId xmlns:a16="http://schemas.microsoft.com/office/drawing/2014/main" id="{DC6B8773-93E9-4F58-8A30-37A8D1FF939A}"/>
            </a:ext>
          </a:extLst>
        </xdr:cNvPr>
        <xdr:cNvCxnSpPr/>
      </xdr:nvCxnSpPr>
      <xdr:spPr>
        <a:xfrm>
          <a:off x="5161280" y="3950590"/>
          <a:ext cx="1848167" cy="801495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1982109</xdr:colOff>
      <xdr:row>26</xdr:row>
      <xdr:rowOff>124531</xdr:rowOff>
    </xdr:from>
    <xdr:to>
      <xdr:col>2</xdr:col>
      <xdr:colOff>938573</xdr:colOff>
      <xdr:row>32</xdr:row>
      <xdr:rowOff>119062</xdr:rowOff>
    </xdr:to>
    <xdr:cxnSp macro="_xll.PtreeEvent_ObjectClick">
      <xdr:nvCxnSpPr>
        <xdr:cNvPr id="67" name="PTObj_IDiagArc_1_7">
          <a:extLst>
            <a:ext uri="{FF2B5EF4-FFF2-40B4-BE49-F238E27FC236}">
              <a16:creationId xmlns:a16="http://schemas.microsoft.com/office/drawing/2014/main" id="{2B90A254-124E-4B1C-A464-10F66A4B5EEF}"/>
            </a:ext>
          </a:extLst>
        </xdr:cNvPr>
        <xdr:cNvCxnSpPr/>
      </xdr:nvCxnSpPr>
      <xdr:spPr>
        <a:xfrm>
          <a:off x="3231789" y="5287081"/>
          <a:ext cx="994814" cy="109181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93857</xdr:colOff>
      <xdr:row>25</xdr:row>
      <xdr:rowOff>61401</xdr:rowOff>
    </xdr:from>
    <xdr:to>
      <xdr:col>2</xdr:col>
      <xdr:colOff>904875</xdr:colOff>
      <xdr:row>26</xdr:row>
      <xdr:rowOff>88212</xdr:rowOff>
    </xdr:to>
    <xdr:cxnSp macro="_xll.PtreeEvent_ObjectClick">
      <xdr:nvCxnSpPr>
        <xdr:cNvPr id="65" name="PTObj_IDiagArc_1_6">
          <a:extLst>
            <a:ext uri="{FF2B5EF4-FFF2-40B4-BE49-F238E27FC236}">
              <a16:creationId xmlns:a16="http://schemas.microsoft.com/office/drawing/2014/main" id="{7688A789-E8C5-4FB0-9462-B96947AF246D}"/>
            </a:ext>
          </a:extLst>
        </xdr:cNvPr>
        <xdr:cNvCxnSpPr/>
      </xdr:nvCxnSpPr>
      <xdr:spPr>
        <a:xfrm>
          <a:off x="3381887" y="5041071"/>
          <a:ext cx="811018" cy="20969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25339</xdr:colOff>
      <xdr:row>20</xdr:row>
      <xdr:rowOff>4922</xdr:rowOff>
    </xdr:from>
    <xdr:to>
      <xdr:col>2</xdr:col>
      <xdr:colOff>857250</xdr:colOff>
      <xdr:row>23</xdr:row>
      <xdr:rowOff>12575</xdr:rowOff>
    </xdr:to>
    <xdr:cxnSp macro="_xll.PtreeEvent_ObjectClick">
      <xdr:nvCxnSpPr>
        <xdr:cNvPr id="63" name="PTObj_IDiagArc_1_5">
          <a:extLst>
            <a:ext uri="{FF2B5EF4-FFF2-40B4-BE49-F238E27FC236}">
              <a16:creationId xmlns:a16="http://schemas.microsoft.com/office/drawing/2014/main" id="{E3FE72DC-E1FA-4FE8-9698-BCF3ACDD3CC5}"/>
            </a:ext>
          </a:extLst>
        </xdr:cNvPr>
        <xdr:cNvCxnSpPr/>
      </xdr:nvCxnSpPr>
      <xdr:spPr>
        <a:xfrm flipV="1">
          <a:off x="3313369" y="4070192"/>
          <a:ext cx="831911" cy="55629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66809</xdr:colOff>
      <xdr:row>0</xdr:row>
      <xdr:rowOff>67801</xdr:rowOff>
    </xdr:from>
    <xdr:to>
      <xdr:col>1</xdr:col>
      <xdr:colOff>721861</xdr:colOff>
      <xdr:row>0</xdr:row>
      <xdr:rowOff>248428</xdr:rowOff>
    </xdr:to>
    <xdr:sp macro="_xll.PtreeEvent_ObjectClick" textlink="">
      <xdr:nvSpPr>
        <xdr:cNvPr id="2" name="PTObj_IDiagName_1_0">
          <a:extLst>
            <a:ext uri="{FF2B5EF4-FFF2-40B4-BE49-F238E27FC236}">
              <a16:creationId xmlns:a16="http://schemas.microsoft.com/office/drawing/2014/main" id="{417FAB4B-074E-4B82-A3AA-49420A82954C}"/>
            </a:ext>
          </a:extLst>
        </xdr:cNvPr>
        <xdr:cNvSpPr txBox="1"/>
      </xdr:nvSpPr>
      <xdr:spPr>
        <a:xfrm>
          <a:off x="1316489" y="67801"/>
          <a:ext cx="65505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Loan Approval</a:t>
          </a:r>
        </a:p>
      </xdr:txBody>
    </xdr:sp>
    <xdr:clientData/>
  </xdr:twoCellAnchor>
  <xdr:twoCellAnchor editAs="absolute">
    <xdr:from>
      <xdr:col>5</xdr:col>
      <xdr:colOff>306703</xdr:colOff>
      <xdr:row>22</xdr:row>
      <xdr:rowOff>76200</xdr:rowOff>
    </xdr:from>
    <xdr:to>
      <xdr:col>5</xdr:col>
      <xdr:colOff>1322703</xdr:colOff>
      <xdr:row>27</xdr:row>
      <xdr:rowOff>177800</xdr:rowOff>
    </xdr:to>
    <xdr:sp macro="" textlink="">
      <xdr:nvSpPr>
        <xdr:cNvPr id="5" name="PTObj_IDiagNode_1_1">
          <a:extLst>
            <a:ext uri="{FF2B5EF4-FFF2-40B4-BE49-F238E27FC236}">
              <a16:creationId xmlns:a16="http://schemas.microsoft.com/office/drawing/2014/main" id="{7773B305-5D05-4F2A-9A0E-0647C42BFFFB}"/>
            </a:ext>
          </a:extLst>
        </xdr:cNvPr>
        <xdr:cNvSpPr/>
      </xdr:nvSpPr>
      <xdr:spPr>
        <a:xfrm>
          <a:off x="9807891" y="4467225"/>
          <a:ext cx="1016000" cy="1006475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471019</xdr:colOff>
      <xdr:row>24</xdr:row>
      <xdr:rowOff>128126</xdr:rowOff>
    </xdr:from>
    <xdr:to>
      <xdr:col>5</xdr:col>
      <xdr:colOff>1158387</xdr:colOff>
      <xdr:row>25</xdr:row>
      <xdr:rowOff>125873</xdr:rowOff>
    </xdr:to>
    <xdr:sp macro="_xll.PtreeEvent_ObjectClick" textlink="">
      <xdr:nvSpPr>
        <xdr:cNvPr id="6" name="PTObj_IDiagNodeTxt_1_1">
          <a:extLst>
            <a:ext uri="{FF2B5EF4-FFF2-40B4-BE49-F238E27FC236}">
              <a16:creationId xmlns:a16="http://schemas.microsoft.com/office/drawing/2014/main" id="{A07248AE-23AC-4CE8-A9A2-4716C6B80353}"/>
            </a:ext>
          </a:extLst>
        </xdr:cNvPr>
        <xdr:cNvSpPr txBox="1"/>
      </xdr:nvSpPr>
      <xdr:spPr>
        <a:xfrm>
          <a:off x="9976969" y="4924916"/>
          <a:ext cx="68736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Loan Approved</a:t>
          </a:r>
        </a:p>
      </xdr:txBody>
    </xdr:sp>
    <xdr:clientData/>
  </xdr:twoCellAnchor>
  <xdr:twoCellAnchor editAs="absolute">
    <xdr:from>
      <xdr:col>0</xdr:col>
      <xdr:colOff>485775</xdr:colOff>
      <xdr:row>11</xdr:row>
      <xdr:rowOff>128587</xdr:rowOff>
    </xdr:from>
    <xdr:to>
      <xdr:col>1</xdr:col>
      <xdr:colOff>254000</xdr:colOff>
      <xdr:row>17</xdr:row>
      <xdr:rowOff>51117</xdr:rowOff>
    </xdr:to>
    <xdr:sp macro="" textlink="">
      <xdr:nvSpPr>
        <xdr:cNvPr id="9" name="PTObj_IDiagNode_1_2">
          <a:extLst>
            <a:ext uri="{FF2B5EF4-FFF2-40B4-BE49-F238E27FC236}">
              <a16:creationId xmlns:a16="http://schemas.microsoft.com/office/drawing/2014/main" id="{0B53443C-BF6F-47C0-8E96-44C26C20C3FC}"/>
            </a:ext>
          </a:extLst>
        </xdr:cNvPr>
        <xdr:cNvSpPr/>
      </xdr:nvSpPr>
      <xdr:spPr>
        <a:xfrm>
          <a:off x="485775" y="2528887"/>
          <a:ext cx="1016000" cy="100838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386291</xdr:colOff>
      <xdr:row>14</xdr:row>
      <xdr:rowOff>1443</xdr:rowOff>
    </xdr:from>
    <xdr:to>
      <xdr:col>1</xdr:col>
      <xdr:colOff>353484</xdr:colOff>
      <xdr:row>14</xdr:row>
      <xdr:rowOff>180165</xdr:rowOff>
    </xdr:to>
    <xdr:sp macro="_xll.PtreeEvent_ObjectClick" textlink="">
      <xdr:nvSpPr>
        <xdr:cNvPr id="10" name="PTObj_IDiagNodeTxt_1_2">
          <a:extLst>
            <a:ext uri="{FF2B5EF4-FFF2-40B4-BE49-F238E27FC236}">
              <a16:creationId xmlns:a16="http://schemas.microsoft.com/office/drawing/2014/main" id="{11670BCC-4929-4949-9C18-2AB33FE354E2}"/>
            </a:ext>
          </a:extLst>
        </xdr:cNvPr>
        <xdr:cNvSpPr txBox="1"/>
      </xdr:nvSpPr>
      <xdr:spPr>
        <a:xfrm>
          <a:off x="386291" y="2967528"/>
          <a:ext cx="121687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Employement Identification</a:t>
          </a:r>
        </a:p>
      </xdr:txBody>
    </xdr:sp>
    <xdr:clientData/>
  </xdr:twoCellAnchor>
  <xdr:twoCellAnchor editAs="absolute">
    <xdr:from>
      <xdr:col>0</xdr:col>
      <xdr:colOff>214313</xdr:colOff>
      <xdr:row>19</xdr:row>
      <xdr:rowOff>80962</xdr:rowOff>
    </xdr:from>
    <xdr:to>
      <xdr:col>0</xdr:col>
      <xdr:colOff>1230313</xdr:colOff>
      <xdr:row>25</xdr:row>
      <xdr:rowOff>1587</xdr:rowOff>
    </xdr:to>
    <xdr:sp macro="" textlink="">
      <xdr:nvSpPr>
        <xdr:cNvPr id="13" name="PTObj_IDiagNode_1_3">
          <a:extLst>
            <a:ext uri="{FF2B5EF4-FFF2-40B4-BE49-F238E27FC236}">
              <a16:creationId xmlns:a16="http://schemas.microsoft.com/office/drawing/2014/main" id="{801B299D-76CB-438E-A068-F4E613232487}"/>
            </a:ext>
          </a:extLst>
        </xdr:cNvPr>
        <xdr:cNvSpPr/>
      </xdr:nvSpPr>
      <xdr:spPr>
        <a:xfrm>
          <a:off x="214313" y="3929062"/>
          <a:ext cx="1016000" cy="1006475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307360</xdr:colOff>
      <xdr:row>21</xdr:row>
      <xdr:rowOff>133841</xdr:rowOff>
    </xdr:from>
    <xdr:to>
      <xdr:col>0</xdr:col>
      <xdr:colOff>1137267</xdr:colOff>
      <xdr:row>22</xdr:row>
      <xdr:rowOff>131588</xdr:rowOff>
    </xdr:to>
    <xdr:sp macro="_xll.PtreeEvent_ObjectClick" textlink="">
      <xdr:nvSpPr>
        <xdr:cNvPr id="14" name="PTObj_IDiagNodeTxt_1_3">
          <a:extLst>
            <a:ext uri="{FF2B5EF4-FFF2-40B4-BE49-F238E27FC236}">
              <a16:creationId xmlns:a16="http://schemas.microsoft.com/office/drawing/2014/main" id="{5C3F0D9F-F53E-447D-BB22-54773A6CAA3A}"/>
            </a:ext>
          </a:extLst>
        </xdr:cNvPr>
        <xdr:cNvSpPr txBox="1"/>
      </xdr:nvSpPr>
      <xdr:spPr>
        <a:xfrm>
          <a:off x="307360" y="4381991"/>
          <a:ext cx="82990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Credit Information</a:t>
          </a:r>
        </a:p>
      </xdr:txBody>
    </xdr:sp>
    <xdr:clientData/>
  </xdr:twoCellAnchor>
  <xdr:twoCellAnchor editAs="absolute">
    <xdr:from>
      <xdr:col>0</xdr:col>
      <xdr:colOff>271462</xdr:colOff>
      <xdr:row>27</xdr:row>
      <xdr:rowOff>9525</xdr:rowOff>
    </xdr:from>
    <xdr:to>
      <xdr:col>1</xdr:col>
      <xdr:colOff>39687</xdr:colOff>
      <xdr:row>32</xdr:row>
      <xdr:rowOff>111125</xdr:rowOff>
    </xdr:to>
    <xdr:sp macro="" textlink="">
      <xdr:nvSpPr>
        <xdr:cNvPr id="17" name="PTObj_IDiagNode_1_4">
          <a:extLst>
            <a:ext uri="{FF2B5EF4-FFF2-40B4-BE49-F238E27FC236}">
              <a16:creationId xmlns:a16="http://schemas.microsoft.com/office/drawing/2014/main" id="{C31E2197-FD52-45A1-B67A-EAB532F2C7C2}"/>
            </a:ext>
          </a:extLst>
        </xdr:cNvPr>
        <xdr:cNvSpPr/>
      </xdr:nvSpPr>
      <xdr:spPr>
        <a:xfrm>
          <a:off x="271462" y="5305425"/>
          <a:ext cx="1016000" cy="1006475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374245</xdr:colOff>
      <xdr:row>29</xdr:row>
      <xdr:rowOff>61451</xdr:rowOff>
    </xdr:from>
    <xdr:to>
      <xdr:col>0</xdr:col>
      <xdr:colOff>1186583</xdr:colOff>
      <xdr:row>30</xdr:row>
      <xdr:rowOff>59198</xdr:rowOff>
    </xdr:to>
    <xdr:sp macro="_xll.PtreeEvent_ObjectClick" textlink="">
      <xdr:nvSpPr>
        <xdr:cNvPr id="18" name="PTObj_IDiagNodeTxt_1_4">
          <a:extLst>
            <a:ext uri="{FF2B5EF4-FFF2-40B4-BE49-F238E27FC236}">
              <a16:creationId xmlns:a16="http://schemas.microsoft.com/office/drawing/2014/main" id="{D04383E4-E217-4140-8DC3-C4A6C366000B}"/>
            </a:ext>
          </a:extLst>
        </xdr:cNvPr>
        <xdr:cNvSpPr txBox="1"/>
      </xdr:nvSpPr>
      <xdr:spPr>
        <a:xfrm>
          <a:off x="374245" y="5772641"/>
          <a:ext cx="81233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Public Record Info</a:t>
          </a:r>
        </a:p>
      </xdr:txBody>
    </xdr:sp>
    <xdr:clientData/>
  </xdr:twoCellAnchor>
  <xdr:twoCellAnchor editAs="absolute">
    <xdr:from>
      <xdr:col>0</xdr:col>
      <xdr:colOff>542925</xdr:colOff>
      <xdr:row>34</xdr:row>
      <xdr:rowOff>52388</xdr:rowOff>
    </xdr:from>
    <xdr:to>
      <xdr:col>1</xdr:col>
      <xdr:colOff>311150</xdr:colOff>
      <xdr:row>39</xdr:row>
      <xdr:rowOff>153988</xdr:rowOff>
    </xdr:to>
    <xdr:sp macro="" textlink="">
      <xdr:nvSpPr>
        <xdr:cNvPr id="21" name="PTObj_IDiagNode_1_5">
          <a:extLst>
            <a:ext uri="{FF2B5EF4-FFF2-40B4-BE49-F238E27FC236}">
              <a16:creationId xmlns:a16="http://schemas.microsoft.com/office/drawing/2014/main" id="{50DEB845-FCC6-4065-9CFA-0CFB8DEA64BF}"/>
            </a:ext>
          </a:extLst>
        </xdr:cNvPr>
        <xdr:cNvSpPr/>
      </xdr:nvSpPr>
      <xdr:spPr>
        <a:xfrm>
          <a:off x="542925" y="6615113"/>
          <a:ext cx="1016000" cy="1006475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843359</xdr:colOff>
      <xdr:row>36</xdr:row>
      <xdr:rowOff>104314</xdr:rowOff>
    </xdr:from>
    <xdr:to>
      <xdr:col>1</xdr:col>
      <xdr:colOff>10716</xdr:colOff>
      <xdr:row>37</xdr:row>
      <xdr:rowOff>102061</xdr:rowOff>
    </xdr:to>
    <xdr:sp macro="_xll.PtreeEvent_ObjectClick" textlink="">
      <xdr:nvSpPr>
        <xdr:cNvPr id="22" name="PTObj_IDiagNodeTxt_1_5">
          <a:extLst>
            <a:ext uri="{FF2B5EF4-FFF2-40B4-BE49-F238E27FC236}">
              <a16:creationId xmlns:a16="http://schemas.microsoft.com/office/drawing/2014/main" id="{E212CA69-A709-4187-8BFD-C89258CECA92}"/>
            </a:ext>
          </a:extLst>
        </xdr:cNvPr>
        <xdr:cNvSpPr txBox="1"/>
      </xdr:nvSpPr>
      <xdr:spPr>
        <a:xfrm>
          <a:off x="843359" y="7095664"/>
          <a:ext cx="41703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Inquiries</a:t>
          </a:r>
        </a:p>
      </xdr:txBody>
    </xdr:sp>
    <xdr:clientData/>
  </xdr:twoCellAnchor>
  <xdr:twoCellAnchor editAs="absolute">
    <xdr:from>
      <xdr:col>1</xdr:col>
      <xdr:colOff>1133475</xdr:colOff>
      <xdr:row>21</xdr:row>
      <xdr:rowOff>152400</xdr:rowOff>
    </xdr:from>
    <xdr:to>
      <xdr:col>2</xdr:col>
      <xdr:colOff>111125</xdr:colOff>
      <xdr:row>27</xdr:row>
      <xdr:rowOff>73025</xdr:rowOff>
    </xdr:to>
    <xdr:sp macro="" textlink="">
      <xdr:nvSpPr>
        <xdr:cNvPr id="25" name="PTObj_IDiagNode_1_6">
          <a:extLst>
            <a:ext uri="{FF2B5EF4-FFF2-40B4-BE49-F238E27FC236}">
              <a16:creationId xmlns:a16="http://schemas.microsoft.com/office/drawing/2014/main" id="{51C25EBA-A5BB-4F32-AC94-0C601E550162}"/>
            </a:ext>
          </a:extLst>
        </xdr:cNvPr>
        <xdr:cNvSpPr/>
      </xdr:nvSpPr>
      <xdr:spPr>
        <a:xfrm>
          <a:off x="2381250" y="4362450"/>
          <a:ext cx="1016000" cy="1006475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1333025</xdr:colOff>
      <xdr:row>24</xdr:row>
      <xdr:rowOff>22399</xdr:rowOff>
    </xdr:from>
    <xdr:to>
      <xdr:col>1</xdr:col>
      <xdr:colOff>1949925</xdr:colOff>
      <xdr:row>25</xdr:row>
      <xdr:rowOff>20146</xdr:rowOff>
    </xdr:to>
    <xdr:sp macro="_xll.PtreeEvent_ObjectClick" textlink="">
      <xdr:nvSpPr>
        <xdr:cNvPr id="26" name="PTObj_IDiagNodeTxt_1_6">
          <a:extLst>
            <a:ext uri="{FF2B5EF4-FFF2-40B4-BE49-F238E27FC236}">
              <a16:creationId xmlns:a16="http://schemas.microsoft.com/office/drawing/2014/main" id="{1C64669C-2CA9-44B7-8E13-A171AAA7D7B6}"/>
            </a:ext>
          </a:extLst>
        </xdr:cNvPr>
        <xdr:cNvSpPr txBox="1"/>
      </xdr:nvSpPr>
      <xdr:spPr>
        <a:xfrm>
          <a:off x="2582705" y="4819189"/>
          <a:ext cx="61690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Credit Report</a:t>
          </a:r>
        </a:p>
      </xdr:txBody>
    </xdr:sp>
    <xdr:clientData/>
  </xdr:twoCellAnchor>
  <xdr:twoCellAnchor editAs="absolute">
    <xdr:from>
      <xdr:col>2</xdr:col>
      <xdr:colOff>857250</xdr:colOff>
      <xdr:row>15</xdr:row>
      <xdr:rowOff>71437</xdr:rowOff>
    </xdr:from>
    <xdr:to>
      <xdr:col>2</xdr:col>
      <xdr:colOff>1873250</xdr:colOff>
      <xdr:row>20</xdr:row>
      <xdr:rowOff>173037</xdr:rowOff>
    </xdr:to>
    <xdr:sp macro="" textlink="">
      <xdr:nvSpPr>
        <xdr:cNvPr id="46" name="PTObj_IDiagNode_1_7">
          <a:extLst>
            <a:ext uri="{FF2B5EF4-FFF2-40B4-BE49-F238E27FC236}">
              <a16:creationId xmlns:a16="http://schemas.microsoft.com/office/drawing/2014/main" id="{6EB90402-8771-4591-9425-0C4E61CD56FE}"/>
            </a:ext>
          </a:extLst>
        </xdr:cNvPr>
        <xdr:cNvSpPr/>
      </xdr:nvSpPr>
      <xdr:spPr>
        <a:xfrm>
          <a:off x="4145280" y="3222307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890568</xdr:colOff>
      <xdr:row>17</xdr:row>
      <xdr:rowOff>123363</xdr:rowOff>
    </xdr:from>
    <xdr:to>
      <xdr:col>2</xdr:col>
      <xdr:colOff>1839931</xdr:colOff>
      <xdr:row>18</xdr:row>
      <xdr:rowOff>121110</xdr:rowOff>
    </xdr:to>
    <xdr:sp macro="_xll.PtreeEvent_ObjectClick" textlink="">
      <xdr:nvSpPr>
        <xdr:cNvPr id="47" name="PTObj_IDiagNodeTxt_1_7">
          <a:extLst>
            <a:ext uri="{FF2B5EF4-FFF2-40B4-BE49-F238E27FC236}">
              <a16:creationId xmlns:a16="http://schemas.microsoft.com/office/drawing/2014/main" id="{1F66EC69-3352-4614-9027-39CFF58D23F6}"/>
            </a:ext>
          </a:extLst>
        </xdr:cNvPr>
        <xdr:cNvSpPr txBox="1"/>
      </xdr:nvSpPr>
      <xdr:spPr>
        <a:xfrm>
          <a:off x="4178598" y="3639993"/>
          <a:ext cx="94936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A+ Rates and Interest</a:t>
          </a:r>
        </a:p>
      </xdr:txBody>
    </xdr:sp>
    <xdr:clientData/>
  </xdr:twoCellAnchor>
  <xdr:twoCellAnchor editAs="absolute">
    <xdr:from>
      <xdr:col>2</xdr:col>
      <xdr:colOff>904875</xdr:colOff>
      <xdr:row>24</xdr:row>
      <xdr:rowOff>80963</xdr:rowOff>
    </xdr:from>
    <xdr:to>
      <xdr:col>2</xdr:col>
      <xdr:colOff>1920875</xdr:colOff>
      <xdr:row>30</xdr:row>
      <xdr:rowOff>1588</xdr:rowOff>
    </xdr:to>
    <xdr:sp macro="" textlink="">
      <xdr:nvSpPr>
        <xdr:cNvPr id="48" name="PTObj_IDiagNode_1_8">
          <a:extLst>
            <a:ext uri="{FF2B5EF4-FFF2-40B4-BE49-F238E27FC236}">
              <a16:creationId xmlns:a16="http://schemas.microsoft.com/office/drawing/2014/main" id="{CF847B2C-6924-4BCE-B7F3-C2902902D0A1}"/>
            </a:ext>
          </a:extLst>
        </xdr:cNvPr>
        <xdr:cNvSpPr/>
      </xdr:nvSpPr>
      <xdr:spPr>
        <a:xfrm>
          <a:off x="4192905" y="4877753"/>
          <a:ext cx="1016000" cy="1017905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839897</xdr:colOff>
      <xdr:row>26</xdr:row>
      <xdr:rowOff>133842</xdr:rowOff>
    </xdr:from>
    <xdr:to>
      <xdr:col>3</xdr:col>
      <xdr:colOff>12272</xdr:colOff>
      <xdr:row>27</xdr:row>
      <xdr:rowOff>131589</xdr:rowOff>
    </xdr:to>
    <xdr:sp macro="_xll.PtreeEvent_ObjectClick" textlink="">
      <xdr:nvSpPr>
        <xdr:cNvPr id="49" name="PTObj_IDiagNodeTxt_1_8">
          <a:extLst>
            <a:ext uri="{FF2B5EF4-FFF2-40B4-BE49-F238E27FC236}">
              <a16:creationId xmlns:a16="http://schemas.microsoft.com/office/drawing/2014/main" id="{660728E9-E3D2-47EB-AC4B-39FD760433AF}"/>
            </a:ext>
          </a:extLst>
        </xdr:cNvPr>
        <xdr:cNvSpPr txBox="1"/>
      </xdr:nvSpPr>
      <xdr:spPr>
        <a:xfrm>
          <a:off x="4127927" y="5296392"/>
          <a:ext cx="114595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 score Rates and Interest</a:t>
          </a:r>
        </a:p>
      </xdr:txBody>
    </xdr:sp>
    <xdr:clientData/>
  </xdr:twoCellAnchor>
  <xdr:twoCellAnchor editAs="absolute">
    <xdr:from>
      <xdr:col>2</xdr:col>
      <xdr:colOff>890588</xdr:colOff>
      <xdr:row>32</xdr:row>
      <xdr:rowOff>119062</xdr:rowOff>
    </xdr:from>
    <xdr:to>
      <xdr:col>2</xdr:col>
      <xdr:colOff>1906588</xdr:colOff>
      <xdr:row>38</xdr:row>
      <xdr:rowOff>39687</xdr:rowOff>
    </xdr:to>
    <xdr:sp macro="" textlink="">
      <xdr:nvSpPr>
        <xdr:cNvPr id="50" name="PTObj_IDiagNode_1_9">
          <a:extLst>
            <a:ext uri="{FF2B5EF4-FFF2-40B4-BE49-F238E27FC236}">
              <a16:creationId xmlns:a16="http://schemas.microsoft.com/office/drawing/2014/main" id="{C7F8BC48-074E-412F-BEC6-808942D00E5F}"/>
            </a:ext>
          </a:extLst>
        </xdr:cNvPr>
        <xdr:cNvSpPr/>
      </xdr:nvSpPr>
      <xdr:spPr>
        <a:xfrm>
          <a:off x="4178618" y="6378892"/>
          <a:ext cx="1016000" cy="1017905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1229311</xdr:colOff>
      <xdr:row>34</xdr:row>
      <xdr:rowOff>171941</xdr:rowOff>
    </xdr:from>
    <xdr:to>
      <xdr:col>2</xdr:col>
      <xdr:colOff>1567865</xdr:colOff>
      <xdr:row>35</xdr:row>
      <xdr:rowOff>169688</xdr:rowOff>
    </xdr:to>
    <xdr:sp macro="_xll.PtreeEvent_ObjectClick" textlink="">
      <xdr:nvSpPr>
        <xdr:cNvPr id="51" name="PTObj_IDiagNodeTxt_1_9">
          <a:extLst>
            <a:ext uri="{FF2B5EF4-FFF2-40B4-BE49-F238E27FC236}">
              <a16:creationId xmlns:a16="http://schemas.microsoft.com/office/drawing/2014/main" id="{A4DE9DA7-D11C-44E2-BBF3-AEE4E63479EC}"/>
            </a:ext>
          </a:extLst>
        </xdr:cNvPr>
        <xdr:cNvSpPr txBox="1"/>
      </xdr:nvSpPr>
      <xdr:spPr>
        <a:xfrm>
          <a:off x="4517341" y="6797531"/>
          <a:ext cx="33855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Others</a:t>
          </a:r>
        </a:p>
      </xdr:txBody>
    </xdr:sp>
    <xdr:clientData/>
  </xdr:twoCellAnchor>
  <xdr:twoCellAnchor editAs="absolute">
    <xdr:from>
      <xdr:col>3</xdr:col>
      <xdr:colOff>1747837</xdr:colOff>
      <xdr:row>22</xdr:row>
      <xdr:rowOff>33338</xdr:rowOff>
    </xdr:from>
    <xdr:to>
      <xdr:col>4</xdr:col>
      <xdr:colOff>782637</xdr:colOff>
      <xdr:row>27</xdr:row>
      <xdr:rowOff>134938</xdr:rowOff>
    </xdr:to>
    <xdr:sp macro="" textlink="">
      <xdr:nvSpPr>
        <xdr:cNvPr id="52" name="PTObj_IDiagNode_1_10">
          <a:extLst>
            <a:ext uri="{FF2B5EF4-FFF2-40B4-BE49-F238E27FC236}">
              <a16:creationId xmlns:a16="http://schemas.microsoft.com/office/drawing/2014/main" id="{F9F3CAA4-9224-449B-A12D-2BEC0E907AF6}"/>
            </a:ext>
          </a:extLst>
        </xdr:cNvPr>
        <xdr:cNvSpPr/>
      </xdr:nvSpPr>
      <xdr:spPr>
        <a:xfrm>
          <a:off x="7009447" y="4464368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1760381</xdr:colOff>
      <xdr:row>24</xdr:row>
      <xdr:rowOff>85264</xdr:rowOff>
    </xdr:from>
    <xdr:to>
      <xdr:col>4</xdr:col>
      <xdr:colOff>770094</xdr:colOff>
      <xdr:row>25</xdr:row>
      <xdr:rowOff>83011</xdr:rowOff>
    </xdr:to>
    <xdr:sp macro="_xll.PtreeEvent_ObjectClick" textlink="">
      <xdr:nvSpPr>
        <xdr:cNvPr id="53" name="PTObj_IDiagNodeTxt_1_10">
          <a:extLst>
            <a:ext uri="{FF2B5EF4-FFF2-40B4-BE49-F238E27FC236}">
              <a16:creationId xmlns:a16="http://schemas.microsoft.com/office/drawing/2014/main" id="{3E9918C0-F896-4754-8E9F-5B2BFFCDEAA7}"/>
            </a:ext>
          </a:extLst>
        </xdr:cNvPr>
        <xdr:cNvSpPr txBox="1"/>
      </xdr:nvSpPr>
      <xdr:spPr>
        <a:xfrm>
          <a:off x="7021991" y="4882054"/>
          <a:ext cx="99091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Negotiated Rates Fits?</a:t>
          </a:r>
        </a:p>
      </xdr:txBody>
    </xdr:sp>
    <xdr:clientData/>
  </xdr:twoCellAnchor>
  <xdr:twoCellAnchor editAs="absolute">
    <xdr:from>
      <xdr:col>3</xdr:col>
      <xdr:colOff>1724025</xdr:colOff>
      <xdr:row>11</xdr:row>
      <xdr:rowOff>128587</xdr:rowOff>
    </xdr:from>
    <xdr:to>
      <xdr:col>4</xdr:col>
      <xdr:colOff>758825</xdr:colOff>
      <xdr:row>17</xdr:row>
      <xdr:rowOff>51117</xdr:rowOff>
    </xdr:to>
    <xdr:sp macro="" textlink="">
      <xdr:nvSpPr>
        <xdr:cNvPr id="85" name="PTObj_IDiagNode_1_11">
          <a:extLst>
            <a:ext uri="{FF2B5EF4-FFF2-40B4-BE49-F238E27FC236}">
              <a16:creationId xmlns:a16="http://schemas.microsoft.com/office/drawing/2014/main" id="{3736E810-1CD5-4D00-A7F7-5C87B59128D4}"/>
            </a:ext>
          </a:extLst>
        </xdr:cNvPr>
        <xdr:cNvSpPr/>
      </xdr:nvSpPr>
      <xdr:spPr>
        <a:xfrm>
          <a:off x="6981825" y="2528887"/>
          <a:ext cx="1016000" cy="100838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1765454</xdr:colOff>
      <xdr:row>14</xdr:row>
      <xdr:rowOff>1443</xdr:rowOff>
    </xdr:from>
    <xdr:to>
      <xdr:col>4</xdr:col>
      <xdr:colOff>717395</xdr:colOff>
      <xdr:row>14</xdr:row>
      <xdr:rowOff>180165</xdr:rowOff>
    </xdr:to>
    <xdr:sp macro="_xll.PtreeEvent_ObjectClick" textlink="">
      <xdr:nvSpPr>
        <xdr:cNvPr id="86" name="PTObj_IDiagNodeTxt_1_11">
          <a:extLst>
            <a:ext uri="{FF2B5EF4-FFF2-40B4-BE49-F238E27FC236}">
              <a16:creationId xmlns:a16="http://schemas.microsoft.com/office/drawing/2014/main" id="{CE65DE82-9735-46DC-830A-D7524DBE15E4}"/>
            </a:ext>
          </a:extLst>
        </xdr:cNvPr>
        <xdr:cNvSpPr txBox="1"/>
      </xdr:nvSpPr>
      <xdr:spPr>
        <a:xfrm>
          <a:off x="7027064" y="2967528"/>
          <a:ext cx="933141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Revised Negotiations</a:t>
          </a:r>
        </a:p>
      </xdr:txBody>
    </xdr:sp>
    <xdr:clientData/>
  </xdr:twoCellAnchor>
  <xdr:twoCellAnchor editAs="absolute">
    <xdr:from>
      <xdr:col>1</xdr:col>
      <xdr:colOff>1095376</xdr:colOff>
      <xdr:row>33</xdr:row>
      <xdr:rowOff>28575</xdr:rowOff>
    </xdr:from>
    <xdr:to>
      <xdr:col>2</xdr:col>
      <xdr:colOff>73026</xdr:colOff>
      <xdr:row>38</xdr:row>
      <xdr:rowOff>130175</xdr:rowOff>
    </xdr:to>
    <xdr:sp macro="" textlink="">
      <xdr:nvSpPr>
        <xdr:cNvPr id="128" name="PTObj_IDiagNode_1_12">
          <a:extLst>
            <a:ext uri="{FF2B5EF4-FFF2-40B4-BE49-F238E27FC236}">
              <a16:creationId xmlns:a16="http://schemas.microsoft.com/office/drawing/2014/main" id="{98649D47-5208-47A8-A70D-2F55492DEFBA}"/>
            </a:ext>
          </a:extLst>
        </xdr:cNvPr>
        <xdr:cNvSpPr/>
      </xdr:nvSpPr>
      <xdr:spPr>
        <a:xfrm>
          <a:off x="2343151" y="6410325"/>
          <a:ext cx="1016000" cy="1006475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1379084</xdr:colOff>
      <xdr:row>35</xdr:row>
      <xdr:rowOff>80501</xdr:rowOff>
    </xdr:from>
    <xdr:to>
      <xdr:col>1</xdr:col>
      <xdr:colOff>1827668</xdr:colOff>
      <xdr:row>36</xdr:row>
      <xdr:rowOff>78248</xdr:rowOff>
    </xdr:to>
    <xdr:sp macro="_xll.PtreeEvent_ObjectClick" textlink="">
      <xdr:nvSpPr>
        <xdr:cNvPr id="129" name="PTObj_IDiagNodeTxt_1_12">
          <a:extLst>
            <a:ext uri="{FF2B5EF4-FFF2-40B4-BE49-F238E27FC236}">
              <a16:creationId xmlns:a16="http://schemas.microsoft.com/office/drawing/2014/main" id="{E0783A8B-6D75-4E6B-BAB4-571982DDFCE4}"/>
            </a:ext>
          </a:extLst>
        </xdr:cNvPr>
        <xdr:cNvSpPr txBox="1"/>
      </xdr:nvSpPr>
      <xdr:spPr>
        <a:xfrm>
          <a:off x="2628764" y="6888971"/>
          <a:ext cx="44858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Defaulter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143722</xdr:colOff>
      <xdr:row>23</xdr:row>
      <xdr:rowOff>116840</xdr:rowOff>
    </xdr:from>
    <xdr:to>
      <xdr:col>13</xdr:col>
      <xdr:colOff>198298</xdr:colOff>
      <xdr:row>27</xdr:row>
      <xdr:rowOff>84674</xdr:rowOff>
    </xdr:to>
    <xdr:cxnSp macro="_xll.PtreeEvent_ObjectClick">
      <xdr:nvCxnSpPr>
        <xdr:cNvPr id="81" name="PTObj_IDiagArc_2_14">
          <a:extLst>
            <a:ext uri="{FF2B5EF4-FFF2-40B4-BE49-F238E27FC236}">
              <a16:creationId xmlns:a16="http://schemas.microsoft.com/office/drawing/2014/main" id="{1A6B6EB1-B8DF-43BB-B762-B0584F587CCC}"/>
            </a:ext>
          </a:extLst>
        </xdr:cNvPr>
        <xdr:cNvCxnSpPr/>
      </xdr:nvCxnSpPr>
      <xdr:spPr>
        <a:xfrm flipH="1" flipV="1">
          <a:off x="9442027" y="4467860"/>
          <a:ext cx="50766" cy="697449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325357</xdr:colOff>
      <xdr:row>23</xdr:row>
      <xdr:rowOff>116840</xdr:rowOff>
    </xdr:from>
    <xdr:to>
      <xdr:col>12</xdr:col>
      <xdr:colOff>313745</xdr:colOff>
      <xdr:row>27</xdr:row>
      <xdr:rowOff>101337</xdr:rowOff>
    </xdr:to>
    <xdr:cxnSp macro="_xll.PtreeEvent_ObjectClick">
      <xdr:nvCxnSpPr>
        <xdr:cNvPr id="80" name="PTObj_IDiagArc_2_13">
          <a:extLst>
            <a:ext uri="{FF2B5EF4-FFF2-40B4-BE49-F238E27FC236}">
              <a16:creationId xmlns:a16="http://schemas.microsoft.com/office/drawing/2014/main" id="{930FAAB6-30B5-4D5E-AA7E-64275D5425E8}"/>
            </a:ext>
          </a:extLst>
        </xdr:cNvPr>
        <xdr:cNvCxnSpPr/>
      </xdr:nvCxnSpPr>
      <xdr:spPr>
        <a:xfrm flipV="1">
          <a:off x="8345407" y="4467860"/>
          <a:ext cx="622753" cy="71792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611121</xdr:colOff>
      <xdr:row>21</xdr:row>
      <xdr:rowOff>155846</xdr:rowOff>
    </xdr:from>
    <xdr:to>
      <xdr:col>12</xdr:col>
      <xdr:colOff>247650</xdr:colOff>
      <xdr:row>24</xdr:row>
      <xdr:rowOff>158132</xdr:rowOff>
    </xdr:to>
    <xdr:cxnSp macro="_xll.PtreeEvent_ObjectClick">
      <xdr:nvCxnSpPr>
        <xdr:cNvPr id="79" name="PTObj_IDiagArc_2_12">
          <a:extLst>
            <a:ext uri="{FF2B5EF4-FFF2-40B4-BE49-F238E27FC236}">
              <a16:creationId xmlns:a16="http://schemas.microsoft.com/office/drawing/2014/main" id="{AB4A7CFC-4B1C-4883-B8C5-498D47D3F98B}"/>
            </a:ext>
          </a:extLst>
        </xdr:cNvPr>
        <xdr:cNvCxnSpPr/>
      </xdr:nvCxnSpPr>
      <xdr:spPr>
        <a:xfrm flipV="1">
          <a:off x="7362441" y="4141106"/>
          <a:ext cx="1537719" cy="54902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517286</xdr:colOff>
      <xdr:row>15</xdr:row>
      <xdr:rowOff>122170</xdr:rowOff>
    </xdr:from>
    <xdr:to>
      <xdr:col>12</xdr:col>
      <xdr:colOff>243840</xdr:colOff>
      <xdr:row>23</xdr:row>
      <xdr:rowOff>168823</xdr:rowOff>
    </xdr:to>
    <xdr:cxnSp macro="_xll.PtreeEvent_ObjectClick">
      <xdr:nvCxnSpPr>
        <xdr:cNvPr id="78" name="PTObj_IDiagArc_2_11">
          <a:extLst>
            <a:ext uri="{FF2B5EF4-FFF2-40B4-BE49-F238E27FC236}">
              <a16:creationId xmlns:a16="http://schemas.microsoft.com/office/drawing/2014/main" id="{3C36E92C-02A5-49D7-9DE3-A6BAB3F7D868}"/>
            </a:ext>
          </a:extLst>
        </xdr:cNvPr>
        <xdr:cNvCxnSpPr/>
      </xdr:nvCxnSpPr>
      <xdr:spPr>
        <a:xfrm flipV="1">
          <a:off x="7257176" y="3008245"/>
          <a:ext cx="1639174" cy="150778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439948</xdr:colOff>
      <xdr:row>21</xdr:row>
      <xdr:rowOff>27353</xdr:rowOff>
    </xdr:from>
    <xdr:to>
      <xdr:col>12</xdr:col>
      <xdr:colOff>247650</xdr:colOff>
      <xdr:row>22</xdr:row>
      <xdr:rowOff>174256</xdr:rowOff>
    </xdr:to>
    <xdr:cxnSp macro="_xll.PtreeEvent_ObjectClick">
      <xdr:nvCxnSpPr>
        <xdr:cNvPr id="77" name="PTObj_IDiagArc_2_10">
          <a:extLst>
            <a:ext uri="{FF2B5EF4-FFF2-40B4-BE49-F238E27FC236}">
              <a16:creationId xmlns:a16="http://schemas.microsoft.com/office/drawing/2014/main" id="{AA9968B4-2018-4FA4-B45B-3F9A8A17ADAA}"/>
            </a:ext>
          </a:extLst>
        </xdr:cNvPr>
        <xdr:cNvCxnSpPr/>
      </xdr:nvCxnSpPr>
      <xdr:spPr>
        <a:xfrm flipV="1">
          <a:off x="5899678" y="4014518"/>
          <a:ext cx="3000482" cy="32406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403602</xdr:colOff>
      <xdr:row>14</xdr:row>
      <xdr:rowOff>66434</xdr:rowOff>
    </xdr:from>
    <xdr:to>
      <xdr:col>12</xdr:col>
      <xdr:colOff>243840</xdr:colOff>
      <xdr:row>22</xdr:row>
      <xdr:rowOff>15535</xdr:rowOff>
    </xdr:to>
    <xdr:cxnSp macro="_xll.PtreeEvent_ObjectClick">
      <xdr:nvCxnSpPr>
        <xdr:cNvPr id="76" name="PTObj_IDiagArc_2_9">
          <a:extLst>
            <a:ext uri="{FF2B5EF4-FFF2-40B4-BE49-F238E27FC236}">
              <a16:creationId xmlns:a16="http://schemas.microsoft.com/office/drawing/2014/main" id="{63B9A100-0148-4142-80D2-2A5A6687A79A}"/>
            </a:ext>
          </a:extLst>
        </xdr:cNvPr>
        <xdr:cNvCxnSpPr/>
      </xdr:nvCxnSpPr>
      <xdr:spPr>
        <a:xfrm flipV="1">
          <a:off x="5855712" y="2773439"/>
          <a:ext cx="3040638" cy="140642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449681</xdr:colOff>
      <xdr:row>18</xdr:row>
      <xdr:rowOff>21317</xdr:rowOff>
    </xdr:from>
    <xdr:to>
      <xdr:col>12</xdr:col>
      <xdr:colOff>247650</xdr:colOff>
      <xdr:row>20</xdr:row>
      <xdr:rowOff>45441</xdr:rowOff>
    </xdr:to>
    <xdr:cxnSp macro="_xll.PtreeEvent_ObjectClick">
      <xdr:nvCxnSpPr>
        <xdr:cNvPr id="75" name="PTObj_IDiagArc_2_8">
          <a:extLst>
            <a:ext uri="{FF2B5EF4-FFF2-40B4-BE49-F238E27FC236}">
              <a16:creationId xmlns:a16="http://schemas.microsoft.com/office/drawing/2014/main" id="{E53E34B7-0C78-4075-9DA6-18FCD9059738}"/>
            </a:ext>
          </a:extLst>
        </xdr:cNvPr>
        <xdr:cNvCxnSpPr/>
      </xdr:nvCxnSpPr>
      <xdr:spPr>
        <a:xfrm>
          <a:off x="7187666" y="3461747"/>
          <a:ext cx="1712494" cy="384169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353676</xdr:colOff>
      <xdr:row>7</xdr:row>
      <xdr:rowOff>150489</xdr:rowOff>
    </xdr:from>
    <xdr:to>
      <xdr:col>12</xdr:col>
      <xdr:colOff>247650</xdr:colOff>
      <xdr:row>15</xdr:row>
      <xdr:rowOff>143354</xdr:rowOff>
    </xdr:to>
    <xdr:cxnSp macro="_xll.PtreeEvent_ObjectClick">
      <xdr:nvCxnSpPr>
        <xdr:cNvPr id="74" name="PTObj_IDiagArc_2_7">
          <a:extLst>
            <a:ext uri="{FF2B5EF4-FFF2-40B4-BE49-F238E27FC236}">
              <a16:creationId xmlns:a16="http://schemas.microsoft.com/office/drawing/2014/main" id="{8A680CCA-E3E7-424D-9808-4AA5E89B7B0C}"/>
            </a:ext>
          </a:extLst>
        </xdr:cNvPr>
        <xdr:cNvCxnSpPr/>
      </xdr:nvCxnSpPr>
      <xdr:spPr>
        <a:xfrm flipV="1">
          <a:off x="7087851" y="1575429"/>
          <a:ext cx="1812309" cy="145781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444772</xdr:colOff>
      <xdr:row>13</xdr:row>
      <xdr:rowOff>37409</xdr:rowOff>
    </xdr:from>
    <xdr:to>
      <xdr:col>12</xdr:col>
      <xdr:colOff>243840</xdr:colOff>
      <xdr:row>13</xdr:row>
      <xdr:rowOff>155812</xdr:rowOff>
    </xdr:to>
    <xdr:cxnSp macro="_xll.PtreeEvent_ObjectClick">
      <xdr:nvCxnSpPr>
        <xdr:cNvPr id="73" name="PTObj_IDiagArc_2_6">
          <a:extLst>
            <a:ext uri="{FF2B5EF4-FFF2-40B4-BE49-F238E27FC236}">
              <a16:creationId xmlns:a16="http://schemas.microsoft.com/office/drawing/2014/main" id="{77BC97DD-69BE-4DB9-9030-D01A9F3FE937}"/>
            </a:ext>
          </a:extLst>
        </xdr:cNvPr>
        <xdr:cNvCxnSpPr/>
      </xdr:nvCxnSpPr>
      <xdr:spPr>
        <a:xfrm flipV="1">
          <a:off x="5902597" y="2559629"/>
          <a:ext cx="2993753" cy="11840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171086</xdr:colOff>
      <xdr:row>5</xdr:row>
      <xdr:rowOff>172014</xdr:rowOff>
    </xdr:from>
    <xdr:to>
      <xdr:col>12</xdr:col>
      <xdr:colOff>247650</xdr:colOff>
      <xdr:row>7</xdr:row>
      <xdr:rowOff>97074</xdr:rowOff>
    </xdr:to>
    <xdr:cxnSp macro="_xll.PtreeEvent_ObjectClick">
      <xdr:nvCxnSpPr>
        <xdr:cNvPr id="72" name="PTObj_IDiagArc_2_5">
          <a:extLst>
            <a:ext uri="{FF2B5EF4-FFF2-40B4-BE49-F238E27FC236}">
              <a16:creationId xmlns:a16="http://schemas.microsoft.com/office/drawing/2014/main" id="{C1A95FF4-291C-444B-8118-214D85B7A18F}"/>
            </a:ext>
          </a:extLst>
        </xdr:cNvPr>
        <xdr:cNvCxnSpPr/>
      </xdr:nvCxnSpPr>
      <xdr:spPr>
        <a:xfrm flipV="1">
          <a:off x="6263276" y="1223574"/>
          <a:ext cx="2636884" cy="29463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111942</xdr:colOff>
      <xdr:row>3</xdr:row>
      <xdr:rowOff>170993</xdr:rowOff>
    </xdr:from>
    <xdr:to>
      <xdr:col>12</xdr:col>
      <xdr:colOff>247650</xdr:colOff>
      <xdr:row>5</xdr:row>
      <xdr:rowOff>27405</xdr:rowOff>
    </xdr:to>
    <xdr:cxnSp macro="_xll.PtreeEvent_ObjectClick">
      <xdr:nvCxnSpPr>
        <xdr:cNvPr id="71" name="PTObj_IDiagArc_2_4">
          <a:extLst>
            <a:ext uri="{FF2B5EF4-FFF2-40B4-BE49-F238E27FC236}">
              <a16:creationId xmlns:a16="http://schemas.microsoft.com/office/drawing/2014/main" id="{047127F1-7F71-4FA0-B028-B44F34A34C57}"/>
            </a:ext>
          </a:extLst>
        </xdr:cNvPr>
        <xdr:cNvCxnSpPr/>
      </xdr:nvCxnSpPr>
      <xdr:spPr>
        <a:xfrm>
          <a:off x="7488102" y="852983"/>
          <a:ext cx="1412058" cy="23169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612140</xdr:colOff>
      <xdr:row>15</xdr:row>
      <xdr:rowOff>25058</xdr:rowOff>
    </xdr:from>
    <xdr:to>
      <xdr:col>15</xdr:col>
      <xdr:colOff>583858</xdr:colOff>
      <xdr:row>19</xdr:row>
      <xdr:rowOff>38053</xdr:rowOff>
    </xdr:to>
    <xdr:cxnSp macro="_xll.PtreeEvent_ObjectClick">
      <xdr:nvCxnSpPr>
        <xdr:cNvPr id="59" name="PTObj_IDiagArc_2_3">
          <a:extLst>
            <a:ext uri="{FF2B5EF4-FFF2-40B4-BE49-F238E27FC236}">
              <a16:creationId xmlns:a16="http://schemas.microsoft.com/office/drawing/2014/main" id="{8A28D33C-5627-49FA-B117-1C1A8FB207E0}"/>
            </a:ext>
          </a:extLst>
        </xdr:cNvPr>
        <xdr:cNvCxnSpPr/>
      </xdr:nvCxnSpPr>
      <xdr:spPr>
        <a:xfrm flipV="1">
          <a:off x="9916160" y="2914943"/>
          <a:ext cx="1242353" cy="74261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608330</xdr:colOff>
      <xdr:row>13</xdr:row>
      <xdr:rowOff>59448</xdr:rowOff>
    </xdr:from>
    <xdr:to>
      <xdr:col>15</xdr:col>
      <xdr:colOff>439049</xdr:colOff>
      <xdr:row>13</xdr:row>
      <xdr:rowOff>162296</xdr:rowOff>
    </xdr:to>
    <xdr:cxnSp macro="_xll.PtreeEvent_ObjectClick">
      <xdr:nvCxnSpPr>
        <xdr:cNvPr id="58" name="PTObj_IDiagArc_2_2">
          <a:extLst>
            <a:ext uri="{FF2B5EF4-FFF2-40B4-BE49-F238E27FC236}">
              <a16:creationId xmlns:a16="http://schemas.microsoft.com/office/drawing/2014/main" id="{A8FF2764-9B90-4117-A1DF-F52C18B03757}"/>
            </a:ext>
          </a:extLst>
        </xdr:cNvPr>
        <xdr:cNvCxnSpPr/>
      </xdr:nvCxnSpPr>
      <xdr:spPr>
        <a:xfrm>
          <a:off x="9912350" y="2585478"/>
          <a:ext cx="1099449" cy="9713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612140</xdr:colOff>
      <xdr:row>7</xdr:row>
      <xdr:rowOff>127432</xdr:rowOff>
    </xdr:from>
    <xdr:to>
      <xdr:col>15</xdr:col>
      <xdr:colOff>610906</xdr:colOff>
      <xdr:row>12</xdr:row>
      <xdr:rowOff>171414</xdr:rowOff>
    </xdr:to>
    <xdr:cxnSp macro="_xll.PtreeEvent_ObjectClick">
      <xdr:nvCxnSpPr>
        <xdr:cNvPr id="57" name="PTObj_IDiagArc_2_1">
          <a:extLst>
            <a:ext uri="{FF2B5EF4-FFF2-40B4-BE49-F238E27FC236}">
              <a16:creationId xmlns:a16="http://schemas.microsoft.com/office/drawing/2014/main" id="{B529D8F9-2EDD-4306-ABF3-825A6D185B64}"/>
            </a:ext>
          </a:extLst>
        </xdr:cNvPr>
        <xdr:cNvCxnSpPr/>
      </xdr:nvCxnSpPr>
      <xdr:spPr>
        <a:xfrm>
          <a:off x="9916160" y="1550467"/>
          <a:ext cx="1271306" cy="95647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687863</xdr:colOff>
      <xdr:row>0</xdr:row>
      <xdr:rowOff>67801</xdr:rowOff>
    </xdr:from>
    <xdr:to>
      <xdr:col>1</xdr:col>
      <xdr:colOff>439896</xdr:colOff>
      <xdr:row>0</xdr:row>
      <xdr:rowOff>248428</xdr:rowOff>
    </xdr:to>
    <xdr:sp macro="_xll.PtreeEvent_ObjectClick" textlink="">
      <xdr:nvSpPr>
        <xdr:cNvPr id="2" name="PTObj_IDiagName_2_0">
          <a:extLst>
            <a:ext uri="{FF2B5EF4-FFF2-40B4-BE49-F238E27FC236}">
              <a16:creationId xmlns:a16="http://schemas.microsoft.com/office/drawing/2014/main" id="{2E9A1199-5399-41DA-98F0-981BDE56D4EB}"/>
            </a:ext>
          </a:extLst>
        </xdr:cNvPr>
        <xdr:cNvSpPr txBox="1"/>
      </xdr:nvSpPr>
      <xdr:spPr>
        <a:xfrm>
          <a:off x="687863" y="67801"/>
          <a:ext cx="87979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Rent the apartment</a:t>
          </a:r>
        </a:p>
      </xdr:txBody>
    </xdr:sp>
    <xdr:clientData/>
  </xdr:twoCellAnchor>
  <xdr:twoCellAnchor editAs="absolute">
    <xdr:from>
      <xdr:col>15</xdr:col>
      <xdr:colOff>396240</xdr:colOff>
      <xdr:row>11</xdr:row>
      <xdr:rowOff>57150</xdr:rowOff>
    </xdr:from>
    <xdr:to>
      <xdr:col>17</xdr:col>
      <xdr:colOff>132080</xdr:colOff>
      <xdr:row>16</xdr:row>
      <xdr:rowOff>164465</xdr:rowOff>
    </xdr:to>
    <xdr:sp macro="" textlink="">
      <xdr:nvSpPr>
        <xdr:cNvPr id="5" name="PTObj_IDiagNode_2_1">
          <a:extLst>
            <a:ext uri="{FF2B5EF4-FFF2-40B4-BE49-F238E27FC236}">
              <a16:creationId xmlns:a16="http://schemas.microsoft.com/office/drawing/2014/main" id="{51EC9183-B830-4FC7-AECA-795B72A0256C}"/>
            </a:ext>
          </a:extLst>
        </xdr:cNvPr>
        <xdr:cNvSpPr/>
      </xdr:nvSpPr>
      <xdr:spPr>
        <a:xfrm>
          <a:off x="10968990" y="2217420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15</xdr:col>
      <xdr:colOff>543711</xdr:colOff>
      <xdr:row>13</xdr:row>
      <xdr:rowOff>112887</xdr:rowOff>
    </xdr:from>
    <xdr:to>
      <xdr:col>16</xdr:col>
      <xdr:colOff>611355</xdr:colOff>
      <xdr:row>14</xdr:row>
      <xdr:rowOff>110634</xdr:rowOff>
    </xdr:to>
    <xdr:sp macro="_xll.PtreeEvent_ObjectClick" textlink="">
      <xdr:nvSpPr>
        <xdr:cNvPr id="6" name="PTObj_IDiagNodeTxt_2_1">
          <a:extLst>
            <a:ext uri="{FF2B5EF4-FFF2-40B4-BE49-F238E27FC236}">
              <a16:creationId xmlns:a16="http://schemas.microsoft.com/office/drawing/2014/main" id="{B33E3EE3-C86E-4C62-9B58-ACE012408FC6}"/>
            </a:ext>
          </a:extLst>
        </xdr:cNvPr>
        <xdr:cNvSpPr txBox="1"/>
      </xdr:nvSpPr>
      <xdr:spPr>
        <a:xfrm>
          <a:off x="11118366" y="2635107"/>
          <a:ext cx="71724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Rent apartment</a:t>
          </a:r>
        </a:p>
      </xdr:txBody>
    </xdr:sp>
    <xdr:clientData/>
  </xdr:twoCellAnchor>
  <xdr:twoCellAnchor editAs="absolute">
    <xdr:from>
      <xdr:col>12</xdr:col>
      <xdr:colOff>247650</xdr:colOff>
      <xdr:row>2</xdr:row>
      <xdr:rowOff>158115</xdr:rowOff>
    </xdr:from>
    <xdr:to>
      <xdr:col>13</xdr:col>
      <xdr:colOff>612140</xdr:colOff>
      <xdr:row>8</xdr:row>
      <xdr:rowOff>65405</xdr:rowOff>
    </xdr:to>
    <xdr:sp macro="" textlink="">
      <xdr:nvSpPr>
        <xdr:cNvPr id="9" name="PTObj_IDiagNode_2_2">
          <a:extLst>
            <a:ext uri="{FF2B5EF4-FFF2-40B4-BE49-F238E27FC236}">
              <a16:creationId xmlns:a16="http://schemas.microsoft.com/office/drawing/2014/main" id="{391F80C1-59B1-4661-B9B5-F2EC9E2E73DF}"/>
            </a:ext>
          </a:extLst>
        </xdr:cNvPr>
        <xdr:cNvSpPr/>
      </xdr:nvSpPr>
      <xdr:spPr>
        <a:xfrm>
          <a:off x="8900160" y="659130"/>
          <a:ext cx="1016000" cy="101600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320915</xdr:colOff>
      <xdr:row>5</xdr:row>
      <xdr:rowOff>17637</xdr:rowOff>
    </xdr:from>
    <xdr:to>
      <xdr:col>13</xdr:col>
      <xdr:colOff>550304</xdr:colOff>
      <xdr:row>6</xdr:row>
      <xdr:rowOff>19194</xdr:rowOff>
    </xdr:to>
    <xdr:sp macro="_xll.PtreeEvent_ObjectClick" textlink="">
      <xdr:nvSpPr>
        <xdr:cNvPr id="10" name="PTObj_IDiagNodeTxt_2_2">
          <a:extLst>
            <a:ext uri="{FF2B5EF4-FFF2-40B4-BE49-F238E27FC236}">
              <a16:creationId xmlns:a16="http://schemas.microsoft.com/office/drawing/2014/main" id="{344DABB0-8CC5-44F6-BE8D-EC5F4C2A91CE}"/>
            </a:ext>
          </a:extLst>
        </xdr:cNvPr>
        <xdr:cNvSpPr txBox="1"/>
      </xdr:nvSpPr>
      <xdr:spPr>
        <a:xfrm>
          <a:off x="8973425" y="1076817"/>
          <a:ext cx="86946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Reduce overall rent</a:t>
          </a:r>
        </a:p>
      </xdr:txBody>
    </xdr:sp>
    <xdr:clientData/>
  </xdr:twoCellAnchor>
  <xdr:twoCellAnchor editAs="absolute">
    <xdr:from>
      <xdr:col>12</xdr:col>
      <xdr:colOff>243840</xdr:colOff>
      <xdr:row>10</xdr:row>
      <xdr:rowOff>53340</xdr:rowOff>
    </xdr:from>
    <xdr:to>
      <xdr:col>13</xdr:col>
      <xdr:colOff>608330</xdr:colOff>
      <xdr:row>15</xdr:row>
      <xdr:rowOff>160655</xdr:rowOff>
    </xdr:to>
    <xdr:sp macro="" textlink="">
      <xdr:nvSpPr>
        <xdr:cNvPr id="13" name="PTObj_IDiagNode_2_3">
          <a:extLst>
            <a:ext uri="{FF2B5EF4-FFF2-40B4-BE49-F238E27FC236}">
              <a16:creationId xmlns:a16="http://schemas.microsoft.com/office/drawing/2014/main" id="{2F0D047D-B8C6-4061-A7B3-7DA36F8AB58D}"/>
            </a:ext>
          </a:extLst>
        </xdr:cNvPr>
        <xdr:cNvSpPr/>
      </xdr:nvSpPr>
      <xdr:spPr>
        <a:xfrm>
          <a:off x="8896350" y="2030730"/>
          <a:ext cx="1016000" cy="101600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235211</xdr:colOff>
      <xdr:row>12</xdr:row>
      <xdr:rowOff>107171</xdr:rowOff>
    </xdr:from>
    <xdr:to>
      <xdr:col>13</xdr:col>
      <xdr:colOff>607435</xdr:colOff>
      <xdr:row>13</xdr:row>
      <xdr:rowOff>104918</xdr:rowOff>
    </xdr:to>
    <xdr:sp macro="_xll.PtreeEvent_ObjectClick" textlink="">
      <xdr:nvSpPr>
        <xdr:cNvPr id="14" name="PTObj_IDiagNodeTxt_2_3">
          <a:extLst>
            <a:ext uri="{FF2B5EF4-FFF2-40B4-BE49-F238E27FC236}">
              <a16:creationId xmlns:a16="http://schemas.microsoft.com/office/drawing/2014/main" id="{DDFF463C-EB27-48E5-9744-792BD0F22953}"/>
            </a:ext>
          </a:extLst>
        </xdr:cNvPr>
        <xdr:cNvSpPr txBox="1"/>
      </xdr:nvSpPr>
      <xdr:spPr>
        <a:xfrm>
          <a:off x="8889626" y="2448416"/>
          <a:ext cx="102944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Reduce Commute Time</a:t>
          </a:r>
        </a:p>
      </xdr:txBody>
    </xdr:sp>
    <xdr:clientData/>
  </xdr:twoCellAnchor>
  <xdr:twoCellAnchor editAs="absolute">
    <xdr:from>
      <xdr:col>12</xdr:col>
      <xdr:colOff>247650</xdr:colOff>
      <xdr:row>18</xdr:row>
      <xdr:rowOff>19050</xdr:rowOff>
    </xdr:from>
    <xdr:to>
      <xdr:col>13</xdr:col>
      <xdr:colOff>612140</xdr:colOff>
      <xdr:row>23</xdr:row>
      <xdr:rowOff>116840</xdr:rowOff>
    </xdr:to>
    <xdr:sp macro="" textlink="">
      <xdr:nvSpPr>
        <xdr:cNvPr id="19" name="PTObj_IDiagNode_2_4">
          <a:extLst>
            <a:ext uri="{FF2B5EF4-FFF2-40B4-BE49-F238E27FC236}">
              <a16:creationId xmlns:a16="http://schemas.microsoft.com/office/drawing/2014/main" id="{66E75353-B1E2-4789-ADCF-D9E5E29EE71D}"/>
            </a:ext>
          </a:extLst>
        </xdr:cNvPr>
        <xdr:cNvSpPr/>
      </xdr:nvSpPr>
      <xdr:spPr>
        <a:xfrm>
          <a:off x="8900160" y="3451860"/>
          <a:ext cx="1016000" cy="101600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106745</xdr:colOff>
      <xdr:row>20</xdr:row>
      <xdr:rowOff>65261</xdr:rowOff>
    </xdr:from>
    <xdr:to>
      <xdr:col>14</xdr:col>
      <xdr:colOff>114869</xdr:colOff>
      <xdr:row>21</xdr:row>
      <xdr:rowOff>63008</xdr:rowOff>
    </xdr:to>
    <xdr:sp macro="_xll.PtreeEvent_ObjectClick" textlink="">
      <xdr:nvSpPr>
        <xdr:cNvPr id="20" name="PTObj_IDiagNodeTxt_2_4">
          <a:extLst>
            <a:ext uri="{FF2B5EF4-FFF2-40B4-BE49-F238E27FC236}">
              <a16:creationId xmlns:a16="http://schemas.microsoft.com/office/drawing/2014/main" id="{8F752BB0-44B8-4327-AD01-290284B4D4F0}"/>
            </a:ext>
          </a:extLst>
        </xdr:cNvPr>
        <xdr:cNvSpPr txBox="1"/>
      </xdr:nvSpPr>
      <xdr:spPr>
        <a:xfrm>
          <a:off x="8764970" y="3869546"/>
          <a:ext cx="128637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Increase Overall Convenience</a:t>
          </a:r>
        </a:p>
      </xdr:txBody>
    </xdr:sp>
    <xdr:clientData/>
  </xdr:twoCellAnchor>
  <xdr:twoCellAnchor editAs="absolute">
    <xdr:from>
      <xdr:col>8</xdr:col>
      <xdr:colOff>378278</xdr:colOff>
      <xdr:row>0</xdr:row>
      <xdr:rowOff>258627</xdr:rowOff>
    </xdr:from>
    <xdr:to>
      <xdr:col>10</xdr:col>
      <xdr:colOff>111942</xdr:colOff>
      <xdr:row>6</xdr:row>
      <xdr:rowOff>38826</xdr:rowOff>
    </xdr:to>
    <xdr:sp macro="" textlink="">
      <xdr:nvSpPr>
        <xdr:cNvPr id="23" name="PTObj_IDiagNode_2_5">
          <a:extLst>
            <a:ext uri="{FF2B5EF4-FFF2-40B4-BE49-F238E27FC236}">
              <a16:creationId xmlns:a16="http://schemas.microsoft.com/office/drawing/2014/main" id="{E3E1777D-61E6-494D-A113-D0C3B389C2EF}"/>
            </a:ext>
          </a:extLst>
        </xdr:cNvPr>
        <xdr:cNvSpPr/>
      </xdr:nvSpPr>
      <xdr:spPr>
        <a:xfrm>
          <a:off x="6485164" y="260532"/>
          <a:ext cx="1018178" cy="1019265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151752</xdr:colOff>
      <xdr:row>2</xdr:row>
      <xdr:rowOff>173665</xdr:rowOff>
    </xdr:from>
    <xdr:to>
      <xdr:col>10</xdr:col>
      <xdr:colOff>336563</xdr:colOff>
      <xdr:row>3</xdr:row>
      <xdr:rowOff>171412</xdr:rowOff>
    </xdr:to>
    <xdr:sp macro="_xll.PtreeEvent_ObjectClick" textlink="">
      <xdr:nvSpPr>
        <xdr:cNvPr id="24" name="PTObj_IDiagNodeTxt_2_5">
          <a:extLst>
            <a:ext uri="{FF2B5EF4-FFF2-40B4-BE49-F238E27FC236}">
              <a16:creationId xmlns:a16="http://schemas.microsoft.com/office/drawing/2014/main" id="{C44CF5FF-6CB5-4778-8B12-91E695D9F696}"/>
            </a:ext>
          </a:extLst>
        </xdr:cNvPr>
        <xdr:cNvSpPr txBox="1"/>
      </xdr:nvSpPr>
      <xdr:spPr>
        <a:xfrm>
          <a:off x="6247752" y="680395"/>
          <a:ext cx="146687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Number of Rooms and Restrooms</a:t>
          </a:r>
        </a:p>
      </xdr:txBody>
    </xdr:sp>
    <xdr:clientData/>
  </xdr:twoCellAnchor>
  <xdr:twoCellAnchor editAs="absolute">
    <xdr:from>
      <xdr:col>6</xdr:col>
      <xdr:colOff>437424</xdr:colOff>
      <xdr:row>5</xdr:row>
      <xdr:rowOff>11157</xdr:rowOff>
    </xdr:from>
    <xdr:to>
      <xdr:col>8</xdr:col>
      <xdr:colOff>171086</xdr:colOff>
      <xdr:row>10</xdr:row>
      <xdr:rowOff>110852</xdr:rowOff>
    </xdr:to>
    <xdr:sp macro="" textlink="">
      <xdr:nvSpPr>
        <xdr:cNvPr id="27" name="PTObj_IDiagNode_2_6">
          <a:extLst>
            <a:ext uri="{FF2B5EF4-FFF2-40B4-BE49-F238E27FC236}">
              <a16:creationId xmlns:a16="http://schemas.microsoft.com/office/drawing/2014/main" id="{05AC7061-869A-4F0F-807D-058BD1132F17}"/>
            </a:ext>
          </a:extLst>
        </xdr:cNvPr>
        <xdr:cNvSpPr/>
      </xdr:nvSpPr>
      <xdr:spPr>
        <a:xfrm>
          <a:off x="5255985" y="1065166"/>
          <a:ext cx="1018177" cy="1026886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467107</xdr:colOff>
      <xdr:row>7</xdr:row>
      <xdr:rowOff>55464</xdr:rowOff>
    </xdr:from>
    <xdr:to>
      <xdr:col>8</xdr:col>
      <xdr:colOff>131878</xdr:colOff>
      <xdr:row>8</xdr:row>
      <xdr:rowOff>60831</xdr:rowOff>
    </xdr:to>
    <xdr:sp macro="_xll.PtreeEvent_ObjectClick" textlink="">
      <xdr:nvSpPr>
        <xdr:cNvPr id="28" name="PTObj_IDiagNodeTxt_2_6">
          <a:extLst>
            <a:ext uri="{FF2B5EF4-FFF2-40B4-BE49-F238E27FC236}">
              <a16:creationId xmlns:a16="http://schemas.microsoft.com/office/drawing/2014/main" id="{E02FBA7B-568C-4C7C-97AB-B8F0F1E965A7}"/>
            </a:ext>
          </a:extLst>
        </xdr:cNvPr>
        <xdr:cNvSpPr txBox="1"/>
      </xdr:nvSpPr>
      <xdr:spPr>
        <a:xfrm>
          <a:off x="5281042" y="1484214"/>
          <a:ext cx="95064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Number of Roomates</a:t>
          </a:r>
        </a:p>
      </xdr:txBody>
    </xdr:sp>
    <xdr:clientData/>
  </xdr:twoCellAnchor>
  <xdr:twoCellAnchor editAs="absolute">
    <xdr:from>
      <xdr:col>8</xdr:col>
      <xdr:colOff>88991</xdr:colOff>
      <xdr:row>14</xdr:row>
      <xdr:rowOff>134982</xdr:rowOff>
    </xdr:from>
    <xdr:to>
      <xdr:col>9</xdr:col>
      <xdr:colOff>465818</xdr:colOff>
      <xdr:row>20</xdr:row>
      <xdr:rowOff>59146</xdr:rowOff>
    </xdr:to>
    <xdr:sp macro="" textlink="">
      <xdr:nvSpPr>
        <xdr:cNvPr id="31" name="PTObj_IDiagNode_2_7">
          <a:extLst>
            <a:ext uri="{FF2B5EF4-FFF2-40B4-BE49-F238E27FC236}">
              <a16:creationId xmlns:a16="http://schemas.microsoft.com/office/drawing/2014/main" id="{0ED82619-973A-4B2D-B8BF-AB7C884C4F47}"/>
            </a:ext>
          </a:extLst>
        </xdr:cNvPr>
        <xdr:cNvSpPr/>
      </xdr:nvSpPr>
      <xdr:spPr>
        <a:xfrm>
          <a:off x="6193972" y="2860221"/>
          <a:ext cx="1019084" cy="1026886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405986</xdr:colOff>
      <xdr:row>17</xdr:row>
      <xdr:rowOff>8656</xdr:rowOff>
    </xdr:from>
    <xdr:to>
      <xdr:col>9</xdr:col>
      <xdr:colOff>141202</xdr:colOff>
      <xdr:row>18</xdr:row>
      <xdr:rowOff>6403</xdr:rowOff>
    </xdr:to>
    <xdr:sp macro="_xll.PtreeEvent_ObjectClick" textlink="">
      <xdr:nvSpPr>
        <xdr:cNvPr id="32" name="PTObj_IDiagNodeTxt_2_7">
          <a:extLst>
            <a:ext uri="{FF2B5EF4-FFF2-40B4-BE49-F238E27FC236}">
              <a16:creationId xmlns:a16="http://schemas.microsoft.com/office/drawing/2014/main" id="{1C73A62B-6870-4AD2-B323-D612A4615047}"/>
            </a:ext>
          </a:extLst>
        </xdr:cNvPr>
        <xdr:cNvSpPr txBox="1"/>
      </xdr:nvSpPr>
      <xdr:spPr>
        <a:xfrm>
          <a:off x="6503891" y="3260491"/>
          <a:ext cx="37529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Utilities</a:t>
          </a:r>
        </a:p>
      </xdr:txBody>
    </xdr:sp>
    <xdr:clientData/>
  </xdr:twoCellAnchor>
  <xdr:twoCellAnchor editAs="absolute">
    <xdr:from>
      <xdr:col>6</xdr:col>
      <xdr:colOff>68853</xdr:colOff>
      <xdr:row>11</xdr:row>
      <xdr:rowOff>34471</xdr:rowOff>
    </xdr:from>
    <xdr:to>
      <xdr:col>7</xdr:col>
      <xdr:colOff>444772</xdr:colOff>
      <xdr:row>16</xdr:row>
      <xdr:rowOff>132261</xdr:rowOff>
    </xdr:to>
    <xdr:sp macro="" textlink="">
      <xdr:nvSpPr>
        <xdr:cNvPr id="35" name="PTObj_IDiagNode_2_8">
          <a:extLst>
            <a:ext uri="{FF2B5EF4-FFF2-40B4-BE49-F238E27FC236}">
              <a16:creationId xmlns:a16="http://schemas.microsoft.com/office/drawing/2014/main" id="{B3E0B624-BDE9-444F-A88D-CE0AAD94C04D}"/>
            </a:ext>
          </a:extLst>
        </xdr:cNvPr>
        <xdr:cNvSpPr/>
      </xdr:nvSpPr>
      <xdr:spPr>
        <a:xfrm>
          <a:off x="4893129" y="2200728"/>
          <a:ext cx="1018177" cy="1026886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234767</xdr:colOff>
      <xdr:row>13</xdr:row>
      <xdr:rowOff>88303</xdr:rowOff>
    </xdr:from>
    <xdr:to>
      <xdr:col>7</xdr:col>
      <xdr:colOff>288384</xdr:colOff>
      <xdr:row>14</xdr:row>
      <xdr:rowOff>86050</xdr:rowOff>
    </xdr:to>
    <xdr:sp macro="_xll.PtreeEvent_ObjectClick" textlink="">
      <xdr:nvSpPr>
        <xdr:cNvPr id="36" name="PTObj_IDiagNodeTxt_2_8">
          <a:extLst>
            <a:ext uri="{FF2B5EF4-FFF2-40B4-BE49-F238E27FC236}">
              <a16:creationId xmlns:a16="http://schemas.microsoft.com/office/drawing/2014/main" id="{AE50E4BC-A979-477D-95E7-6C204BA75CC5}"/>
            </a:ext>
          </a:extLst>
        </xdr:cNvPr>
        <xdr:cNvSpPr txBox="1"/>
      </xdr:nvSpPr>
      <xdr:spPr>
        <a:xfrm>
          <a:off x="5048702" y="2608618"/>
          <a:ext cx="69179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Time to college</a:t>
          </a:r>
        </a:p>
      </xdr:txBody>
    </xdr:sp>
    <xdr:clientData/>
  </xdr:twoCellAnchor>
  <xdr:twoCellAnchor editAs="absolute">
    <xdr:from>
      <xdr:col>6</xdr:col>
      <xdr:colOff>67945</xdr:colOff>
      <xdr:row>20</xdr:row>
      <xdr:rowOff>84456</xdr:rowOff>
    </xdr:from>
    <xdr:to>
      <xdr:col>7</xdr:col>
      <xdr:colOff>444771</xdr:colOff>
      <xdr:row>26</xdr:row>
      <xdr:rowOff>5353</xdr:rowOff>
    </xdr:to>
    <xdr:sp macro="" textlink="">
      <xdr:nvSpPr>
        <xdr:cNvPr id="39" name="PTObj_IDiagNode_2_9">
          <a:extLst>
            <a:ext uri="{FF2B5EF4-FFF2-40B4-BE49-F238E27FC236}">
              <a16:creationId xmlns:a16="http://schemas.microsoft.com/office/drawing/2014/main" id="{8A466472-3902-43AA-BCB8-A8C7FB7C1597}"/>
            </a:ext>
          </a:extLst>
        </xdr:cNvPr>
        <xdr:cNvSpPr/>
      </xdr:nvSpPr>
      <xdr:spPr>
        <a:xfrm>
          <a:off x="4892221" y="3914322"/>
          <a:ext cx="1019084" cy="1026886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546129</xdr:colOff>
      <xdr:row>22</xdr:row>
      <xdr:rowOff>130668</xdr:rowOff>
    </xdr:from>
    <xdr:to>
      <xdr:col>8</xdr:col>
      <xdr:colOff>60</xdr:colOff>
      <xdr:row>23</xdr:row>
      <xdr:rowOff>136035</xdr:rowOff>
    </xdr:to>
    <xdr:sp macro="_xll.PtreeEvent_ObjectClick" textlink="">
      <xdr:nvSpPr>
        <xdr:cNvPr id="40" name="PTObj_IDiagNodeTxt_2_9">
          <a:extLst>
            <a:ext uri="{FF2B5EF4-FFF2-40B4-BE49-F238E27FC236}">
              <a16:creationId xmlns:a16="http://schemas.microsoft.com/office/drawing/2014/main" id="{CC7DEF13-2AB7-4CED-B69D-FCE094E7B080}"/>
            </a:ext>
          </a:extLst>
        </xdr:cNvPr>
        <xdr:cNvSpPr txBox="1"/>
      </xdr:nvSpPr>
      <xdr:spPr>
        <a:xfrm>
          <a:off x="4719984" y="4302618"/>
          <a:ext cx="134831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Nearest Transportation Station</a:t>
          </a:r>
        </a:p>
      </xdr:txBody>
    </xdr:sp>
    <xdr:clientData/>
  </xdr:twoCellAnchor>
  <xdr:twoCellAnchor editAs="absolute">
    <xdr:from>
      <xdr:col>8</xdr:col>
      <xdr:colOff>285023</xdr:colOff>
      <xdr:row>23</xdr:row>
      <xdr:rowOff>1814</xdr:rowOff>
    </xdr:from>
    <xdr:to>
      <xdr:col>10</xdr:col>
      <xdr:colOff>19594</xdr:colOff>
      <xdr:row>28</xdr:row>
      <xdr:rowOff>101509</xdr:rowOff>
    </xdr:to>
    <xdr:sp macro="" textlink="">
      <xdr:nvSpPr>
        <xdr:cNvPr id="45" name="PTObj_IDiagNode_2_10">
          <a:extLst>
            <a:ext uri="{FF2B5EF4-FFF2-40B4-BE49-F238E27FC236}">
              <a16:creationId xmlns:a16="http://schemas.microsoft.com/office/drawing/2014/main" id="{45BEF075-834B-4E41-84B5-AA9B1DFBE7F0}"/>
            </a:ext>
          </a:extLst>
        </xdr:cNvPr>
        <xdr:cNvSpPr/>
      </xdr:nvSpPr>
      <xdr:spPr>
        <a:xfrm>
          <a:off x="6388099" y="4388757"/>
          <a:ext cx="1019085" cy="1026886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476244</xdr:colOff>
      <xdr:row>25</xdr:row>
      <xdr:rowOff>57550</xdr:rowOff>
    </xdr:from>
    <xdr:to>
      <xdr:col>9</xdr:col>
      <xdr:colOff>466548</xdr:colOff>
      <xdr:row>26</xdr:row>
      <xdr:rowOff>55297</xdr:rowOff>
    </xdr:to>
    <xdr:sp macro="_xll.PtreeEvent_ObjectClick" textlink="">
      <xdr:nvSpPr>
        <xdr:cNvPr id="46" name="PTObj_IDiagNodeTxt_2_10">
          <a:extLst>
            <a:ext uri="{FF2B5EF4-FFF2-40B4-BE49-F238E27FC236}">
              <a16:creationId xmlns:a16="http://schemas.microsoft.com/office/drawing/2014/main" id="{920611B5-199F-448D-B65B-6DA5D8E44E38}"/>
            </a:ext>
          </a:extLst>
        </xdr:cNvPr>
        <xdr:cNvSpPr txBox="1"/>
      </xdr:nvSpPr>
      <xdr:spPr>
        <a:xfrm>
          <a:off x="6568434" y="4770520"/>
          <a:ext cx="63228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Grocery Store</a:t>
          </a:r>
        </a:p>
      </xdr:txBody>
    </xdr:sp>
    <xdr:clientData/>
  </xdr:twoCellAnchor>
  <xdr:twoCellAnchor editAs="absolute">
    <xdr:from>
      <xdr:col>10</xdr:col>
      <xdr:colOff>131717</xdr:colOff>
      <xdr:row>26</xdr:row>
      <xdr:rowOff>164283</xdr:rowOff>
    </xdr:from>
    <xdr:to>
      <xdr:col>11</xdr:col>
      <xdr:colOff>506639</xdr:colOff>
      <xdr:row>32</xdr:row>
      <xdr:rowOff>78921</xdr:rowOff>
    </xdr:to>
    <xdr:sp macro="" textlink="">
      <xdr:nvSpPr>
        <xdr:cNvPr id="49" name="PTObj_IDiagNode_2_11">
          <a:extLst>
            <a:ext uri="{FF2B5EF4-FFF2-40B4-BE49-F238E27FC236}">
              <a16:creationId xmlns:a16="http://schemas.microsoft.com/office/drawing/2014/main" id="{71B7BA71-0222-4919-ADA8-20F522158FA0}"/>
            </a:ext>
          </a:extLst>
        </xdr:cNvPr>
        <xdr:cNvSpPr/>
      </xdr:nvSpPr>
      <xdr:spPr>
        <a:xfrm>
          <a:off x="7519307" y="5104492"/>
          <a:ext cx="1019084" cy="1026886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184267</xdr:colOff>
      <xdr:row>29</xdr:row>
      <xdr:rowOff>28431</xdr:rowOff>
    </xdr:from>
    <xdr:to>
      <xdr:col>11</xdr:col>
      <xdr:colOff>444563</xdr:colOff>
      <xdr:row>30</xdr:row>
      <xdr:rowOff>26178</xdr:rowOff>
    </xdr:to>
    <xdr:sp macro="_xll.PtreeEvent_ObjectClick" textlink="">
      <xdr:nvSpPr>
        <xdr:cNvPr id="50" name="PTObj_IDiagNodeTxt_2_11">
          <a:extLst>
            <a:ext uri="{FF2B5EF4-FFF2-40B4-BE49-F238E27FC236}">
              <a16:creationId xmlns:a16="http://schemas.microsoft.com/office/drawing/2014/main" id="{CE0ECD13-2AE4-4496-8BFC-8D7CDC039211}"/>
            </a:ext>
          </a:extLst>
        </xdr:cNvPr>
        <xdr:cNvSpPr txBox="1"/>
      </xdr:nvSpPr>
      <xdr:spPr>
        <a:xfrm>
          <a:off x="7562332" y="5478636"/>
          <a:ext cx="90037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Wi-Fi &amp; Cable Ready</a:t>
          </a:r>
        </a:p>
      </xdr:txBody>
    </xdr:sp>
    <xdr:clientData/>
  </xdr:twoCellAnchor>
  <xdr:twoCellAnchor editAs="absolute">
    <xdr:from>
      <xdr:col>12</xdr:col>
      <xdr:colOff>359048</xdr:colOff>
      <xdr:row>27</xdr:row>
      <xdr:rowOff>83548</xdr:rowOff>
    </xdr:from>
    <xdr:to>
      <xdr:col>14</xdr:col>
      <xdr:colOff>93617</xdr:colOff>
      <xdr:row>33</xdr:row>
      <xdr:rowOff>5352</xdr:rowOff>
    </xdr:to>
    <xdr:sp macro="" textlink="">
      <xdr:nvSpPr>
        <xdr:cNvPr id="55" name="PTObj_IDiagNode_2_12">
          <a:extLst>
            <a:ext uri="{FF2B5EF4-FFF2-40B4-BE49-F238E27FC236}">
              <a16:creationId xmlns:a16="http://schemas.microsoft.com/office/drawing/2014/main" id="{328C321D-6D23-434D-8491-D4BC173F8532}"/>
            </a:ext>
          </a:extLst>
        </xdr:cNvPr>
        <xdr:cNvSpPr/>
      </xdr:nvSpPr>
      <xdr:spPr>
        <a:xfrm>
          <a:off x="9038772" y="5208814"/>
          <a:ext cx="1019084" cy="1027793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98916</xdr:colOff>
      <xdr:row>29</xdr:row>
      <xdr:rowOff>130213</xdr:rowOff>
    </xdr:from>
    <xdr:to>
      <xdr:col>13</xdr:col>
      <xdr:colOff>361370</xdr:colOff>
      <xdr:row>30</xdr:row>
      <xdr:rowOff>135580</xdr:rowOff>
    </xdr:to>
    <xdr:sp macro="_xll.PtreeEvent_ObjectClick" textlink="">
      <xdr:nvSpPr>
        <xdr:cNvPr id="56" name="PTObj_IDiagNodeTxt_2_12">
          <a:extLst>
            <a:ext uri="{FF2B5EF4-FFF2-40B4-BE49-F238E27FC236}">
              <a16:creationId xmlns:a16="http://schemas.microsoft.com/office/drawing/2014/main" id="{3933B53A-29E2-4153-BE32-9F2C4977B479}"/>
            </a:ext>
          </a:extLst>
        </xdr:cNvPr>
        <xdr:cNvSpPr txBox="1"/>
      </xdr:nvSpPr>
      <xdr:spPr>
        <a:xfrm>
          <a:off x="9391506" y="5582323"/>
          <a:ext cx="27007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Floor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195070</xdr:colOff>
      <xdr:row>2584</xdr:row>
      <xdr:rowOff>162570</xdr:rowOff>
    </xdr:from>
    <xdr:to>
      <xdr:col>11</xdr:col>
      <xdr:colOff>1394588</xdr:colOff>
      <xdr:row>2584</xdr:row>
      <xdr:rowOff>162570</xdr:rowOff>
    </xdr:to>
    <xdr:cxnSp macro="_xll.PtreeEvent_ObjectClick">
      <xdr:nvCxnSpPr>
        <xdr:cNvPr id="5115" name="PTObj_DBranchHLine_1_1279">
          <a:extLst>
            <a:ext uri="{FF2B5EF4-FFF2-40B4-BE49-F238E27FC236}">
              <a16:creationId xmlns:a16="http://schemas.microsoft.com/office/drawing/2014/main" id="{CA41F62D-FCC7-4306-A2B2-0F638F642AC3}"/>
            </a:ext>
          </a:extLst>
        </xdr:cNvPr>
        <xdr:cNvCxnSpPr/>
      </xdr:nvCxnSpPr>
      <xdr:spPr>
        <a:xfrm>
          <a:off x="20149945" y="467801970"/>
          <a:ext cx="119951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2582</xdr:row>
      <xdr:rowOff>146050</xdr:rowOff>
    </xdr:from>
    <xdr:to>
      <xdr:col>11</xdr:col>
      <xdr:colOff>195070</xdr:colOff>
      <xdr:row>2584</xdr:row>
      <xdr:rowOff>162570</xdr:rowOff>
    </xdr:to>
    <xdr:cxnSp macro="_xll.PtreeEvent_ObjectClick">
      <xdr:nvCxnSpPr>
        <xdr:cNvPr id="5114" name="PTObj_DBranchDLine_1_1279">
          <a:extLst>
            <a:ext uri="{FF2B5EF4-FFF2-40B4-BE49-F238E27FC236}">
              <a16:creationId xmlns:a16="http://schemas.microsoft.com/office/drawing/2014/main" id="{0F2A9B7F-6814-458F-BF5D-54D1E7378864}"/>
            </a:ext>
          </a:extLst>
        </xdr:cNvPr>
        <xdr:cNvCxnSpPr/>
      </xdr:nvCxnSpPr>
      <xdr:spPr>
        <a:xfrm>
          <a:off x="19997545" y="4674235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2582</xdr:row>
      <xdr:rowOff>158750</xdr:rowOff>
    </xdr:from>
    <xdr:to>
      <xdr:col>10</xdr:col>
      <xdr:colOff>1388870</xdr:colOff>
      <xdr:row>2582</xdr:row>
      <xdr:rowOff>158750</xdr:rowOff>
    </xdr:to>
    <xdr:cxnSp macro="_xll.PtreeEvent_ObjectClick">
      <xdr:nvCxnSpPr>
        <xdr:cNvPr id="5111" name="PTObj_DBranchHLine_1_1278">
          <a:extLst>
            <a:ext uri="{FF2B5EF4-FFF2-40B4-BE49-F238E27FC236}">
              <a16:creationId xmlns:a16="http://schemas.microsoft.com/office/drawing/2014/main" id="{4E253F1C-93C7-4B65-A1CB-DDB6088CBB23}"/>
            </a:ext>
          </a:extLst>
        </xdr:cNvPr>
        <xdr:cNvCxnSpPr/>
      </xdr:nvCxnSpPr>
      <xdr:spPr>
        <a:xfrm>
          <a:off x="18730720" y="467436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2580</xdr:row>
      <xdr:rowOff>143173</xdr:rowOff>
    </xdr:from>
    <xdr:to>
      <xdr:col>10</xdr:col>
      <xdr:colOff>204595</xdr:colOff>
      <xdr:row>2582</xdr:row>
      <xdr:rowOff>158750</xdr:rowOff>
    </xdr:to>
    <xdr:cxnSp macro="_xll.PtreeEvent_ObjectClick">
      <xdr:nvCxnSpPr>
        <xdr:cNvPr id="5110" name="PTObj_DBranchDLine_1_1278">
          <a:extLst>
            <a:ext uri="{FF2B5EF4-FFF2-40B4-BE49-F238E27FC236}">
              <a16:creationId xmlns:a16="http://schemas.microsoft.com/office/drawing/2014/main" id="{257B9B07-E75C-4861-A4B7-CB0BAB285748}"/>
            </a:ext>
          </a:extLst>
        </xdr:cNvPr>
        <xdr:cNvCxnSpPr/>
      </xdr:nvCxnSpPr>
      <xdr:spPr>
        <a:xfrm>
          <a:off x="18578320" y="4670586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2580</xdr:row>
      <xdr:rowOff>154930</xdr:rowOff>
    </xdr:from>
    <xdr:to>
      <xdr:col>9</xdr:col>
      <xdr:colOff>1392681</xdr:colOff>
      <xdr:row>2580</xdr:row>
      <xdr:rowOff>154930</xdr:rowOff>
    </xdr:to>
    <xdr:cxnSp macro="_xll.PtreeEvent_ObjectClick">
      <xdr:nvCxnSpPr>
        <xdr:cNvPr id="5107" name="PTObj_DBranchHLine_1_1277">
          <a:extLst>
            <a:ext uri="{FF2B5EF4-FFF2-40B4-BE49-F238E27FC236}">
              <a16:creationId xmlns:a16="http://schemas.microsoft.com/office/drawing/2014/main" id="{3E2CBEAD-F144-4054-B5B9-54E802CAA066}"/>
            </a:ext>
          </a:extLst>
        </xdr:cNvPr>
        <xdr:cNvCxnSpPr/>
      </xdr:nvCxnSpPr>
      <xdr:spPr>
        <a:xfrm>
          <a:off x="17306734" y="467070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2578</xdr:row>
      <xdr:rowOff>142230</xdr:rowOff>
    </xdr:from>
    <xdr:to>
      <xdr:col>9</xdr:col>
      <xdr:colOff>209359</xdr:colOff>
      <xdr:row>2580</xdr:row>
      <xdr:rowOff>154930</xdr:rowOff>
    </xdr:to>
    <xdr:cxnSp macro="_xll.PtreeEvent_ObjectClick">
      <xdr:nvCxnSpPr>
        <xdr:cNvPr id="5106" name="PTObj_DBranchDLine_1_1277">
          <a:extLst>
            <a:ext uri="{FF2B5EF4-FFF2-40B4-BE49-F238E27FC236}">
              <a16:creationId xmlns:a16="http://schemas.microsoft.com/office/drawing/2014/main" id="{E31B3E94-5350-4FD6-8344-2BF780B17E9A}"/>
            </a:ext>
          </a:extLst>
        </xdr:cNvPr>
        <xdr:cNvCxnSpPr/>
      </xdr:nvCxnSpPr>
      <xdr:spPr>
        <a:xfrm>
          <a:off x="17154334" y="466695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2578</xdr:row>
      <xdr:rowOff>151110</xdr:rowOff>
    </xdr:from>
    <xdr:to>
      <xdr:col>8</xdr:col>
      <xdr:colOff>1398397</xdr:colOff>
      <xdr:row>2578</xdr:row>
      <xdr:rowOff>151110</xdr:rowOff>
    </xdr:to>
    <xdr:cxnSp macro="_xll.PtreeEvent_ObjectClick">
      <xdr:nvCxnSpPr>
        <xdr:cNvPr id="5103" name="PTObj_DBranchHLine_1_1276">
          <a:extLst>
            <a:ext uri="{FF2B5EF4-FFF2-40B4-BE49-F238E27FC236}">
              <a16:creationId xmlns:a16="http://schemas.microsoft.com/office/drawing/2014/main" id="{77D6CB49-C8D7-4251-B77A-242AF4410242}"/>
            </a:ext>
          </a:extLst>
        </xdr:cNvPr>
        <xdr:cNvCxnSpPr/>
      </xdr:nvCxnSpPr>
      <xdr:spPr>
        <a:xfrm>
          <a:off x="15888463" y="4667046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2576</xdr:row>
      <xdr:rowOff>142230</xdr:rowOff>
    </xdr:from>
    <xdr:to>
      <xdr:col>8</xdr:col>
      <xdr:colOff>219838</xdr:colOff>
      <xdr:row>2578</xdr:row>
      <xdr:rowOff>151110</xdr:rowOff>
    </xdr:to>
    <xdr:cxnSp macro="_xll.PtreeEvent_ObjectClick">
      <xdr:nvCxnSpPr>
        <xdr:cNvPr id="5102" name="PTObj_DBranchDLine_1_1276">
          <a:extLst>
            <a:ext uri="{FF2B5EF4-FFF2-40B4-BE49-F238E27FC236}">
              <a16:creationId xmlns:a16="http://schemas.microsoft.com/office/drawing/2014/main" id="{15D6D53C-8777-47A1-85D3-6AA61E0F0240}"/>
            </a:ext>
          </a:extLst>
        </xdr:cNvPr>
        <xdr:cNvCxnSpPr/>
      </xdr:nvCxnSpPr>
      <xdr:spPr>
        <a:xfrm>
          <a:off x="15736063" y="46633383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2574</xdr:row>
      <xdr:rowOff>143520</xdr:rowOff>
    </xdr:from>
    <xdr:to>
      <xdr:col>11</xdr:col>
      <xdr:colOff>1386967</xdr:colOff>
      <xdr:row>2574</xdr:row>
      <xdr:rowOff>143520</xdr:rowOff>
    </xdr:to>
    <xdr:cxnSp macro="_xll.PtreeEvent_ObjectClick">
      <xdr:nvCxnSpPr>
        <xdr:cNvPr id="5099" name="PTObj_DBranchHLine_1_1274">
          <a:extLst>
            <a:ext uri="{FF2B5EF4-FFF2-40B4-BE49-F238E27FC236}">
              <a16:creationId xmlns:a16="http://schemas.microsoft.com/office/drawing/2014/main" id="{DC6DECC7-068C-4713-A212-3D09F8859D3A}"/>
            </a:ext>
          </a:extLst>
        </xdr:cNvPr>
        <xdr:cNvCxnSpPr/>
      </xdr:nvCxnSpPr>
      <xdr:spPr>
        <a:xfrm>
          <a:off x="20149945" y="465973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2572</xdr:row>
      <xdr:rowOff>137517</xdr:rowOff>
    </xdr:from>
    <xdr:to>
      <xdr:col>11</xdr:col>
      <xdr:colOff>195070</xdr:colOff>
      <xdr:row>2574</xdr:row>
      <xdr:rowOff>143520</xdr:rowOff>
    </xdr:to>
    <xdr:cxnSp macro="_xll.PtreeEvent_ObjectClick">
      <xdr:nvCxnSpPr>
        <xdr:cNvPr id="5098" name="PTObj_DBranchDLine_1_1274">
          <a:extLst>
            <a:ext uri="{FF2B5EF4-FFF2-40B4-BE49-F238E27FC236}">
              <a16:creationId xmlns:a16="http://schemas.microsoft.com/office/drawing/2014/main" id="{77232743-575E-4374-AEDA-409769F54261}"/>
            </a:ext>
          </a:extLst>
        </xdr:cNvPr>
        <xdr:cNvCxnSpPr/>
      </xdr:nvCxnSpPr>
      <xdr:spPr>
        <a:xfrm>
          <a:off x="19997545" y="4656052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2572</xdr:row>
      <xdr:rowOff>139700</xdr:rowOff>
    </xdr:from>
    <xdr:to>
      <xdr:col>10</xdr:col>
      <xdr:colOff>1388870</xdr:colOff>
      <xdr:row>2572</xdr:row>
      <xdr:rowOff>139700</xdr:rowOff>
    </xdr:to>
    <xdr:cxnSp macro="_xll.PtreeEvent_ObjectClick">
      <xdr:nvCxnSpPr>
        <xdr:cNvPr id="5095" name="PTObj_DBranchHLine_1_1273">
          <a:extLst>
            <a:ext uri="{FF2B5EF4-FFF2-40B4-BE49-F238E27FC236}">
              <a16:creationId xmlns:a16="http://schemas.microsoft.com/office/drawing/2014/main" id="{B431C38F-83DF-47F1-A990-C160E69F577A}"/>
            </a:ext>
          </a:extLst>
        </xdr:cNvPr>
        <xdr:cNvCxnSpPr/>
      </xdr:nvCxnSpPr>
      <xdr:spPr>
        <a:xfrm>
          <a:off x="18730720" y="465607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2570</xdr:row>
      <xdr:rowOff>135533</xdr:rowOff>
    </xdr:from>
    <xdr:to>
      <xdr:col>10</xdr:col>
      <xdr:colOff>204595</xdr:colOff>
      <xdr:row>2572</xdr:row>
      <xdr:rowOff>139700</xdr:rowOff>
    </xdr:to>
    <xdr:cxnSp macro="_xll.PtreeEvent_ObjectClick">
      <xdr:nvCxnSpPr>
        <xdr:cNvPr id="5094" name="PTObj_DBranchDLine_1_1273">
          <a:extLst>
            <a:ext uri="{FF2B5EF4-FFF2-40B4-BE49-F238E27FC236}">
              <a16:creationId xmlns:a16="http://schemas.microsoft.com/office/drawing/2014/main" id="{F06731FD-0A8B-456F-B7AE-230782CAE144}"/>
            </a:ext>
          </a:extLst>
        </xdr:cNvPr>
        <xdr:cNvCxnSpPr/>
      </xdr:nvCxnSpPr>
      <xdr:spPr>
        <a:xfrm>
          <a:off x="18578320" y="4652412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2570</xdr:row>
      <xdr:rowOff>135880</xdr:rowOff>
    </xdr:from>
    <xdr:to>
      <xdr:col>9</xdr:col>
      <xdr:colOff>1392681</xdr:colOff>
      <xdr:row>2570</xdr:row>
      <xdr:rowOff>135880</xdr:rowOff>
    </xdr:to>
    <xdr:cxnSp macro="_xll.PtreeEvent_ObjectClick">
      <xdr:nvCxnSpPr>
        <xdr:cNvPr id="5091" name="PTObj_DBranchHLine_1_1272">
          <a:extLst>
            <a:ext uri="{FF2B5EF4-FFF2-40B4-BE49-F238E27FC236}">
              <a16:creationId xmlns:a16="http://schemas.microsoft.com/office/drawing/2014/main" id="{D0E980B5-7CE8-438E-B544-E8FF04214EE7}"/>
            </a:ext>
          </a:extLst>
        </xdr:cNvPr>
        <xdr:cNvCxnSpPr/>
      </xdr:nvCxnSpPr>
      <xdr:spPr>
        <a:xfrm>
          <a:off x="17306734" y="465241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2568</xdr:row>
      <xdr:rowOff>129828</xdr:rowOff>
    </xdr:from>
    <xdr:to>
      <xdr:col>9</xdr:col>
      <xdr:colOff>209359</xdr:colOff>
      <xdr:row>2570</xdr:row>
      <xdr:rowOff>135880</xdr:rowOff>
    </xdr:to>
    <xdr:cxnSp macro="_xll.PtreeEvent_ObjectClick">
      <xdr:nvCxnSpPr>
        <xdr:cNvPr id="5090" name="PTObj_DBranchDLine_1_1272">
          <a:extLst>
            <a:ext uri="{FF2B5EF4-FFF2-40B4-BE49-F238E27FC236}">
              <a16:creationId xmlns:a16="http://schemas.microsoft.com/office/drawing/2014/main" id="{2FF48A9A-76E5-418E-80B5-C04B1A491C73}"/>
            </a:ext>
          </a:extLst>
        </xdr:cNvPr>
        <xdr:cNvCxnSpPr/>
      </xdr:nvCxnSpPr>
      <xdr:spPr>
        <a:xfrm>
          <a:off x="17154334" y="4648736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2568</xdr:row>
      <xdr:rowOff>132060</xdr:rowOff>
    </xdr:from>
    <xdr:to>
      <xdr:col>8</xdr:col>
      <xdr:colOff>1398397</xdr:colOff>
      <xdr:row>2568</xdr:row>
      <xdr:rowOff>132060</xdr:rowOff>
    </xdr:to>
    <xdr:cxnSp macro="_xll.PtreeEvent_ObjectClick">
      <xdr:nvCxnSpPr>
        <xdr:cNvPr id="5087" name="PTObj_DBranchHLine_1_1271">
          <a:extLst>
            <a:ext uri="{FF2B5EF4-FFF2-40B4-BE49-F238E27FC236}">
              <a16:creationId xmlns:a16="http://schemas.microsoft.com/office/drawing/2014/main" id="{B2692072-A752-445E-81B6-8B708548D235}"/>
            </a:ext>
          </a:extLst>
        </xdr:cNvPr>
        <xdr:cNvCxnSpPr/>
      </xdr:nvCxnSpPr>
      <xdr:spPr>
        <a:xfrm>
          <a:off x="15884652" y="4648758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2568</xdr:row>
      <xdr:rowOff>132060</xdr:rowOff>
    </xdr:from>
    <xdr:to>
      <xdr:col>8</xdr:col>
      <xdr:colOff>216027</xdr:colOff>
      <xdr:row>2576</xdr:row>
      <xdr:rowOff>142230</xdr:rowOff>
    </xdr:to>
    <xdr:cxnSp macro="_xll.PtreeEvent_ObjectClick">
      <xdr:nvCxnSpPr>
        <xdr:cNvPr id="5086" name="PTObj_DBranchDLine_1_1271">
          <a:extLst>
            <a:ext uri="{FF2B5EF4-FFF2-40B4-BE49-F238E27FC236}">
              <a16:creationId xmlns:a16="http://schemas.microsoft.com/office/drawing/2014/main" id="{0E30FDC4-2E36-4BA1-A1F6-8D1AA6B87C55}"/>
            </a:ext>
          </a:extLst>
        </xdr:cNvPr>
        <xdr:cNvCxnSpPr/>
      </xdr:nvCxnSpPr>
      <xdr:spPr>
        <a:xfrm flipV="1">
          <a:off x="15732252" y="464875860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2576</xdr:row>
      <xdr:rowOff>147340</xdr:rowOff>
    </xdr:from>
    <xdr:to>
      <xdr:col>7</xdr:col>
      <xdr:colOff>1402207</xdr:colOff>
      <xdr:row>2576</xdr:row>
      <xdr:rowOff>147340</xdr:rowOff>
    </xdr:to>
    <xdr:cxnSp macro="_xll.PtreeEvent_ObjectClick">
      <xdr:nvCxnSpPr>
        <xdr:cNvPr id="5083" name="PTObj_DBranchHLine_1_1275">
          <a:extLst>
            <a:ext uri="{FF2B5EF4-FFF2-40B4-BE49-F238E27FC236}">
              <a16:creationId xmlns:a16="http://schemas.microsoft.com/office/drawing/2014/main" id="{A00C92F6-7493-40DD-858F-A65D28BBC1D2}"/>
            </a:ext>
          </a:extLst>
        </xdr:cNvPr>
        <xdr:cNvCxnSpPr/>
      </xdr:nvCxnSpPr>
      <xdr:spPr>
        <a:xfrm>
          <a:off x="14460665" y="4663389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2566</xdr:row>
      <xdr:rowOff>123180</xdr:rowOff>
    </xdr:from>
    <xdr:to>
      <xdr:col>7</xdr:col>
      <xdr:colOff>220790</xdr:colOff>
      <xdr:row>2576</xdr:row>
      <xdr:rowOff>147340</xdr:rowOff>
    </xdr:to>
    <xdr:cxnSp macro="_xll.PtreeEvent_ObjectClick">
      <xdr:nvCxnSpPr>
        <xdr:cNvPr id="5082" name="PTObj_DBranchDLine_1_1275">
          <a:extLst>
            <a:ext uri="{FF2B5EF4-FFF2-40B4-BE49-F238E27FC236}">
              <a16:creationId xmlns:a16="http://schemas.microsoft.com/office/drawing/2014/main" id="{E3F5E763-AF69-4762-9A19-9D933939C9E3}"/>
            </a:ext>
          </a:extLst>
        </xdr:cNvPr>
        <xdr:cNvCxnSpPr/>
      </xdr:nvCxnSpPr>
      <xdr:spPr>
        <a:xfrm>
          <a:off x="14308265" y="464505030"/>
          <a:ext cx="152400" cy="18339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2564</xdr:row>
      <xdr:rowOff>124470</xdr:rowOff>
    </xdr:from>
    <xdr:to>
      <xdr:col>11</xdr:col>
      <xdr:colOff>1394588</xdr:colOff>
      <xdr:row>2564</xdr:row>
      <xdr:rowOff>124470</xdr:rowOff>
    </xdr:to>
    <xdr:cxnSp macro="_xll.PtreeEvent_ObjectClick">
      <xdr:nvCxnSpPr>
        <xdr:cNvPr id="5079" name="PTObj_DBranchHLine_1_1269">
          <a:extLst>
            <a:ext uri="{FF2B5EF4-FFF2-40B4-BE49-F238E27FC236}">
              <a16:creationId xmlns:a16="http://schemas.microsoft.com/office/drawing/2014/main" id="{064C274B-9516-4C3A-B205-3FACDF67BD1B}"/>
            </a:ext>
          </a:extLst>
        </xdr:cNvPr>
        <xdr:cNvCxnSpPr/>
      </xdr:nvCxnSpPr>
      <xdr:spPr>
        <a:xfrm>
          <a:off x="20149945" y="464144370"/>
          <a:ext cx="119951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2562</xdr:row>
      <xdr:rowOff>107950</xdr:rowOff>
    </xdr:from>
    <xdr:to>
      <xdr:col>11</xdr:col>
      <xdr:colOff>195070</xdr:colOff>
      <xdr:row>2564</xdr:row>
      <xdr:rowOff>124470</xdr:rowOff>
    </xdr:to>
    <xdr:cxnSp macro="_xll.PtreeEvent_ObjectClick">
      <xdr:nvCxnSpPr>
        <xdr:cNvPr id="5078" name="PTObj_DBranchDLine_1_1269">
          <a:extLst>
            <a:ext uri="{FF2B5EF4-FFF2-40B4-BE49-F238E27FC236}">
              <a16:creationId xmlns:a16="http://schemas.microsoft.com/office/drawing/2014/main" id="{AD646240-B49A-437D-AAE3-DF5AFAEC1C95}"/>
            </a:ext>
          </a:extLst>
        </xdr:cNvPr>
        <xdr:cNvCxnSpPr/>
      </xdr:nvCxnSpPr>
      <xdr:spPr>
        <a:xfrm>
          <a:off x="19997545" y="4637659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2562</xdr:row>
      <xdr:rowOff>120650</xdr:rowOff>
    </xdr:from>
    <xdr:to>
      <xdr:col>10</xdr:col>
      <xdr:colOff>1388870</xdr:colOff>
      <xdr:row>2562</xdr:row>
      <xdr:rowOff>120650</xdr:rowOff>
    </xdr:to>
    <xdr:cxnSp macro="_xll.PtreeEvent_ObjectClick">
      <xdr:nvCxnSpPr>
        <xdr:cNvPr id="5075" name="PTObj_DBranchHLine_1_1268">
          <a:extLst>
            <a:ext uri="{FF2B5EF4-FFF2-40B4-BE49-F238E27FC236}">
              <a16:creationId xmlns:a16="http://schemas.microsoft.com/office/drawing/2014/main" id="{A7AB1AF2-71D3-4925-967E-368DAB099D98}"/>
            </a:ext>
          </a:extLst>
        </xdr:cNvPr>
        <xdr:cNvCxnSpPr/>
      </xdr:nvCxnSpPr>
      <xdr:spPr>
        <a:xfrm>
          <a:off x="18730720" y="463778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2560</xdr:row>
      <xdr:rowOff>105073</xdr:rowOff>
    </xdr:from>
    <xdr:to>
      <xdr:col>10</xdr:col>
      <xdr:colOff>204595</xdr:colOff>
      <xdr:row>2562</xdr:row>
      <xdr:rowOff>120650</xdr:rowOff>
    </xdr:to>
    <xdr:cxnSp macro="_xll.PtreeEvent_ObjectClick">
      <xdr:nvCxnSpPr>
        <xdr:cNvPr id="5074" name="PTObj_DBranchDLine_1_1268">
          <a:extLst>
            <a:ext uri="{FF2B5EF4-FFF2-40B4-BE49-F238E27FC236}">
              <a16:creationId xmlns:a16="http://schemas.microsoft.com/office/drawing/2014/main" id="{F0D9210E-F783-491E-96F5-8968889D99FF}"/>
            </a:ext>
          </a:extLst>
        </xdr:cNvPr>
        <xdr:cNvCxnSpPr/>
      </xdr:nvCxnSpPr>
      <xdr:spPr>
        <a:xfrm>
          <a:off x="18578320" y="4634010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2560</xdr:row>
      <xdr:rowOff>116830</xdr:rowOff>
    </xdr:from>
    <xdr:to>
      <xdr:col>9</xdr:col>
      <xdr:colOff>1392681</xdr:colOff>
      <xdr:row>2560</xdr:row>
      <xdr:rowOff>116830</xdr:rowOff>
    </xdr:to>
    <xdr:cxnSp macro="_xll.PtreeEvent_ObjectClick">
      <xdr:nvCxnSpPr>
        <xdr:cNvPr id="5071" name="PTObj_DBranchHLine_1_1267">
          <a:extLst>
            <a:ext uri="{FF2B5EF4-FFF2-40B4-BE49-F238E27FC236}">
              <a16:creationId xmlns:a16="http://schemas.microsoft.com/office/drawing/2014/main" id="{52B9158A-101D-4B73-93DD-D90A04C44C97}"/>
            </a:ext>
          </a:extLst>
        </xdr:cNvPr>
        <xdr:cNvCxnSpPr/>
      </xdr:nvCxnSpPr>
      <xdr:spPr>
        <a:xfrm>
          <a:off x="17306734" y="463412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2558</xdr:row>
      <xdr:rowOff>104130</xdr:rowOff>
    </xdr:from>
    <xdr:to>
      <xdr:col>9</xdr:col>
      <xdr:colOff>209359</xdr:colOff>
      <xdr:row>2560</xdr:row>
      <xdr:rowOff>116830</xdr:rowOff>
    </xdr:to>
    <xdr:cxnSp macro="_xll.PtreeEvent_ObjectClick">
      <xdr:nvCxnSpPr>
        <xdr:cNvPr id="5070" name="PTObj_DBranchDLine_1_1267">
          <a:extLst>
            <a:ext uri="{FF2B5EF4-FFF2-40B4-BE49-F238E27FC236}">
              <a16:creationId xmlns:a16="http://schemas.microsoft.com/office/drawing/2014/main" id="{F7918AE6-2E53-4730-A4BA-262DC72743A1}"/>
            </a:ext>
          </a:extLst>
        </xdr:cNvPr>
        <xdr:cNvCxnSpPr/>
      </xdr:nvCxnSpPr>
      <xdr:spPr>
        <a:xfrm>
          <a:off x="17154334" y="463038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2558</xdr:row>
      <xdr:rowOff>113010</xdr:rowOff>
    </xdr:from>
    <xdr:to>
      <xdr:col>8</xdr:col>
      <xdr:colOff>1398397</xdr:colOff>
      <xdr:row>2558</xdr:row>
      <xdr:rowOff>113010</xdr:rowOff>
    </xdr:to>
    <xdr:cxnSp macro="_xll.PtreeEvent_ObjectClick">
      <xdr:nvCxnSpPr>
        <xdr:cNvPr id="5067" name="PTObj_DBranchHLine_1_1266">
          <a:extLst>
            <a:ext uri="{FF2B5EF4-FFF2-40B4-BE49-F238E27FC236}">
              <a16:creationId xmlns:a16="http://schemas.microsoft.com/office/drawing/2014/main" id="{50C01D1E-67AB-42BA-A415-BA6402AB6443}"/>
            </a:ext>
          </a:extLst>
        </xdr:cNvPr>
        <xdr:cNvCxnSpPr/>
      </xdr:nvCxnSpPr>
      <xdr:spPr>
        <a:xfrm>
          <a:off x="15888463" y="4630470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2556</xdr:row>
      <xdr:rowOff>104130</xdr:rowOff>
    </xdr:from>
    <xdr:to>
      <xdr:col>8</xdr:col>
      <xdr:colOff>219838</xdr:colOff>
      <xdr:row>2558</xdr:row>
      <xdr:rowOff>113010</xdr:rowOff>
    </xdr:to>
    <xdr:cxnSp macro="_xll.PtreeEvent_ObjectClick">
      <xdr:nvCxnSpPr>
        <xdr:cNvPr id="5066" name="PTObj_DBranchDLine_1_1266">
          <a:extLst>
            <a:ext uri="{FF2B5EF4-FFF2-40B4-BE49-F238E27FC236}">
              <a16:creationId xmlns:a16="http://schemas.microsoft.com/office/drawing/2014/main" id="{55FF35C7-7C9D-48A2-BA2C-783F0432CA6D}"/>
            </a:ext>
          </a:extLst>
        </xdr:cNvPr>
        <xdr:cNvCxnSpPr/>
      </xdr:nvCxnSpPr>
      <xdr:spPr>
        <a:xfrm>
          <a:off x="15736063" y="46267623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2554</xdr:row>
      <xdr:rowOff>105420</xdr:rowOff>
    </xdr:from>
    <xdr:to>
      <xdr:col>11</xdr:col>
      <xdr:colOff>1386967</xdr:colOff>
      <xdr:row>2554</xdr:row>
      <xdr:rowOff>105420</xdr:rowOff>
    </xdr:to>
    <xdr:cxnSp macro="_xll.PtreeEvent_ObjectClick">
      <xdr:nvCxnSpPr>
        <xdr:cNvPr id="5063" name="PTObj_DBranchHLine_1_1264">
          <a:extLst>
            <a:ext uri="{FF2B5EF4-FFF2-40B4-BE49-F238E27FC236}">
              <a16:creationId xmlns:a16="http://schemas.microsoft.com/office/drawing/2014/main" id="{6AD2021E-5AA0-43E6-95CA-E67A09656177}"/>
            </a:ext>
          </a:extLst>
        </xdr:cNvPr>
        <xdr:cNvCxnSpPr/>
      </xdr:nvCxnSpPr>
      <xdr:spPr>
        <a:xfrm>
          <a:off x="20149945" y="462315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2552</xdr:row>
      <xdr:rowOff>99417</xdr:rowOff>
    </xdr:from>
    <xdr:to>
      <xdr:col>11</xdr:col>
      <xdr:colOff>195070</xdr:colOff>
      <xdr:row>2554</xdr:row>
      <xdr:rowOff>105420</xdr:rowOff>
    </xdr:to>
    <xdr:cxnSp macro="_xll.PtreeEvent_ObjectClick">
      <xdr:nvCxnSpPr>
        <xdr:cNvPr id="5062" name="PTObj_DBranchDLine_1_1264">
          <a:extLst>
            <a:ext uri="{FF2B5EF4-FFF2-40B4-BE49-F238E27FC236}">
              <a16:creationId xmlns:a16="http://schemas.microsoft.com/office/drawing/2014/main" id="{7F94A54F-FA6F-46D3-A73C-68D02DA38B73}"/>
            </a:ext>
          </a:extLst>
        </xdr:cNvPr>
        <xdr:cNvCxnSpPr/>
      </xdr:nvCxnSpPr>
      <xdr:spPr>
        <a:xfrm>
          <a:off x="19997545" y="4619476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2552</xdr:row>
      <xdr:rowOff>101600</xdr:rowOff>
    </xdr:from>
    <xdr:to>
      <xdr:col>10</xdr:col>
      <xdr:colOff>1388870</xdr:colOff>
      <xdr:row>2552</xdr:row>
      <xdr:rowOff>101600</xdr:rowOff>
    </xdr:to>
    <xdr:cxnSp macro="_xll.PtreeEvent_ObjectClick">
      <xdr:nvCxnSpPr>
        <xdr:cNvPr id="5059" name="PTObj_DBranchHLine_1_1263">
          <a:extLst>
            <a:ext uri="{FF2B5EF4-FFF2-40B4-BE49-F238E27FC236}">
              <a16:creationId xmlns:a16="http://schemas.microsoft.com/office/drawing/2014/main" id="{24FCED9D-BBEE-45F6-8CC9-2186A81F318A}"/>
            </a:ext>
          </a:extLst>
        </xdr:cNvPr>
        <xdr:cNvCxnSpPr/>
      </xdr:nvCxnSpPr>
      <xdr:spPr>
        <a:xfrm>
          <a:off x="18730720" y="461949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2550</xdr:row>
      <xdr:rowOff>97433</xdr:rowOff>
    </xdr:from>
    <xdr:to>
      <xdr:col>10</xdr:col>
      <xdr:colOff>204595</xdr:colOff>
      <xdr:row>2552</xdr:row>
      <xdr:rowOff>101600</xdr:rowOff>
    </xdr:to>
    <xdr:cxnSp macro="_xll.PtreeEvent_ObjectClick">
      <xdr:nvCxnSpPr>
        <xdr:cNvPr id="5058" name="PTObj_DBranchDLine_1_1263">
          <a:extLst>
            <a:ext uri="{FF2B5EF4-FFF2-40B4-BE49-F238E27FC236}">
              <a16:creationId xmlns:a16="http://schemas.microsoft.com/office/drawing/2014/main" id="{84050438-9E65-4C21-9F93-442EC0B77596}"/>
            </a:ext>
          </a:extLst>
        </xdr:cNvPr>
        <xdr:cNvCxnSpPr/>
      </xdr:nvCxnSpPr>
      <xdr:spPr>
        <a:xfrm>
          <a:off x="18578320" y="4615836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2550</xdr:row>
      <xdr:rowOff>97780</xdr:rowOff>
    </xdr:from>
    <xdr:to>
      <xdr:col>9</xdr:col>
      <xdr:colOff>1392681</xdr:colOff>
      <xdr:row>2550</xdr:row>
      <xdr:rowOff>97780</xdr:rowOff>
    </xdr:to>
    <xdr:cxnSp macro="_xll.PtreeEvent_ObjectClick">
      <xdr:nvCxnSpPr>
        <xdr:cNvPr id="5055" name="PTObj_DBranchHLine_1_1262">
          <a:extLst>
            <a:ext uri="{FF2B5EF4-FFF2-40B4-BE49-F238E27FC236}">
              <a16:creationId xmlns:a16="http://schemas.microsoft.com/office/drawing/2014/main" id="{47B6A8AD-4944-453D-9653-86EC577B8FCD}"/>
            </a:ext>
          </a:extLst>
        </xdr:cNvPr>
        <xdr:cNvCxnSpPr/>
      </xdr:nvCxnSpPr>
      <xdr:spPr>
        <a:xfrm>
          <a:off x="17306734" y="461584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2548</xdr:row>
      <xdr:rowOff>91728</xdr:rowOff>
    </xdr:from>
    <xdr:to>
      <xdr:col>9</xdr:col>
      <xdr:colOff>209359</xdr:colOff>
      <xdr:row>2550</xdr:row>
      <xdr:rowOff>97780</xdr:rowOff>
    </xdr:to>
    <xdr:cxnSp macro="_xll.PtreeEvent_ObjectClick">
      <xdr:nvCxnSpPr>
        <xdr:cNvPr id="5054" name="PTObj_DBranchDLine_1_1262">
          <a:extLst>
            <a:ext uri="{FF2B5EF4-FFF2-40B4-BE49-F238E27FC236}">
              <a16:creationId xmlns:a16="http://schemas.microsoft.com/office/drawing/2014/main" id="{9AF853B2-4E0F-4BAD-B9D2-C4C5189C6430}"/>
            </a:ext>
          </a:extLst>
        </xdr:cNvPr>
        <xdr:cNvCxnSpPr/>
      </xdr:nvCxnSpPr>
      <xdr:spPr>
        <a:xfrm>
          <a:off x="17154334" y="4612160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2548</xdr:row>
      <xdr:rowOff>93960</xdr:rowOff>
    </xdr:from>
    <xdr:to>
      <xdr:col>8</xdr:col>
      <xdr:colOff>1398397</xdr:colOff>
      <xdr:row>2548</xdr:row>
      <xdr:rowOff>93960</xdr:rowOff>
    </xdr:to>
    <xdr:cxnSp macro="_xll.PtreeEvent_ObjectClick">
      <xdr:nvCxnSpPr>
        <xdr:cNvPr id="5051" name="PTObj_DBranchHLine_1_1261">
          <a:extLst>
            <a:ext uri="{FF2B5EF4-FFF2-40B4-BE49-F238E27FC236}">
              <a16:creationId xmlns:a16="http://schemas.microsoft.com/office/drawing/2014/main" id="{FA409B39-7A85-4382-ABE7-C38644A7F8A2}"/>
            </a:ext>
          </a:extLst>
        </xdr:cNvPr>
        <xdr:cNvCxnSpPr/>
      </xdr:nvCxnSpPr>
      <xdr:spPr>
        <a:xfrm>
          <a:off x="15884652" y="4612182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2548</xdr:row>
      <xdr:rowOff>93960</xdr:rowOff>
    </xdr:from>
    <xdr:to>
      <xdr:col>8</xdr:col>
      <xdr:colOff>216027</xdr:colOff>
      <xdr:row>2556</xdr:row>
      <xdr:rowOff>104130</xdr:rowOff>
    </xdr:to>
    <xdr:cxnSp macro="_xll.PtreeEvent_ObjectClick">
      <xdr:nvCxnSpPr>
        <xdr:cNvPr id="5050" name="PTObj_DBranchDLine_1_1261">
          <a:extLst>
            <a:ext uri="{FF2B5EF4-FFF2-40B4-BE49-F238E27FC236}">
              <a16:creationId xmlns:a16="http://schemas.microsoft.com/office/drawing/2014/main" id="{9C9A6C6E-8EF4-4F32-AA6F-B5F9A484AB14}"/>
            </a:ext>
          </a:extLst>
        </xdr:cNvPr>
        <xdr:cNvCxnSpPr/>
      </xdr:nvCxnSpPr>
      <xdr:spPr>
        <a:xfrm flipV="1">
          <a:off x="15732252" y="461218260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2556</xdr:row>
      <xdr:rowOff>109240</xdr:rowOff>
    </xdr:from>
    <xdr:to>
      <xdr:col>7</xdr:col>
      <xdr:colOff>1402207</xdr:colOff>
      <xdr:row>2556</xdr:row>
      <xdr:rowOff>109240</xdr:rowOff>
    </xdr:to>
    <xdr:cxnSp macro="_xll.PtreeEvent_ObjectClick">
      <xdr:nvCxnSpPr>
        <xdr:cNvPr id="5047" name="PTObj_DBranchHLine_1_1265">
          <a:extLst>
            <a:ext uri="{FF2B5EF4-FFF2-40B4-BE49-F238E27FC236}">
              <a16:creationId xmlns:a16="http://schemas.microsoft.com/office/drawing/2014/main" id="{FDBEF43C-9138-4BA3-84C7-032F3EAF6FD9}"/>
            </a:ext>
          </a:extLst>
        </xdr:cNvPr>
        <xdr:cNvCxnSpPr/>
      </xdr:nvCxnSpPr>
      <xdr:spPr>
        <a:xfrm>
          <a:off x="14462570" y="4626813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2556</xdr:row>
      <xdr:rowOff>109240</xdr:rowOff>
    </xdr:from>
    <xdr:to>
      <xdr:col>7</xdr:col>
      <xdr:colOff>222695</xdr:colOff>
      <xdr:row>2566</xdr:row>
      <xdr:rowOff>123180</xdr:rowOff>
    </xdr:to>
    <xdr:cxnSp macro="_xll.PtreeEvent_ObjectClick">
      <xdr:nvCxnSpPr>
        <xdr:cNvPr id="5046" name="PTObj_DBranchDLine_1_1265">
          <a:extLst>
            <a:ext uri="{FF2B5EF4-FFF2-40B4-BE49-F238E27FC236}">
              <a16:creationId xmlns:a16="http://schemas.microsoft.com/office/drawing/2014/main" id="{E30996B7-1C09-4B79-A4DB-FF9E95496D47}"/>
            </a:ext>
          </a:extLst>
        </xdr:cNvPr>
        <xdr:cNvCxnSpPr/>
      </xdr:nvCxnSpPr>
      <xdr:spPr>
        <a:xfrm flipV="1">
          <a:off x="14310170" y="462681340"/>
          <a:ext cx="152400" cy="18236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2566</xdr:row>
      <xdr:rowOff>128290</xdr:rowOff>
    </xdr:from>
    <xdr:to>
      <xdr:col>6</xdr:col>
      <xdr:colOff>1407922</xdr:colOff>
      <xdr:row>2566</xdr:row>
      <xdr:rowOff>128290</xdr:rowOff>
    </xdr:to>
    <xdr:cxnSp macro="_xll.PtreeEvent_ObjectClick">
      <xdr:nvCxnSpPr>
        <xdr:cNvPr id="5043" name="PTObj_DBranchHLine_1_1270">
          <a:extLst>
            <a:ext uri="{FF2B5EF4-FFF2-40B4-BE49-F238E27FC236}">
              <a16:creationId xmlns:a16="http://schemas.microsoft.com/office/drawing/2014/main" id="{04C361E4-AE23-4E56-B46C-1D0F83931CAE}"/>
            </a:ext>
          </a:extLst>
        </xdr:cNvPr>
        <xdr:cNvCxnSpPr/>
      </xdr:nvCxnSpPr>
      <xdr:spPr>
        <a:xfrm>
          <a:off x="13036677" y="46451014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2546</xdr:row>
      <xdr:rowOff>84138</xdr:rowOff>
    </xdr:from>
    <xdr:to>
      <xdr:col>6</xdr:col>
      <xdr:colOff>225552</xdr:colOff>
      <xdr:row>2566</xdr:row>
      <xdr:rowOff>128290</xdr:rowOff>
    </xdr:to>
    <xdr:cxnSp macro="_xll.PtreeEvent_ObjectClick">
      <xdr:nvCxnSpPr>
        <xdr:cNvPr id="5042" name="PTObj_DBranchDLine_1_1270">
          <a:extLst>
            <a:ext uri="{FF2B5EF4-FFF2-40B4-BE49-F238E27FC236}">
              <a16:creationId xmlns:a16="http://schemas.microsoft.com/office/drawing/2014/main" id="{EF18384D-4AB8-478D-9A30-09E5172FE86E}"/>
            </a:ext>
          </a:extLst>
        </xdr:cNvPr>
        <xdr:cNvCxnSpPr/>
      </xdr:nvCxnSpPr>
      <xdr:spPr>
        <a:xfrm>
          <a:off x="12884276" y="460846488"/>
          <a:ext cx="152401" cy="366365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2544</xdr:row>
      <xdr:rowOff>86370</xdr:rowOff>
    </xdr:from>
    <xdr:to>
      <xdr:col>11</xdr:col>
      <xdr:colOff>1386967</xdr:colOff>
      <xdr:row>2544</xdr:row>
      <xdr:rowOff>86370</xdr:rowOff>
    </xdr:to>
    <xdr:cxnSp macro="_xll.PtreeEvent_ObjectClick">
      <xdr:nvCxnSpPr>
        <xdr:cNvPr id="5039" name="PTObj_DBranchHLine_1_1259">
          <a:extLst>
            <a:ext uri="{FF2B5EF4-FFF2-40B4-BE49-F238E27FC236}">
              <a16:creationId xmlns:a16="http://schemas.microsoft.com/office/drawing/2014/main" id="{AC693A13-E241-463A-8099-18FDB05BB14B}"/>
            </a:ext>
          </a:extLst>
        </xdr:cNvPr>
        <xdr:cNvCxnSpPr/>
      </xdr:nvCxnSpPr>
      <xdr:spPr>
        <a:xfrm>
          <a:off x="20149945" y="460486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2542</xdr:row>
      <xdr:rowOff>73670</xdr:rowOff>
    </xdr:from>
    <xdr:to>
      <xdr:col>11</xdr:col>
      <xdr:colOff>195070</xdr:colOff>
      <xdr:row>2544</xdr:row>
      <xdr:rowOff>86370</xdr:rowOff>
    </xdr:to>
    <xdr:cxnSp macro="_xll.PtreeEvent_ObjectClick">
      <xdr:nvCxnSpPr>
        <xdr:cNvPr id="5038" name="PTObj_DBranchDLine_1_1259">
          <a:extLst>
            <a:ext uri="{FF2B5EF4-FFF2-40B4-BE49-F238E27FC236}">
              <a16:creationId xmlns:a16="http://schemas.microsoft.com/office/drawing/2014/main" id="{74778042-E06C-4340-828A-3005ED6AD1EF}"/>
            </a:ext>
          </a:extLst>
        </xdr:cNvPr>
        <xdr:cNvCxnSpPr/>
      </xdr:nvCxnSpPr>
      <xdr:spPr>
        <a:xfrm>
          <a:off x="19997545" y="460112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2542</xdr:row>
      <xdr:rowOff>82550</xdr:rowOff>
    </xdr:from>
    <xdr:to>
      <xdr:col>10</xdr:col>
      <xdr:colOff>1388870</xdr:colOff>
      <xdr:row>2542</xdr:row>
      <xdr:rowOff>82550</xdr:rowOff>
    </xdr:to>
    <xdr:cxnSp macro="_xll.PtreeEvent_ObjectClick">
      <xdr:nvCxnSpPr>
        <xdr:cNvPr id="5035" name="PTObj_DBranchHLine_1_1258">
          <a:extLst>
            <a:ext uri="{FF2B5EF4-FFF2-40B4-BE49-F238E27FC236}">
              <a16:creationId xmlns:a16="http://schemas.microsoft.com/office/drawing/2014/main" id="{16350681-6AEE-4C72-8B2D-E252838514B0}"/>
            </a:ext>
          </a:extLst>
        </xdr:cNvPr>
        <xdr:cNvCxnSpPr/>
      </xdr:nvCxnSpPr>
      <xdr:spPr>
        <a:xfrm>
          <a:off x="18730720" y="460121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2540</xdr:row>
      <xdr:rowOff>77490</xdr:rowOff>
    </xdr:from>
    <xdr:to>
      <xdr:col>10</xdr:col>
      <xdr:colOff>204595</xdr:colOff>
      <xdr:row>2542</xdr:row>
      <xdr:rowOff>82550</xdr:rowOff>
    </xdr:to>
    <xdr:cxnSp macro="_xll.PtreeEvent_ObjectClick">
      <xdr:nvCxnSpPr>
        <xdr:cNvPr id="5034" name="PTObj_DBranchDLine_1_1258">
          <a:extLst>
            <a:ext uri="{FF2B5EF4-FFF2-40B4-BE49-F238E27FC236}">
              <a16:creationId xmlns:a16="http://schemas.microsoft.com/office/drawing/2014/main" id="{83061B8A-3A20-40C1-A419-1BEBE265A36F}"/>
            </a:ext>
          </a:extLst>
        </xdr:cNvPr>
        <xdr:cNvCxnSpPr/>
      </xdr:nvCxnSpPr>
      <xdr:spPr>
        <a:xfrm>
          <a:off x="18578320" y="459753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2540</xdr:row>
      <xdr:rowOff>78730</xdr:rowOff>
    </xdr:from>
    <xdr:to>
      <xdr:col>9</xdr:col>
      <xdr:colOff>1392681</xdr:colOff>
      <xdr:row>2540</xdr:row>
      <xdr:rowOff>78730</xdr:rowOff>
    </xdr:to>
    <xdr:cxnSp macro="_xll.PtreeEvent_ObjectClick">
      <xdr:nvCxnSpPr>
        <xdr:cNvPr id="5031" name="PTObj_DBranchHLine_1_1257">
          <a:extLst>
            <a:ext uri="{FF2B5EF4-FFF2-40B4-BE49-F238E27FC236}">
              <a16:creationId xmlns:a16="http://schemas.microsoft.com/office/drawing/2014/main" id="{AF8C5BEA-B956-4A18-882D-DB48A224939E}"/>
            </a:ext>
          </a:extLst>
        </xdr:cNvPr>
        <xdr:cNvCxnSpPr/>
      </xdr:nvCxnSpPr>
      <xdr:spPr>
        <a:xfrm>
          <a:off x="17306734" y="459755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2538</xdr:row>
      <xdr:rowOff>73620</xdr:rowOff>
    </xdr:from>
    <xdr:to>
      <xdr:col>9</xdr:col>
      <xdr:colOff>209359</xdr:colOff>
      <xdr:row>2540</xdr:row>
      <xdr:rowOff>78730</xdr:rowOff>
    </xdr:to>
    <xdr:cxnSp macro="_xll.PtreeEvent_ObjectClick">
      <xdr:nvCxnSpPr>
        <xdr:cNvPr id="5030" name="PTObj_DBranchDLine_1_1257">
          <a:extLst>
            <a:ext uri="{FF2B5EF4-FFF2-40B4-BE49-F238E27FC236}">
              <a16:creationId xmlns:a16="http://schemas.microsoft.com/office/drawing/2014/main" id="{66AB523E-91B7-4560-B03E-4B2F935D7021}"/>
            </a:ext>
          </a:extLst>
        </xdr:cNvPr>
        <xdr:cNvCxnSpPr/>
      </xdr:nvCxnSpPr>
      <xdr:spPr>
        <a:xfrm>
          <a:off x="17154334" y="4593881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2538</xdr:row>
      <xdr:rowOff>74910</xdr:rowOff>
    </xdr:from>
    <xdr:to>
      <xdr:col>8</xdr:col>
      <xdr:colOff>1398397</xdr:colOff>
      <xdr:row>2538</xdr:row>
      <xdr:rowOff>74910</xdr:rowOff>
    </xdr:to>
    <xdr:cxnSp macro="_xll.PtreeEvent_ObjectClick">
      <xdr:nvCxnSpPr>
        <xdr:cNvPr id="5027" name="PTObj_DBranchHLine_1_1256">
          <a:extLst>
            <a:ext uri="{FF2B5EF4-FFF2-40B4-BE49-F238E27FC236}">
              <a16:creationId xmlns:a16="http://schemas.microsoft.com/office/drawing/2014/main" id="{D4234CF8-97DB-4C9C-9259-FD3856ACC7E5}"/>
            </a:ext>
          </a:extLst>
        </xdr:cNvPr>
        <xdr:cNvCxnSpPr/>
      </xdr:nvCxnSpPr>
      <xdr:spPr>
        <a:xfrm>
          <a:off x="15888463" y="4593894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2536</xdr:row>
      <xdr:rowOff>71735</xdr:rowOff>
    </xdr:from>
    <xdr:to>
      <xdr:col>8</xdr:col>
      <xdr:colOff>219838</xdr:colOff>
      <xdr:row>2538</xdr:row>
      <xdr:rowOff>74910</xdr:rowOff>
    </xdr:to>
    <xdr:cxnSp macro="_xll.PtreeEvent_ObjectClick">
      <xdr:nvCxnSpPr>
        <xdr:cNvPr id="5026" name="PTObj_DBranchDLine_1_1256">
          <a:extLst>
            <a:ext uri="{FF2B5EF4-FFF2-40B4-BE49-F238E27FC236}">
              <a16:creationId xmlns:a16="http://schemas.microsoft.com/office/drawing/2014/main" id="{618846DF-3C3E-4250-B5EA-759828012978}"/>
            </a:ext>
          </a:extLst>
        </xdr:cNvPr>
        <xdr:cNvCxnSpPr/>
      </xdr:nvCxnSpPr>
      <xdr:spPr>
        <a:xfrm>
          <a:off x="15736063" y="459024335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2534</xdr:row>
      <xdr:rowOff>67320</xdr:rowOff>
    </xdr:from>
    <xdr:to>
      <xdr:col>11</xdr:col>
      <xdr:colOff>1386015</xdr:colOff>
      <xdr:row>2534</xdr:row>
      <xdr:rowOff>67320</xdr:rowOff>
    </xdr:to>
    <xdr:cxnSp macro="_xll.PtreeEvent_ObjectClick">
      <xdr:nvCxnSpPr>
        <xdr:cNvPr id="5023" name="PTObj_DBranchHLine_1_1254">
          <a:extLst>
            <a:ext uri="{FF2B5EF4-FFF2-40B4-BE49-F238E27FC236}">
              <a16:creationId xmlns:a16="http://schemas.microsoft.com/office/drawing/2014/main" id="{D6909E9E-9C16-491B-8409-DCF86BB720B8}"/>
            </a:ext>
          </a:extLst>
        </xdr:cNvPr>
        <xdr:cNvCxnSpPr/>
      </xdr:nvCxnSpPr>
      <xdr:spPr>
        <a:xfrm>
          <a:off x="20149945" y="458657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2532</xdr:row>
      <xdr:rowOff>58440</xdr:rowOff>
    </xdr:from>
    <xdr:to>
      <xdr:col>11</xdr:col>
      <xdr:colOff>195070</xdr:colOff>
      <xdr:row>2534</xdr:row>
      <xdr:rowOff>67320</xdr:rowOff>
    </xdr:to>
    <xdr:cxnSp macro="_xll.PtreeEvent_ObjectClick">
      <xdr:nvCxnSpPr>
        <xdr:cNvPr id="5022" name="PTObj_DBranchDLine_1_1254">
          <a:extLst>
            <a:ext uri="{FF2B5EF4-FFF2-40B4-BE49-F238E27FC236}">
              <a16:creationId xmlns:a16="http://schemas.microsoft.com/office/drawing/2014/main" id="{5683C7BE-37CA-4578-A6DC-081FAECC691F}"/>
            </a:ext>
          </a:extLst>
        </xdr:cNvPr>
        <xdr:cNvCxnSpPr/>
      </xdr:nvCxnSpPr>
      <xdr:spPr>
        <a:xfrm>
          <a:off x="19997545" y="458287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2532</xdr:row>
      <xdr:rowOff>63500</xdr:rowOff>
    </xdr:from>
    <xdr:to>
      <xdr:col>10</xdr:col>
      <xdr:colOff>1388870</xdr:colOff>
      <xdr:row>2532</xdr:row>
      <xdr:rowOff>63500</xdr:rowOff>
    </xdr:to>
    <xdr:cxnSp macro="_xll.PtreeEvent_ObjectClick">
      <xdr:nvCxnSpPr>
        <xdr:cNvPr id="5019" name="PTObj_DBranchHLine_1_1253">
          <a:extLst>
            <a:ext uri="{FF2B5EF4-FFF2-40B4-BE49-F238E27FC236}">
              <a16:creationId xmlns:a16="http://schemas.microsoft.com/office/drawing/2014/main" id="{44D38176-0A5D-4947-9F10-136BEC920A95}"/>
            </a:ext>
          </a:extLst>
        </xdr:cNvPr>
        <xdr:cNvCxnSpPr/>
      </xdr:nvCxnSpPr>
      <xdr:spPr>
        <a:xfrm>
          <a:off x="18730720" y="458292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2530</xdr:row>
      <xdr:rowOff>54620</xdr:rowOff>
    </xdr:from>
    <xdr:to>
      <xdr:col>10</xdr:col>
      <xdr:colOff>204595</xdr:colOff>
      <xdr:row>2532</xdr:row>
      <xdr:rowOff>63500</xdr:rowOff>
    </xdr:to>
    <xdr:cxnSp macro="_xll.PtreeEvent_ObjectClick">
      <xdr:nvCxnSpPr>
        <xdr:cNvPr id="5018" name="PTObj_DBranchDLine_1_1253">
          <a:extLst>
            <a:ext uri="{FF2B5EF4-FFF2-40B4-BE49-F238E27FC236}">
              <a16:creationId xmlns:a16="http://schemas.microsoft.com/office/drawing/2014/main" id="{6AC7A97D-D75C-41B8-B5A1-F1B148419E98}"/>
            </a:ext>
          </a:extLst>
        </xdr:cNvPr>
        <xdr:cNvCxnSpPr/>
      </xdr:nvCxnSpPr>
      <xdr:spPr>
        <a:xfrm>
          <a:off x="18578320" y="457921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2530</xdr:row>
      <xdr:rowOff>59680</xdr:rowOff>
    </xdr:from>
    <xdr:to>
      <xdr:col>9</xdr:col>
      <xdr:colOff>1392681</xdr:colOff>
      <xdr:row>2530</xdr:row>
      <xdr:rowOff>59680</xdr:rowOff>
    </xdr:to>
    <xdr:cxnSp macro="_xll.PtreeEvent_ObjectClick">
      <xdr:nvCxnSpPr>
        <xdr:cNvPr id="5015" name="PTObj_DBranchHLine_1_1252">
          <a:extLst>
            <a:ext uri="{FF2B5EF4-FFF2-40B4-BE49-F238E27FC236}">
              <a16:creationId xmlns:a16="http://schemas.microsoft.com/office/drawing/2014/main" id="{05BEDCB6-64DC-41F9-8E1A-07C1559FF40D}"/>
            </a:ext>
          </a:extLst>
        </xdr:cNvPr>
        <xdr:cNvCxnSpPr/>
      </xdr:nvCxnSpPr>
      <xdr:spPr>
        <a:xfrm>
          <a:off x="17306734" y="457926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2528</xdr:row>
      <xdr:rowOff>46980</xdr:rowOff>
    </xdr:from>
    <xdr:to>
      <xdr:col>9</xdr:col>
      <xdr:colOff>209359</xdr:colOff>
      <xdr:row>2530</xdr:row>
      <xdr:rowOff>59680</xdr:rowOff>
    </xdr:to>
    <xdr:cxnSp macro="_xll.PtreeEvent_ObjectClick">
      <xdr:nvCxnSpPr>
        <xdr:cNvPr id="5014" name="PTObj_DBranchDLine_1_1252">
          <a:extLst>
            <a:ext uri="{FF2B5EF4-FFF2-40B4-BE49-F238E27FC236}">
              <a16:creationId xmlns:a16="http://schemas.microsoft.com/office/drawing/2014/main" id="{6D4F1DCD-02C4-4A75-AE4A-DAFABDDD4EB8}"/>
            </a:ext>
          </a:extLst>
        </xdr:cNvPr>
        <xdr:cNvCxnSpPr/>
      </xdr:nvCxnSpPr>
      <xdr:spPr>
        <a:xfrm>
          <a:off x="17154334" y="457551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2528</xdr:row>
      <xdr:rowOff>55860</xdr:rowOff>
    </xdr:from>
    <xdr:to>
      <xdr:col>8</xdr:col>
      <xdr:colOff>1398397</xdr:colOff>
      <xdr:row>2528</xdr:row>
      <xdr:rowOff>55860</xdr:rowOff>
    </xdr:to>
    <xdr:cxnSp macro="_xll.PtreeEvent_ObjectClick">
      <xdr:nvCxnSpPr>
        <xdr:cNvPr id="5011" name="PTObj_DBranchHLine_1_1251">
          <a:extLst>
            <a:ext uri="{FF2B5EF4-FFF2-40B4-BE49-F238E27FC236}">
              <a16:creationId xmlns:a16="http://schemas.microsoft.com/office/drawing/2014/main" id="{63EBD629-5BF6-4450-8DB0-24956276AF0F}"/>
            </a:ext>
          </a:extLst>
        </xdr:cNvPr>
        <xdr:cNvCxnSpPr/>
      </xdr:nvCxnSpPr>
      <xdr:spPr>
        <a:xfrm>
          <a:off x="15884652" y="4575606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2528</xdr:row>
      <xdr:rowOff>55860</xdr:rowOff>
    </xdr:from>
    <xdr:to>
      <xdr:col>8</xdr:col>
      <xdr:colOff>216027</xdr:colOff>
      <xdr:row>2536</xdr:row>
      <xdr:rowOff>71735</xdr:rowOff>
    </xdr:to>
    <xdr:cxnSp macro="_xll.PtreeEvent_ObjectClick">
      <xdr:nvCxnSpPr>
        <xdr:cNvPr id="5010" name="PTObj_DBranchDLine_1_1251">
          <a:extLst>
            <a:ext uri="{FF2B5EF4-FFF2-40B4-BE49-F238E27FC236}">
              <a16:creationId xmlns:a16="http://schemas.microsoft.com/office/drawing/2014/main" id="{38FF40DC-78F9-488F-9FAA-0BBC90CB5568}"/>
            </a:ext>
          </a:extLst>
        </xdr:cNvPr>
        <xdr:cNvCxnSpPr/>
      </xdr:nvCxnSpPr>
      <xdr:spPr>
        <a:xfrm flipV="1">
          <a:off x="15732252" y="457560660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2536</xdr:row>
      <xdr:rowOff>71140</xdr:rowOff>
    </xdr:from>
    <xdr:to>
      <xdr:col>7</xdr:col>
      <xdr:colOff>1402207</xdr:colOff>
      <xdr:row>2536</xdr:row>
      <xdr:rowOff>71140</xdr:rowOff>
    </xdr:to>
    <xdr:cxnSp macro="_xll.PtreeEvent_ObjectClick">
      <xdr:nvCxnSpPr>
        <xdr:cNvPr id="5007" name="PTObj_DBranchHLine_1_1255">
          <a:extLst>
            <a:ext uri="{FF2B5EF4-FFF2-40B4-BE49-F238E27FC236}">
              <a16:creationId xmlns:a16="http://schemas.microsoft.com/office/drawing/2014/main" id="{4612661E-C9E5-4867-BCCC-67F7717E86AF}"/>
            </a:ext>
          </a:extLst>
        </xdr:cNvPr>
        <xdr:cNvCxnSpPr/>
      </xdr:nvCxnSpPr>
      <xdr:spPr>
        <a:xfrm>
          <a:off x="14460665" y="4590237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2526</xdr:row>
      <xdr:rowOff>40332</xdr:rowOff>
    </xdr:from>
    <xdr:to>
      <xdr:col>7</xdr:col>
      <xdr:colOff>220790</xdr:colOff>
      <xdr:row>2536</xdr:row>
      <xdr:rowOff>71140</xdr:rowOff>
    </xdr:to>
    <xdr:cxnSp macro="_xll.PtreeEvent_ObjectClick">
      <xdr:nvCxnSpPr>
        <xdr:cNvPr id="5006" name="PTObj_DBranchDLine_1_1255">
          <a:extLst>
            <a:ext uri="{FF2B5EF4-FFF2-40B4-BE49-F238E27FC236}">
              <a16:creationId xmlns:a16="http://schemas.microsoft.com/office/drawing/2014/main" id="{0D3273A1-721F-4D3F-8043-B04A0E2985B6}"/>
            </a:ext>
          </a:extLst>
        </xdr:cNvPr>
        <xdr:cNvCxnSpPr/>
      </xdr:nvCxnSpPr>
      <xdr:spPr>
        <a:xfrm>
          <a:off x="14308265" y="457183182"/>
          <a:ext cx="152400" cy="18405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2524</xdr:row>
      <xdr:rowOff>48270</xdr:rowOff>
    </xdr:from>
    <xdr:to>
      <xdr:col>11</xdr:col>
      <xdr:colOff>1386967</xdr:colOff>
      <xdr:row>2524</xdr:row>
      <xdr:rowOff>48270</xdr:rowOff>
    </xdr:to>
    <xdr:cxnSp macro="_xll.PtreeEvent_ObjectClick">
      <xdr:nvCxnSpPr>
        <xdr:cNvPr id="5003" name="PTObj_DBranchHLine_1_1249">
          <a:extLst>
            <a:ext uri="{FF2B5EF4-FFF2-40B4-BE49-F238E27FC236}">
              <a16:creationId xmlns:a16="http://schemas.microsoft.com/office/drawing/2014/main" id="{62FE14C3-3633-4D43-9ABD-B568FDDA2AB4}"/>
            </a:ext>
          </a:extLst>
        </xdr:cNvPr>
        <xdr:cNvCxnSpPr/>
      </xdr:nvCxnSpPr>
      <xdr:spPr>
        <a:xfrm>
          <a:off x="20149945" y="456829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2522</xdr:row>
      <xdr:rowOff>35570</xdr:rowOff>
    </xdr:from>
    <xdr:to>
      <xdr:col>11</xdr:col>
      <xdr:colOff>195070</xdr:colOff>
      <xdr:row>2524</xdr:row>
      <xdr:rowOff>48270</xdr:rowOff>
    </xdr:to>
    <xdr:cxnSp macro="_xll.PtreeEvent_ObjectClick">
      <xdr:nvCxnSpPr>
        <xdr:cNvPr id="5002" name="PTObj_DBranchDLine_1_1249">
          <a:extLst>
            <a:ext uri="{FF2B5EF4-FFF2-40B4-BE49-F238E27FC236}">
              <a16:creationId xmlns:a16="http://schemas.microsoft.com/office/drawing/2014/main" id="{8BD34524-A186-48DD-ABAC-BD4EEEC14AB2}"/>
            </a:ext>
          </a:extLst>
        </xdr:cNvPr>
        <xdr:cNvCxnSpPr/>
      </xdr:nvCxnSpPr>
      <xdr:spPr>
        <a:xfrm>
          <a:off x="19997545" y="456454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2522</xdr:row>
      <xdr:rowOff>44450</xdr:rowOff>
    </xdr:from>
    <xdr:to>
      <xdr:col>10</xdr:col>
      <xdr:colOff>1388870</xdr:colOff>
      <xdr:row>2522</xdr:row>
      <xdr:rowOff>44450</xdr:rowOff>
    </xdr:to>
    <xdr:cxnSp macro="_xll.PtreeEvent_ObjectClick">
      <xdr:nvCxnSpPr>
        <xdr:cNvPr id="4999" name="PTObj_DBranchHLine_1_1248">
          <a:extLst>
            <a:ext uri="{FF2B5EF4-FFF2-40B4-BE49-F238E27FC236}">
              <a16:creationId xmlns:a16="http://schemas.microsoft.com/office/drawing/2014/main" id="{D18B73CE-6D3E-474A-A45E-080277F00562}"/>
            </a:ext>
          </a:extLst>
        </xdr:cNvPr>
        <xdr:cNvCxnSpPr/>
      </xdr:nvCxnSpPr>
      <xdr:spPr>
        <a:xfrm>
          <a:off x="18730720" y="456463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2520</xdr:row>
      <xdr:rowOff>39390</xdr:rowOff>
    </xdr:from>
    <xdr:to>
      <xdr:col>10</xdr:col>
      <xdr:colOff>204595</xdr:colOff>
      <xdr:row>2522</xdr:row>
      <xdr:rowOff>44450</xdr:rowOff>
    </xdr:to>
    <xdr:cxnSp macro="_xll.PtreeEvent_ObjectClick">
      <xdr:nvCxnSpPr>
        <xdr:cNvPr id="4998" name="PTObj_DBranchDLine_1_1248">
          <a:extLst>
            <a:ext uri="{FF2B5EF4-FFF2-40B4-BE49-F238E27FC236}">
              <a16:creationId xmlns:a16="http://schemas.microsoft.com/office/drawing/2014/main" id="{076A4DE0-5D06-49A2-9521-22AD7A107BFB}"/>
            </a:ext>
          </a:extLst>
        </xdr:cNvPr>
        <xdr:cNvCxnSpPr/>
      </xdr:nvCxnSpPr>
      <xdr:spPr>
        <a:xfrm>
          <a:off x="18578320" y="456096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2520</xdr:row>
      <xdr:rowOff>40630</xdr:rowOff>
    </xdr:from>
    <xdr:to>
      <xdr:col>9</xdr:col>
      <xdr:colOff>1392681</xdr:colOff>
      <xdr:row>2520</xdr:row>
      <xdr:rowOff>40630</xdr:rowOff>
    </xdr:to>
    <xdr:cxnSp macro="_xll.PtreeEvent_ObjectClick">
      <xdr:nvCxnSpPr>
        <xdr:cNvPr id="4995" name="PTObj_DBranchHLine_1_1247">
          <a:extLst>
            <a:ext uri="{FF2B5EF4-FFF2-40B4-BE49-F238E27FC236}">
              <a16:creationId xmlns:a16="http://schemas.microsoft.com/office/drawing/2014/main" id="{AC98525F-673C-4A7C-8323-5884E3DBDD11}"/>
            </a:ext>
          </a:extLst>
        </xdr:cNvPr>
        <xdr:cNvCxnSpPr/>
      </xdr:nvCxnSpPr>
      <xdr:spPr>
        <a:xfrm>
          <a:off x="17306734" y="456097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2518</xdr:row>
      <xdr:rowOff>35520</xdr:rowOff>
    </xdr:from>
    <xdr:to>
      <xdr:col>9</xdr:col>
      <xdr:colOff>209359</xdr:colOff>
      <xdr:row>2520</xdr:row>
      <xdr:rowOff>40630</xdr:rowOff>
    </xdr:to>
    <xdr:cxnSp macro="_xll.PtreeEvent_ObjectClick">
      <xdr:nvCxnSpPr>
        <xdr:cNvPr id="4994" name="PTObj_DBranchDLine_1_1247">
          <a:extLst>
            <a:ext uri="{FF2B5EF4-FFF2-40B4-BE49-F238E27FC236}">
              <a16:creationId xmlns:a16="http://schemas.microsoft.com/office/drawing/2014/main" id="{14A01B21-F87B-4E45-940C-D12A8C71FB86}"/>
            </a:ext>
          </a:extLst>
        </xdr:cNvPr>
        <xdr:cNvCxnSpPr/>
      </xdr:nvCxnSpPr>
      <xdr:spPr>
        <a:xfrm>
          <a:off x="17154334" y="4557305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2518</xdr:row>
      <xdr:rowOff>36810</xdr:rowOff>
    </xdr:from>
    <xdr:to>
      <xdr:col>8</xdr:col>
      <xdr:colOff>1398397</xdr:colOff>
      <xdr:row>2518</xdr:row>
      <xdr:rowOff>36810</xdr:rowOff>
    </xdr:to>
    <xdr:cxnSp macro="_xll.PtreeEvent_ObjectClick">
      <xdr:nvCxnSpPr>
        <xdr:cNvPr id="4991" name="PTObj_DBranchHLine_1_1246">
          <a:extLst>
            <a:ext uri="{FF2B5EF4-FFF2-40B4-BE49-F238E27FC236}">
              <a16:creationId xmlns:a16="http://schemas.microsoft.com/office/drawing/2014/main" id="{E4BAF5E6-ACFF-40E6-B81F-4C8FE9C4B1D7}"/>
            </a:ext>
          </a:extLst>
        </xdr:cNvPr>
        <xdr:cNvCxnSpPr/>
      </xdr:nvCxnSpPr>
      <xdr:spPr>
        <a:xfrm>
          <a:off x="15888463" y="4557318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2516</xdr:row>
      <xdr:rowOff>33635</xdr:rowOff>
    </xdr:from>
    <xdr:to>
      <xdr:col>8</xdr:col>
      <xdr:colOff>219838</xdr:colOff>
      <xdr:row>2518</xdr:row>
      <xdr:rowOff>36810</xdr:rowOff>
    </xdr:to>
    <xdr:cxnSp macro="_xll.PtreeEvent_ObjectClick">
      <xdr:nvCxnSpPr>
        <xdr:cNvPr id="4990" name="PTObj_DBranchDLine_1_1246">
          <a:extLst>
            <a:ext uri="{FF2B5EF4-FFF2-40B4-BE49-F238E27FC236}">
              <a16:creationId xmlns:a16="http://schemas.microsoft.com/office/drawing/2014/main" id="{3CE6CBFE-0F64-40C0-BD0B-8998B0EC4542}"/>
            </a:ext>
          </a:extLst>
        </xdr:cNvPr>
        <xdr:cNvCxnSpPr/>
      </xdr:nvCxnSpPr>
      <xdr:spPr>
        <a:xfrm>
          <a:off x="15736063" y="455366735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2514</xdr:row>
      <xdr:rowOff>29220</xdr:rowOff>
    </xdr:from>
    <xdr:to>
      <xdr:col>11</xdr:col>
      <xdr:colOff>1386015</xdr:colOff>
      <xdr:row>2514</xdr:row>
      <xdr:rowOff>29220</xdr:rowOff>
    </xdr:to>
    <xdr:cxnSp macro="_xll.PtreeEvent_ObjectClick">
      <xdr:nvCxnSpPr>
        <xdr:cNvPr id="4987" name="PTObj_DBranchHLine_1_1244">
          <a:extLst>
            <a:ext uri="{FF2B5EF4-FFF2-40B4-BE49-F238E27FC236}">
              <a16:creationId xmlns:a16="http://schemas.microsoft.com/office/drawing/2014/main" id="{4BC76D4D-181E-436F-9D04-60442CE68BAA}"/>
            </a:ext>
          </a:extLst>
        </xdr:cNvPr>
        <xdr:cNvCxnSpPr/>
      </xdr:nvCxnSpPr>
      <xdr:spPr>
        <a:xfrm>
          <a:off x="20149945" y="455000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2512</xdr:row>
      <xdr:rowOff>20340</xdr:rowOff>
    </xdr:from>
    <xdr:to>
      <xdr:col>11</xdr:col>
      <xdr:colOff>195070</xdr:colOff>
      <xdr:row>2514</xdr:row>
      <xdr:rowOff>29220</xdr:rowOff>
    </xdr:to>
    <xdr:cxnSp macro="_xll.PtreeEvent_ObjectClick">
      <xdr:nvCxnSpPr>
        <xdr:cNvPr id="4986" name="PTObj_DBranchDLine_1_1244">
          <a:extLst>
            <a:ext uri="{FF2B5EF4-FFF2-40B4-BE49-F238E27FC236}">
              <a16:creationId xmlns:a16="http://schemas.microsoft.com/office/drawing/2014/main" id="{505D42AB-717C-4D9F-B8D4-845B64D6C066}"/>
            </a:ext>
          </a:extLst>
        </xdr:cNvPr>
        <xdr:cNvCxnSpPr/>
      </xdr:nvCxnSpPr>
      <xdr:spPr>
        <a:xfrm>
          <a:off x="19997545" y="454629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2512</xdr:row>
      <xdr:rowOff>25400</xdr:rowOff>
    </xdr:from>
    <xdr:to>
      <xdr:col>10</xdr:col>
      <xdr:colOff>1388870</xdr:colOff>
      <xdr:row>2512</xdr:row>
      <xdr:rowOff>25400</xdr:rowOff>
    </xdr:to>
    <xdr:cxnSp macro="_xll.PtreeEvent_ObjectClick">
      <xdr:nvCxnSpPr>
        <xdr:cNvPr id="4983" name="PTObj_DBranchHLine_1_1243">
          <a:extLst>
            <a:ext uri="{FF2B5EF4-FFF2-40B4-BE49-F238E27FC236}">
              <a16:creationId xmlns:a16="http://schemas.microsoft.com/office/drawing/2014/main" id="{956AEE50-8573-4A3C-9FA1-CDD3AE3A1474}"/>
            </a:ext>
          </a:extLst>
        </xdr:cNvPr>
        <xdr:cNvCxnSpPr/>
      </xdr:nvCxnSpPr>
      <xdr:spPr>
        <a:xfrm>
          <a:off x="18730720" y="454634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2510</xdr:row>
      <xdr:rowOff>16520</xdr:rowOff>
    </xdr:from>
    <xdr:to>
      <xdr:col>10</xdr:col>
      <xdr:colOff>204595</xdr:colOff>
      <xdr:row>2512</xdr:row>
      <xdr:rowOff>25400</xdr:rowOff>
    </xdr:to>
    <xdr:cxnSp macro="_xll.PtreeEvent_ObjectClick">
      <xdr:nvCxnSpPr>
        <xdr:cNvPr id="4982" name="PTObj_DBranchDLine_1_1243">
          <a:extLst>
            <a:ext uri="{FF2B5EF4-FFF2-40B4-BE49-F238E27FC236}">
              <a16:creationId xmlns:a16="http://schemas.microsoft.com/office/drawing/2014/main" id="{E3ED7628-8866-4817-98BA-70D208EEE0D5}"/>
            </a:ext>
          </a:extLst>
        </xdr:cNvPr>
        <xdr:cNvCxnSpPr/>
      </xdr:nvCxnSpPr>
      <xdr:spPr>
        <a:xfrm>
          <a:off x="18578320" y="454263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2510</xdr:row>
      <xdr:rowOff>21580</xdr:rowOff>
    </xdr:from>
    <xdr:to>
      <xdr:col>9</xdr:col>
      <xdr:colOff>1392681</xdr:colOff>
      <xdr:row>2510</xdr:row>
      <xdr:rowOff>21580</xdr:rowOff>
    </xdr:to>
    <xdr:cxnSp macro="_xll.PtreeEvent_ObjectClick">
      <xdr:nvCxnSpPr>
        <xdr:cNvPr id="4979" name="PTObj_DBranchHLine_1_1242">
          <a:extLst>
            <a:ext uri="{FF2B5EF4-FFF2-40B4-BE49-F238E27FC236}">
              <a16:creationId xmlns:a16="http://schemas.microsoft.com/office/drawing/2014/main" id="{7CECA7FC-AFAE-4813-ACCE-A2063D33F410}"/>
            </a:ext>
          </a:extLst>
        </xdr:cNvPr>
        <xdr:cNvCxnSpPr/>
      </xdr:nvCxnSpPr>
      <xdr:spPr>
        <a:xfrm>
          <a:off x="17306734" y="454268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2508</xdr:row>
      <xdr:rowOff>8880</xdr:rowOff>
    </xdr:from>
    <xdr:to>
      <xdr:col>9</xdr:col>
      <xdr:colOff>209359</xdr:colOff>
      <xdr:row>2510</xdr:row>
      <xdr:rowOff>21580</xdr:rowOff>
    </xdr:to>
    <xdr:cxnSp macro="_xll.PtreeEvent_ObjectClick">
      <xdr:nvCxnSpPr>
        <xdr:cNvPr id="4978" name="PTObj_DBranchDLine_1_1242">
          <a:extLst>
            <a:ext uri="{FF2B5EF4-FFF2-40B4-BE49-F238E27FC236}">
              <a16:creationId xmlns:a16="http://schemas.microsoft.com/office/drawing/2014/main" id="{CD70C7BF-0F8E-44FC-A77D-A800CF3D62CE}"/>
            </a:ext>
          </a:extLst>
        </xdr:cNvPr>
        <xdr:cNvCxnSpPr/>
      </xdr:nvCxnSpPr>
      <xdr:spPr>
        <a:xfrm>
          <a:off x="17154334" y="453894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2508</xdr:row>
      <xdr:rowOff>17760</xdr:rowOff>
    </xdr:from>
    <xdr:to>
      <xdr:col>8</xdr:col>
      <xdr:colOff>1398397</xdr:colOff>
      <xdr:row>2508</xdr:row>
      <xdr:rowOff>17760</xdr:rowOff>
    </xdr:to>
    <xdr:cxnSp macro="_xll.PtreeEvent_ObjectClick">
      <xdr:nvCxnSpPr>
        <xdr:cNvPr id="4975" name="PTObj_DBranchHLine_1_1241">
          <a:extLst>
            <a:ext uri="{FF2B5EF4-FFF2-40B4-BE49-F238E27FC236}">
              <a16:creationId xmlns:a16="http://schemas.microsoft.com/office/drawing/2014/main" id="{13038237-4EEF-4A41-9388-C8BCF22D9EA7}"/>
            </a:ext>
          </a:extLst>
        </xdr:cNvPr>
        <xdr:cNvCxnSpPr/>
      </xdr:nvCxnSpPr>
      <xdr:spPr>
        <a:xfrm>
          <a:off x="15884652" y="4539030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2508</xdr:row>
      <xdr:rowOff>17760</xdr:rowOff>
    </xdr:from>
    <xdr:to>
      <xdr:col>8</xdr:col>
      <xdr:colOff>216027</xdr:colOff>
      <xdr:row>2516</xdr:row>
      <xdr:rowOff>33635</xdr:rowOff>
    </xdr:to>
    <xdr:cxnSp macro="_xll.PtreeEvent_ObjectClick">
      <xdr:nvCxnSpPr>
        <xdr:cNvPr id="4974" name="PTObj_DBranchDLine_1_1241">
          <a:extLst>
            <a:ext uri="{FF2B5EF4-FFF2-40B4-BE49-F238E27FC236}">
              <a16:creationId xmlns:a16="http://schemas.microsoft.com/office/drawing/2014/main" id="{4DD77A05-8BCC-422A-A524-C535625FE3DF}"/>
            </a:ext>
          </a:extLst>
        </xdr:cNvPr>
        <xdr:cNvCxnSpPr/>
      </xdr:nvCxnSpPr>
      <xdr:spPr>
        <a:xfrm flipV="1">
          <a:off x="15732252" y="453903060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2516</xdr:row>
      <xdr:rowOff>33040</xdr:rowOff>
    </xdr:from>
    <xdr:to>
      <xdr:col>7</xdr:col>
      <xdr:colOff>1402207</xdr:colOff>
      <xdr:row>2516</xdr:row>
      <xdr:rowOff>33040</xdr:rowOff>
    </xdr:to>
    <xdr:cxnSp macro="_xll.PtreeEvent_ObjectClick">
      <xdr:nvCxnSpPr>
        <xdr:cNvPr id="4971" name="PTObj_DBranchHLine_1_1245">
          <a:extLst>
            <a:ext uri="{FF2B5EF4-FFF2-40B4-BE49-F238E27FC236}">
              <a16:creationId xmlns:a16="http://schemas.microsoft.com/office/drawing/2014/main" id="{67A4190E-6995-4999-A68F-7400F659DA88}"/>
            </a:ext>
          </a:extLst>
        </xdr:cNvPr>
        <xdr:cNvCxnSpPr/>
      </xdr:nvCxnSpPr>
      <xdr:spPr>
        <a:xfrm>
          <a:off x="14462570" y="4553661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2516</xdr:row>
      <xdr:rowOff>33040</xdr:rowOff>
    </xdr:from>
    <xdr:to>
      <xdr:col>7</xdr:col>
      <xdr:colOff>222695</xdr:colOff>
      <xdr:row>2526</xdr:row>
      <xdr:rowOff>42218</xdr:rowOff>
    </xdr:to>
    <xdr:cxnSp macro="_xll.PtreeEvent_ObjectClick">
      <xdr:nvCxnSpPr>
        <xdr:cNvPr id="4970" name="PTObj_DBranchDLine_1_1245">
          <a:extLst>
            <a:ext uri="{FF2B5EF4-FFF2-40B4-BE49-F238E27FC236}">
              <a16:creationId xmlns:a16="http://schemas.microsoft.com/office/drawing/2014/main" id="{41A196DA-31EE-4676-ADE1-C989B3DFBDAC}"/>
            </a:ext>
          </a:extLst>
        </xdr:cNvPr>
        <xdr:cNvCxnSpPr/>
      </xdr:nvCxnSpPr>
      <xdr:spPr>
        <a:xfrm flipV="1">
          <a:off x="14310170" y="455366140"/>
          <a:ext cx="152400" cy="18189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2526</xdr:row>
      <xdr:rowOff>52090</xdr:rowOff>
    </xdr:from>
    <xdr:to>
      <xdr:col>6</xdr:col>
      <xdr:colOff>1407922</xdr:colOff>
      <xdr:row>2526</xdr:row>
      <xdr:rowOff>52090</xdr:rowOff>
    </xdr:to>
    <xdr:cxnSp macro="_xll.PtreeEvent_ObjectClick">
      <xdr:nvCxnSpPr>
        <xdr:cNvPr id="4967" name="PTObj_DBranchHLine_1_1250">
          <a:extLst>
            <a:ext uri="{FF2B5EF4-FFF2-40B4-BE49-F238E27FC236}">
              <a16:creationId xmlns:a16="http://schemas.microsoft.com/office/drawing/2014/main" id="{C9D4AF63-BC9B-43FA-9D2A-8A6E6AE96D26}"/>
            </a:ext>
          </a:extLst>
        </xdr:cNvPr>
        <xdr:cNvCxnSpPr/>
      </xdr:nvCxnSpPr>
      <xdr:spPr>
        <a:xfrm>
          <a:off x="13034772" y="4571949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2526</xdr:row>
      <xdr:rowOff>52090</xdr:rowOff>
    </xdr:from>
    <xdr:to>
      <xdr:col>6</xdr:col>
      <xdr:colOff>223647</xdr:colOff>
      <xdr:row>2546</xdr:row>
      <xdr:rowOff>84138</xdr:rowOff>
    </xdr:to>
    <xdr:cxnSp macro="_xll.PtreeEvent_ObjectClick">
      <xdr:nvCxnSpPr>
        <xdr:cNvPr id="4966" name="PTObj_DBranchDLine_1_1250">
          <a:extLst>
            <a:ext uri="{FF2B5EF4-FFF2-40B4-BE49-F238E27FC236}">
              <a16:creationId xmlns:a16="http://schemas.microsoft.com/office/drawing/2014/main" id="{13F2B607-1DCB-4A43-A54F-AF98C74716C5}"/>
            </a:ext>
          </a:extLst>
        </xdr:cNvPr>
        <xdr:cNvCxnSpPr/>
      </xdr:nvCxnSpPr>
      <xdr:spPr>
        <a:xfrm flipV="1">
          <a:off x="12882372" y="457194940"/>
          <a:ext cx="152400" cy="365154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2546</xdr:row>
      <xdr:rowOff>90190</xdr:rowOff>
    </xdr:from>
    <xdr:to>
      <xdr:col>5</xdr:col>
      <xdr:colOff>1411732</xdr:colOff>
      <xdr:row>2546</xdr:row>
      <xdr:rowOff>90190</xdr:rowOff>
    </xdr:to>
    <xdr:cxnSp macro="_xll.PtreeEvent_ObjectClick">
      <xdr:nvCxnSpPr>
        <xdr:cNvPr id="4963" name="PTObj_DBranchHLine_1_1260">
          <a:extLst>
            <a:ext uri="{FF2B5EF4-FFF2-40B4-BE49-F238E27FC236}">
              <a16:creationId xmlns:a16="http://schemas.microsoft.com/office/drawing/2014/main" id="{A0F48E36-BE73-4CC1-B872-132CB25D942A}"/>
            </a:ext>
          </a:extLst>
        </xdr:cNvPr>
        <xdr:cNvCxnSpPr/>
      </xdr:nvCxnSpPr>
      <xdr:spPr>
        <a:xfrm>
          <a:off x="11608880" y="460852540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2506</xdr:row>
      <xdr:rowOff>2232</xdr:rowOff>
    </xdr:from>
    <xdr:to>
      <xdr:col>5</xdr:col>
      <xdr:colOff>226505</xdr:colOff>
      <xdr:row>2546</xdr:row>
      <xdr:rowOff>90190</xdr:rowOff>
    </xdr:to>
    <xdr:cxnSp macro="_xll.PtreeEvent_ObjectClick">
      <xdr:nvCxnSpPr>
        <xdr:cNvPr id="4962" name="PTObj_DBranchDLine_1_1260">
          <a:extLst>
            <a:ext uri="{FF2B5EF4-FFF2-40B4-BE49-F238E27FC236}">
              <a16:creationId xmlns:a16="http://schemas.microsoft.com/office/drawing/2014/main" id="{27A94ECE-2B6D-4764-AF23-4493B75C1AF2}"/>
            </a:ext>
          </a:extLst>
        </xdr:cNvPr>
        <xdr:cNvCxnSpPr/>
      </xdr:nvCxnSpPr>
      <xdr:spPr>
        <a:xfrm>
          <a:off x="11456480" y="453525582"/>
          <a:ext cx="152400" cy="73269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2504</xdr:row>
      <xdr:rowOff>10170</xdr:rowOff>
    </xdr:from>
    <xdr:to>
      <xdr:col>11</xdr:col>
      <xdr:colOff>1386967</xdr:colOff>
      <xdr:row>2504</xdr:row>
      <xdr:rowOff>10170</xdr:rowOff>
    </xdr:to>
    <xdr:cxnSp macro="_xll.PtreeEvent_ObjectClick">
      <xdr:nvCxnSpPr>
        <xdr:cNvPr id="4959" name="PTObj_DBranchHLine_1_1239">
          <a:extLst>
            <a:ext uri="{FF2B5EF4-FFF2-40B4-BE49-F238E27FC236}">
              <a16:creationId xmlns:a16="http://schemas.microsoft.com/office/drawing/2014/main" id="{8FF293F8-2B2D-43E2-9D19-9D23B6F36F96}"/>
            </a:ext>
          </a:extLst>
        </xdr:cNvPr>
        <xdr:cNvCxnSpPr/>
      </xdr:nvCxnSpPr>
      <xdr:spPr>
        <a:xfrm>
          <a:off x="20149945" y="453171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2501</xdr:row>
      <xdr:rowOff>178445</xdr:rowOff>
    </xdr:from>
    <xdr:to>
      <xdr:col>11</xdr:col>
      <xdr:colOff>195070</xdr:colOff>
      <xdr:row>2504</xdr:row>
      <xdr:rowOff>10170</xdr:rowOff>
    </xdr:to>
    <xdr:cxnSp macro="_xll.PtreeEvent_ObjectClick">
      <xdr:nvCxnSpPr>
        <xdr:cNvPr id="4958" name="PTObj_DBranchDLine_1_1239">
          <a:extLst>
            <a:ext uri="{FF2B5EF4-FFF2-40B4-BE49-F238E27FC236}">
              <a16:creationId xmlns:a16="http://schemas.microsoft.com/office/drawing/2014/main" id="{929A7200-43BB-4428-8149-D480CDBC4081}"/>
            </a:ext>
          </a:extLst>
        </xdr:cNvPr>
        <xdr:cNvCxnSpPr/>
      </xdr:nvCxnSpPr>
      <xdr:spPr>
        <a:xfrm>
          <a:off x="19997545" y="452796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2502</xdr:row>
      <xdr:rowOff>6350</xdr:rowOff>
    </xdr:from>
    <xdr:to>
      <xdr:col>10</xdr:col>
      <xdr:colOff>1388870</xdr:colOff>
      <xdr:row>2502</xdr:row>
      <xdr:rowOff>6350</xdr:rowOff>
    </xdr:to>
    <xdr:cxnSp macro="_xll.PtreeEvent_ObjectClick">
      <xdr:nvCxnSpPr>
        <xdr:cNvPr id="4955" name="PTObj_DBranchHLine_1_1238">
          <a:extLst>
            <a:ext uri="{FF2B5EF4-FFF2-40B4-BE49-F238E27FC236}">
              <a16:creationId xmlns:a16="http://schemas.microsoft.com/office/drawing/2014/main" id="{62F0F2E1-2C4D-495B-B8C6-952705A4698B}"/>
            </a:ext>
          </a:extLst>
        </xdr:cNvPr>
        <xdr:cNvCxnSpPr/>
      </xdr:nvCxnSpPr>
      <xdr:spPr>
        <a:xfrm>
          <a:off x="18730720" y="452805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2500</xdr:row>
      <xdr:rowOff>1290</xdr:rowOff>
    </xdr:from>
    <xdr:to>
      <xdr:col>10</xdr:col>
      <xdr:colOff>204595</xdr:colOff>
      <xdr:row>2502</xdr:row>
      <xdr:rowOff>6350</xdr:rowOff>
    </xdr:to>
    <xdr:cxnSp macro="_xll.PtreeEvent_ObjectClick">
      <xdr:nvCxnSpPr>
        <xdr:cNvPr id="4954" name="PTObj_DBranchDLine_1_1238">
          <a:extLst>
            <a:ext uri="{FF2B5EF4-FFF2-40B4-BE49-F238E27FC236}">
              <a16:creationId xmlns:a16="http://schemas.microsoft.com/office/drawing/2014/main" id="{C523C8D7-A7FD-406C-A951-6FE01E4F47C1}"/>
            </a:ext>
          </a:extLst>
        </xdr:cNvPr>
        <xdr:cNvCxnSpPr/>
      </xdr:nvCxnSpPr>
      <xdr:spPr>
        <a:xfrm>
          <a:off x="18578320" y="452438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2500</xdr:row>
      <xdr:rowOff>2530</xdr:rowOff>
    </xdr:from>
    <xdr:to>
      <xdr:col>9</xdr:col>
      <xdr:colOff>1392681</xdr:colOff>
      <xdr:row>2500</xdr:row>
      <xdr:rowOff>2530</xdr:rowOff>
    </xdr:to>
    <xdr:cxnSp macro="_xll.PtreeEvent_ObjectClick">
      <xdr:nvCxnSpPr>
        <xdr:cNvPr id="4951" name="PTObj_DBranchHLine_1_1237">
          <a:extLst>
            <a:ext uri="{FF2B5EF4-FFF2-40B4-BE49-F238E27FC236}">
              <a16:creationId xmlns:a16="http://schemas.microsoft.com/office/drawing/2014/main" id="{0DCE1ABB-71B1-45A7-A4DA-3FB361171705}"/>
            </a:ext>
          </a:extLst>
        </xdr:cNvPr>
        <xdr:cNvCxnSpPr/>
      </xdr:nvCxnSpPr>
      <xdr:spPr>
        <a:xfrm>
          <a:off x="17306734" y="452440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2497</xdr:row>
      <xdr:rowOff>178395</xdr:rowOff>
    </xdr:from>
    <xdr:to>
      <xdr:col>9</xdr:col>
      <xdr:colOff>209359</xdr:colOff>
      <xdr:row>2500</xdr:row>
      <xdr:rowOff>2530</xdr:rowOff>
    </xdr:to>
    <xdr:cxnSp macro="_xll.PtreeEvent_ObjectClick">
      <xdr:nvCxnSpPr>
        <xdr:cNvPr id="4950" name="PTObj_DBranchDLine_1_1237">
          <a:extLst>
            <a:ext uri="{FF2B5EF4-FFF2-40B4-BE49-F238E27FC236}">
              <a16:creationId xmlns:a16="http://schemas.microsoft.com/office/drawing/2014/main" id="{D694F2FB-746E-42E8-BD60-9201794562BF}"/>
            </a:ext>
          </a:extLst>
        </xdr:cNvPr>
        <xdr:cNvCxnSpPr/>
      </xdr:nvCxnSpPr>
      <xdr:spPr>
        <a:xfrm>
          <a:off x="17154334" y="4520729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2497</xdr:row>
      <xdr:rowOff>179685</xdr:rowOff>
    </xdr:from>
    <xdr:to>
      <xdr:col>8</xdr:col>
      <xdr:colOff>1398397</xdr:colOff>
      <xdr:row>2497</xdr:row>
      <xdr:rowOff>179685</xdr:rowOff>
    </xdr:to>
    <xdr:cxnSp macro="_xll.PtreeEvent_ObjectClick">
      <xdr:nvCxnSpPr>
        <xdr:cNvPr id="4947" name="PTObj_DBranchHLine_1_1236">
          <a:extLst>
            <a:ext uri="{FF2B5EF4-FFF2-40B4-BE49-F238E27FC236}">
              <a16:creationId xmlns:a16="http://schemas.microsoft.com/office/drawing/2014/main" id="{69A7D1C5-5F08-4F6B-8485-9D2052158FEF}"/>
            </a:ext>
          </a:extLst>
        </xdr:cNvPr>
        <xdr:cNvCxnSpPr/>
      </xdr:nvCxnSpPr>
      <xdr:spPr>
        <a:xfrm>
          <a:off x="15888463" y="4520742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2495</xdr:row>
      <xdr:rowOff>176510</xdr:rowOff>
    </xdr:from>
    <xdr:to>
      <xdr:col>8</xdr:col>
      <xdr:colOff>219838</xdr:colOff>
      <xdr:row>2497</xdr:row>
      <xdr:rowOff>179685</xdr:rowOff>
    </xdr:to>
    <xdr:cxnSp macro="_xll.PtreeEvent_ObjectClick">
      <xdr:nvCxnSpPr>
        <xdr:cNvPr id="4946" name="PTObj_DBranchDLine_1_1236">
          <a:extLst>
            <a:ext uri="{FF2B5EF4-FFF2-40B4-BE49-F238E27FC236}">
              <a16:creationId xmlns:a16="http://schemas.microsoft.com/office/drawing/2014/main" id="{002C4961-5C14-4DAA-A6DB-5D835C7C8AA0}"/>
            </a:ext>
          </a:extLst>
        </xdr:cNvPr>
        <xdr:cNvCxnSpPr/>
      </xdr:nvCxnSpPr>
      <xdr:spPr>
        <a:xfrm>
          <a:off x="15736063" y="451709135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2493</xdr:row>
      <xdr:rowOff>172095</xdr:rowOff>
    </xdr:from>
    <xdr:to>
      <xdr:col>11</xdr:col>
      <xdr:colOff>1386015</xdr:colOff>
      <xdr:row>2493</xdr:row>
      <xdr:rowOff>172095</xdr:rowOff>
    </xdr:to>
    <xdr:cxnSp macro="_xll.PtreeEvent_ObjectClick">
      <xdr:nvCxnSpPr>
        <xdr:cNvPr id="4943" name="PTObj_DBranchHLine_1_1234">
          <a:extLst>
            <a:ext uri="{FF2B5EF4-FFF2-40B4-BE49-F238E27FC236}">
              <a16:creationId xmlns:a16="http://schemas.microsoft.com/office/drawing/2014/main" id="{29C979FA-8BD9-4C88-A94F-FC6B72668AE1}"/>
            </a:ext>
          </a:extLst>
        </xdr:cNvPr>
        <xdr:cNvCxnSpPr/>
      </xdr:nvCxnSpPr>
      <xdr:spPr>
        <a:xfrm>
          <a:off x="20149945" y="451342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2491</xdr:row>
      <xdr:rowOff>163215</xdr:rowOff>
    </xdr:from>
    <xdr:to>
      <xdr:col>11</xdr:col>
      <xdr:colOff>195070</xdr:colOff>
      <xdr:row>2493</xdr:row>
      <xdr:rowOff>172095</xdr:rowOff>
    </xdr:to>
    <xdr:cxnSp macro="_xll.PtreeEvent_ObjectClick">
      <xdr:nvCxnSpPr>
        <xdr:cNvPr id="4942" name="PTObj_DBranchDLine_1_1234">
          <a:extLst>
            <a:ext uri="{FF2B5EF4-FFF2-40B4-BE49-F238E27FC236}">
              <a16:creationId xmlns:a16="http://schemas.microsoft.com/office/drawing/2014/main" id="{AC6FA193-AF8E-45E6-920C-83C76E247C3E}"/>
            </a:ext>
          </a:extLst>
        </xdr:cNvPr>
        <xdr:cNvCxnSpPr/>
      </xdr:nvCxnSpPr>
      <xdr:spPr>
        <a:xfrm>
          <a:off x="19997545" y="450971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2491</xdr:row>
      <xdr:rowOff>168275</xdr:rowOff>
    </xdr:from>
    <xdr:to>
      <xdr:col>10</xdr:col>
      <xdr:colOff>1388870</xdr:colOff>
      <xdr:row>2491</xdr:row>
      <xdr:rowOff>168275</xdr:rowOff>
    </xdr:to>
    <xdr:cxnSp macro="_xll.PtreeEvent_ObjectClick">
      <xdr:nvCxnSpPr>
        <xdr:cNvPr id="4939" name="PTObj_DBranchHLine_1_1233">
          <a:extLst>
            <a:ext uri="{FF2B5EF4-FFF2-40B4-BE49-F238E27FC236}">
              <a16:creationId xmlns:a16="http://schemas.microsoft.com/office/drawing/2014/main" id="{AFCAE47F-D59E-4F6A-8251-40EBA2342B2D}"/>
            </a:ext>
          </a:extLst>
        </xdr:cNvPr>
        <xdr:cNvCxnSpPr/>
      </xdr:nvCxnSpPr>
      <xdr:spPr>
        <a:xfrm>
          <a:off x="18730720" y="450977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2489</xdr:row>
      <xdr:rowOff>159395</xdr:rowOff>
    </xdr:from>
    <xdr:to>
      <xdr:col>10</xdr:col>
      <xdr:colOff>204595</xdr:colOff>
      <xdr:row>2491</xdr:row>
      <xdr:rowOff>168275</xdr:rowOff>
    </xdr:to>
    <xdr:cxnSp macro="_xll.PtreeEvent_ObjectClick">
      <xdr:nvCxnSpPr>
        <xdr:cNvPr id="4938" name="PTObj_DBranchDLine_1_1233">
          <a:extLst>
            <a:ext uri="{FF2B5EF4-FFF2-40B4-BE49-F238E27FC236}">
              <a16:creationId xmlns:a16="http://schemas.microsoft.com/office/drawing/2014/main" id="{76A3D2D0-4C82-41A3-A75E-E6D4ED37E3E8}"/>
            </a:ext>
          </a:extLst>
        </xdr:cNvPr>
        <xdr:cNvCxnSpPr/>
      </xdr:nvCxnSpPr>
      <xdr:spPr>
        <a:xfrm>
          <a:off x="18578320" y="450606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2489</xdr:row>
      <xdr:rowOff>164455</xdr:rowOff>
    </xdr:from>
    <xdr:to>
      <xdr:col>9</xdr:col>
      <xdr:colOff>1392681</xdr:colOff>
      <xdr:row>2489</xdr:row>
      <xdr:rowOff>164455</xdr:rowOff>
    </xdr:to>
    <xdr:cxnSp macro="_xll.PtreeEvent_ObjectClick">
      <xdr:nvCxnSpPr>
        <xdr:cNvPr id="4935" name="PTObj_DBranchHLine_1_1232">
          <a:extLst>
            <a:ext uri="{FF2B5EF4-FFF2-40B4-BE49-F238E27FC236}">
              <a16:creationId xmlns:a16="http://schemas.microsoft.com/office/drawing/2014/main" id="{F8226E33-9937-4259-81E0-3F24EC948C4A}"/>
            </a:ext>
          </a:extLst>
        </xdr:cNvPr>
        <xdr:cNvCxnSpPr/>
      </xdr:nvCxnSpPr>
      <xdr:spPr>
        <a:xfrm>
          <a:off x="17306734" y="450611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2487</xdr:row>
      <xdr:rowOff>151755</xdr:rowOff>
    </xdr:from>
    <xdr:to>
      <xdr:col>9</xdr:col>
      <xdr:colOff>209359</xdr:colOff>
      <xdr:row>2489</xdr:row>
      <xdr:rowOff>164455</xdr:rowOff>
    </xdr:to>
    <xdr:cxnSp macro="_xll.PtreeEvent_ObjectClick">
      <xdr:nvCxnSpPr>
        <xdr:cNvPr id="4934" name="PTObj_DBranchDLine_1_1232">
          <a:extLst>
            <a:ext uri="{FF2B5EF4-FFF2-40B4-BE49-F238E27FC236}">
              <a16:creationId xmlns:a16="http://schemas.microsoft.com/office/drawing/2014/main" id="{549E11EA-8437-41AE-A9B9-8CB99EB802C5}"/>
            </a:ext>
          </a:extLst>
        </xdr:cNvPr>
        <xdr:cNvCxnSpPr/>
      </xdr:nvCxnSpPr>
      <xdr:spPr>
        <a:xfrm>
          <a:off x="17154334" y="450236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2487</xdr:row>
      <xdr:rowOff>160635</xdr:rowOff>
    </xdr:from>
    <xdr:to>
      <xdr:col>8</xdr:col>
      <xdr:colOff>1398397</xdr:colOff>
      <xdr:row>2487</xdr:row>
      <xdr:rowOff>160635</xdr:rowOff>
    </xdr:to>
    <xdr:cxnSp macro="_xll.PtreeEvent_ObjectClick">
      <xdr:nvCxnSpPr>
        <xdr:cNvPr id="4931" name="PTObj_DBranchHLine_1_1231">
          <a:extLst>
            <a:ext uri="{FF2B5EF4-FFF2-40B4-BE49-F238E27FC236}">
              <a16:creationId xmlns:a16="http://schemas.microsoft.com/office/drawing/2014/main" id="{22849F0D-C41C-4827-9A59-33A7366673E6}"/>
            </a:ext>
          </a:extLst>
        </xdr:cNvPr>
        <xdr:cNvCxnSpPr/>
      </xdr:nvCxnSpPr>
      <xdr:spPr>
        <a:xfrm>
          <a:off x="15884652" y="4502454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2487</xdr:row>
      <xdr:rowOff>160635</xdr:rowOff>
    </xdr:from>
    <xdr:to>
      <xdr:col>8</xdr:col>
      <xdr:colOff>216027</xdr:colOff>
      <xdr:row>2495</xdr:row>
      <xdr:rowOff>176510</xdr:rowOff>
    </xdr:to>
    <xdr:cxnSp macro="_xll.PtreeEvent_ObjectClick">
      <xdr:nvCxnSpPr>
        <xdr:cNvPr id="4930" name="PTObj_DBranchDLine_1_1231">
          <a:extLst>
            <a:ext uri="{FF2B5EF4-FFF2-40B4-BE49-F238E27FC236}">
              <a16:creationId xmlns:a16="http://schemas.microsoft.com/office/drawing/2014/main" id="{B7574A61-323C-4398-9F7F-B75ED9A2E747}"/>
            </a:ext>
          </a:extLst>
        </xdr:cNvPr>
        <xdr:cNvCxnSpPr/>
      </xdr:nvCxnSpPr>
      <xdr:spPr>
        <a:xfrm flipV="1">
          <a:off x="15732252" y="450245460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2495</xdr:row>
      <xdr:rowOff>175915</xdr:rowOff>
    </xdr:from>
    <xdr:to>
      <xdr:col>7</xdr:col>
      <xdr:colOff>1402207</xdr:colOff>
      <xdr:row>2495</xdr:row>
      <xdr:rowOff>175915</xdr:rowOff>
    </xdr:to>
    <xdr:cxnSp macro="_xll.PtreeEvent_ObjectClick">
      <xdr:nvCxnSpPr>
        <xdr:cNvPr id="4927" name="PTObj_DBranchHLine_1_1235">
          <a:extLst>
            <a:ext uri="{FF2B5EF4-FFF2-40B4-BE49-F238E27FC236}">
              <a16:creationId xmlns:a16="http://schemas.microsoft.com/office/drawing/2014/main" id="{5D039C6E-BC9D-4B8E-B799-13D36FF54285}"/>
            </a:ext>
          </a:extLst>
        </xdr:cNvPr>
        <xdr:cNvCxnSpPr/>
      </xdr:nvCxnSpPr>
      <xdr:spPr>
        <a:xfrm>
          <a:off x="14460665" y="4517085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2485</xdr:row>
      <xdr:rowOff>145107</xdr:rowOff>
    </xdr:from>
    <xdr:to>
      <xdr:col>7</xdr:col>
      <xdr:colOff>220790</xdr:colOff>
      <xdr:row>2495</xdr:row>
      <xdr:rowOff>175915</xdr:rowOff>
    </xdr:to>
    <xdr:cxnSp macro="_xll.PtreeEvent_ObjectClick">
      <xdr:nvCxnSpPr>
        <xdr:cNvPr id="4926" name="PTObj_DBranchDLine_1_1235">
          <a:extLst>
            <a:ext uri="{FF2B5EF4-FFF2-40B4-BE49-F238E27FC236}">
              <a16:creationId xmlns:a16="http://schemas.microsoft.com/office/drawing/2014/main" id="{0961EF1F-42F6-4498-9453-C393D4C30A76}"/>
            </a:ext>
          </a:extLst>
        </xdr:cNvPr>
        <xdr:cNvCxnSpPr/>
      </xdr:nvCxnSpPr>
      <xdr:spPr>
        <a:xfrm>
          <a:off x="14308265" y="449867982"/>
          <a:ext cx="152400" cy="18405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2483</xdr:row>
      <xdr:rowOff>153045</xdr:rowOff>
    </xdr:from>
    <xdr:to>
      <xdr:col>11</xdr:col>
      <xdr:colOff>1386967</xdr:colOff>
      <xdr:row>2483</xdr:row>
      <xdr:rowOff>153045</xdr:rowOff>
    </xdr:to>
    <xdr:cxnSp macro="_xll.PtreeEvent_ObjectClick">
      <xdr:nvCxnSpPr>
        <xdr:cNvPr id="4923" name="PTObj_DBranchHLine_1_1229">
          <a:extLst>
            <a:ext uri="{FF2B5EF4-FFF2-40B4-BE49-F238E27FC236}">
              <a16:creationId xmlns:a16="http://schemas.microsoft.com/office/drawing/2014/main" id="{004EA015-90B0-48F4-9C45-953BA0E991AE}"/>
            </a:ext>
          </a:extLst>
        </xdr:cNvPr>
        <xdr:cNvCxnSpPr/>
      </xdr:nvCxnSpPr>
      <xdr:spPr>
        <a:xfrm>
          <a:off x="20149945" y="449513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2481</xdr:row>
      <xdr:rowOff>140345</xdr:rowOff>
    </xdr:from>
    <xdr:to>
      <xdr:col>11</xdr:col>
      <xdr:colOff>195070</xdr:colOff>
      <xdr:row>2483</xdr:row>
      <xdr:rowOff>153045</xdr:rowOff>
    </xdr:to>
    <xdr:cxnSp macro="_xll.PtreeEvent_ObjectClick">
      <xdr:nvCxnSpPr>
        <xdr:cNvPr id="4922" name="PTObj_DBranchDLine_1_1229">
          <a:extLst>
            <a:ext uri="{FF2B5EF4-FFF2-40B4-BE49-F238E27FC236}">
              <a16:creationId xmlns:a16="http://schemas.microsoft.com/office/drawing/2014/main" id="{BD789BBD-3F34-479E-90ED-539A536F82B8}"/>
            </a:ext>
          </a:extLst>
        </xdr:cNvPr>
        <xdr:cNvCxnSpPr/>
      </xdr:nvCxnSpPr>
      <xdr:spPr>
        <a:xfrm>
          <a:off x="19997545" y="449139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2481</xdr:row>
      <xdr:rowOff>149225</xdr:rowOff>
    </xdr:from>
    <xdr:to>
      <xdr:col>10</xdr:col>
      <xdr:colOff>1388870</xdr:colOff>
      <xdr:row>2481</xdr:row>
      <xdr:rowOff>149225</xdr:rowOff>
    </xdr:to>
    <xdr:cxnSp macro="_xll.PtreeEvent_ObjectClick">
      <xdr:nvCxnSpPr>
        <xdr:cNvPr id="4919" name="PTObj_DBranchHLine_1_1228">
          <a:extLst>
            <a:ext uri="{FF2B5EF4-FFF2-40B4-BE49-F238E27FC236}">
              <a16:creationId xmlns:a16="http://schemas.microsoft.com/office/drawing/2014/main" id="{9FB982F7-ADC3-4CDA-B9A7-292C24B33EDE}"/>
            </a:ext>
          </a:extLst>
        </xdr:cNvPr>
        <xdr:cNvCxnSpPr/>
      </xdr:nvCxnSpPr>
      <xdr:spPr>
        <a:xfrm>
          <a:off x="18730720" y="449148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2479</xdr:row>
      <xdr:rowOff>144165</xdr:rowOff>
    </xdr:from>
    <xdr:to>
      <xdr:col>10</xdr:col>
      <xdr:colOff>204595</xdr:colOff>
      <xdr:row>2481</xdr:row>
      <xdr:rowOff>149225</xdr:rowOff>
    </xdr:to>
    <xdr:cxnSp macro="_xll.PtreeEvent_ObjectClick">
      <xdr:nvCxnSpPr>
        <xdr:cNvPr id="4918" name="PTObj_DBranchDLine_1_1228">
          <a:extLst>
            <a:ext uri="{FF2B5EF4-FFF2-40B4-BE49-F238E27FC236}">
              <a16:creationId xmlns:a16="http://schemas.microsoft.com/office/drawing/2014/main" id="{6607E9A6-62F9-4A0B-B3E2-3405ED361E8E}"/>
            </a:ext>
          </a:extLst>
        </xdr:cNvPr>
        <xdr:cNvCxnSpPr/>
      </xdr:nvCxnSpPr>
      <xdr:spPr>
        <a:xfrm>
          <a:off x="18578320" y="448781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2479</xdr:row>
      <xdr:rowOff>145405</xdr:rowOff>
    </xdr:from>
    <xdr:to>
      <xdr:col>9</xdr:col>
      <xdr:colOff>1392681</xdr:colOff>
      <xdr:row>2479</xdr:row>
      <xdr:rowOff>145405</xdr:rowOff>
    </xdr:to>
    <xdr:cxnSp macro="_xll.PtreeEvent_ObjectClick">
      <xdr:nvCxnSpPr>
        <xdr:cNvPr id="4915" name="PTObj_DBranchHLine_1_1227">
          <a:extLst>
            <a:ext uri="{FF2B5EF4-FFF2-40B4-BE49-F238E27FC236}">
              <a16:creationId xmlns:a16="http://schemas.microsoft.com/office/drawing/2014/main" id="{34FC167C-9E9B-4D74-BAE0-ADF15AF46B91}"/>
            </a:ext>
          </a:extLst>
        </xdr:cNvPr>
        <xdr:cNvCxnSpPr/>
      </xdr:nvCxnSpPr>
      <xdr:spPr>
        <a:xfrm>
          <a:off x="17306734" y="448782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2477</xdr:row>
      <xdr:rowOff>140295</xdr:rowOff>
    </xdr:from>
    <xdr:to>
      <xdr:col>9</xdr:col>
      <xdr:colOff>209359</xdr:colOff>
      <xdr:row>2479</xdr:row>
      <xdr:rowOff>145405</xdr:rowOff>
    </xdr:to>
    <xdr:cxnSp macro="_xll.PtreeEvent_ObjectClick">
      <xdr:nvCxnSpPr>
        <xdr:cNvPr id="4914" name="PTObj_DBranchDLine_1_1227">
          <a:extLst>
            <a:ext uri="{FF2B5EF4-FFF2-40B4-BE49-F238E27FC236}">
              <a16:creationId xmlns:a16="http://schemas.microsoft.com/office/drawing/2014/main" id="{CF6D239D-7452-4D35-838B-EAEFC1667EDB}"/>
            </a:ext>
          </a:extLst>
        </xdr:cNvPr>
        <xdr:cNvCxnSpPr/>
      </xdr:nvCxnSpPr>
      <xdr:spPr>
        <a:xfrm>
          <a:off x="17154334" y="4484153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2477</xdr:row>
      <xdr:rowOff>141585</xdr:rowOff>
    </xdr:from>
    <xdr:to>
      <xdr:col>8</xdr:col>
      <xdr:colOff>1398397</xdr:colOff>
      <xdr:row>2477</xdr:row>
      <xdr:rowOff>141585</xdr:rowOff>
    </xdr:to>
    <xdr:cxnSp macro="_xll.PtreeEvent_ObjectClick">
      <xdr:nvCxnSpPr>
        <xdr:cNvPr id="4911" name="PTObj_DBranchHLine_1_1226">
          <a:extLst>
            <a:ext uri="{FF2B5EF4-FFF2-40B4-BE49-F238E27FC236}">
              <a16:creationId xmlns:a16="http://schemas.microsoft.com/office/drawing/2014/main" id="{CBA0D4B6-44A6-45BE-B605-5C2CD24E03B0}"/>
            </a:ext>
          </a:extLst>
        </xdr:cNvPr>
        <xdr:cNvCxnSpPr/>
      </xdr:nvCxnSpPr>
      <xdr:spPr>
        <a:xfrm>
          <a:off x="15888463" y="4484166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2475</xdr:row>
      <xdr:rowOff>138410</xdr:rowOff>
    </xdr:from>
    <xdr:to>
      <xdr:col>8</xdr:col>
      <xdr:colOff>219838</xdr:colOff>
      <xdr:row>2477</xdr:row>
      <xdr:rowOff>141585</xdr:rowOff>
    </xdr:to>
    <xdr:cxnSp macro="_xll.PtreeEvent_ObjectClick">
      <xdr:nvCxnSpPr>
        <xdr:cNvPr id="4910" name="PTObj_DBranchDLine_1_1226">
          <a:extLst>
            <a:ext uri="{FF2B5EF4-FFF2-40B4-BE49-F238E27FC236}">
              <a16:creationId xmlns:a16="http://schemas.microsoft.com/office/drawing/2014/main" id="{23C6894E-7B57-49D5-858D-A2FB100FC5CE}"/>
            </a:ext>
          </a:extLst>
        </xdr:cNvPr>
        <xdr:cNvCxnSpPr/>
      </xdr:nvCxnSpPr>
      <xdr:spPr>
        <a:xfrm>
          <a:off x="15736063" y="448051535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2473</xdr:row>
      <xdr:rowOff>133995</xdr:rowOff>
    </xdr:from>
    <xdr:to>
      <xdr:col>11</xdr:col>
      <xdr:colOff>1386015</xdr:colOff>
      <xdr:row>2473</xdr:row>
      <xdr:rowOff>133995</xdr:rowOff>
    </xdr:to>
    <xdr:cxnSp macro="_xll.PtreeEvent_ObjectClick">
      <xdr:nvCxnSpPr>
        <xdr:cNvPr id="4907" name="PTObj_DBranchHLine_1_1224">
          <a:extLst>
            <a:ext uri="{FF2B5EF4-FFF2-40B4-BE49-F238E27FC236}">
              <a16:creationId xmlns:a16="http://schemas.microsoft.com/office/drawing/2014/main" id="{4465B72C-AC12-4ED5-81A0-C434BBB38BAB}"/>
            </a:ext>
          </a:extLst>
        </xdr:cNvPr>
        <xdr:cNvCxnSpPr/>
      </xdr:nvCxnSpPr>
      <xdr:spPr>
        <a:xfrm>
          <a:off x="20149945" y="447685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2471</xdr:row>
      <xdr:rowOff>125115</xdr:rowOff>
    </xdr:from>
    <xdr:to>
      <xdr:col>11</xdr:col>
      <xdr:colOff>195070</xdr:colOff>
      <xdr:row>2473</xdr:row>
      <xdr:rowOff>133995</xdr:rowOff>
    </xdr:to>
    <xdr:cxnSp macro="_xll.PtreeEvent_ObjectClick">
      <xdr:nvCxnSpPr>
        <xdr:cNvPr id="4906" name="PTObj_DBranchDLine_1_1224">
          <a:extLst>
            <a:ext uri="{FF2B5EF4-FFF2-40B4-BE49-F238E27FC236}">
              <a16:creationId xmlns:a16="http://schemas.microsoft.com/office/drawing/2014/main" id="{9FE5A84D-C728-40AF-A4F2-5148A5D4DBFB}"/>
            </a:ext>
          </a:extLst>
        </xdr:cNvPr>
        <xdr:cNvCxnSpPr/>
      </xdr:nvCxnSpPr>
      <xdr:spPr>
        <a:xfrm>
          <a:off x="19997545" y="447314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2471</xdr:row>
      <xdr:rowOff>130175</xdr:rowOff>
    </xdr:from>
    <xdr:to>
      <xdr:col>10</xdr:col>
      <xdr:colOff>1388870</xdr:colOff>
      <xdr:row>2471</xdr:row>
      <xdr:rowOff>130175</xdr:rowOff>
    </xdr:to>
    <xdr:cxnSp macro="_xll.PtreeEvent_ObjectClick">
      <xdr:nvCxnSpPr>
        <xdr:cNvPr id="4903" name="PTObj_DBranchHLine_1_1223">
          <a:extLst>
            <a:ext uri="{FF2B5EF4-FFF2-40B4-BE49-F238E27FC236}">
              <a16:creationId xmlns:a16="http://schemas.microsoft.com/office/drawing/2014/main" id="{E4FC614A-1B1A-489C-823E-3ED4DD89F33A}"/>
            </a:ext>
          </a:extLst>
        </xdr:cNvPr>
        <xdr:cNvCxnSpPr/>
      </xdr:nvCxnSpPr>
      <xdr:spPr>
        <a:xfrm>
          <a:off x="18730720" y="447319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2469</xdr:row>
      <xdr:rowOff>121295</xdr:rowOff>
    </xdr:from>
    <xdr:to>
      <xdr:col>10</xdr:col>
      <xdr:colOff>204595</xdr:colOff>
      <xdr:row>2471</xdr:row>
      <xdr:rowOff>130175</xdr:rowOff>
    </xdr:to>
    <xdr:cxnSp macro="_xll.PtreeEvent_ObjectClick">
      <xdr:nvCxnSpPr>
        <xdr:cNvPr id="4902" name="PTObj_DBranchDLine_1_1223">
          <a:extLst>
            <a:ext uri="{FF2B5EF4-FFF2-40B4-BE49-F238E27FC236}">
              <a16:creationId xmlns:a16="http://schemas.microsoft.com/office/drawing/2014/main" id="{46208C8B-5E47-48E6-82DC-3D7877B2FA50}"/>
            </a:ext>
          </a:extLst>
        </xdr:cNvPr>
        <xdr:cNvCxnSpPr/>
      </xdr:nvCxnSpPr>
      <xdr:spPr>
        <a:xfrm>
          <a:off x="18578320" y="446948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2469</xdr:row>
      <xdr:rowOff>126355</xdr:rowOff>
    </xdr:from>
    <xdr:to>
      <xdr:col>9</xdr:col>
      <xdr:colOff>1392681</xdr:colOff>
      <xdr:row>2469</xdr:row>
      <xdr:rowOff>126355</xdr:rowOff>
    </xdr:to>
    <xdr:cxnSp macro="_xll.PtreeEvent_ObjectClick">
      <xdr:nvCxnSpPr>
        <xdr:cNvPr id="4899" name="PTObj_DBranchHLine_1_1222">
          <a:extLst>
            <a:ext uri="{FF2B5EF4-FFF2-40B4-BE49-F238E27FC236}">
              <a16:creationId xmlns:a16="http://schemas.microsoft.com/office/drawing/2014/main" id="{380C27A1-A341-4D4B-AF00-A4634CAF0857}"/>
            </a:ext>
          </a:extLst>
        </xdr:cNvPr>
        <xdr:cNvCxnSpPr/>
      </xdr:nvCxnSpPr>
      <xdr:spPr>
        <a:xfrm>
          <a:off x="17306734" y="446953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2467</xdr:row>
      <xdr:rowOff>113655</xdr:rowOff>
    </xdr:from>
    <xdr:to>
      <xdr:col>9</xdr:col>
      <xdr:colOff>209359</xdr:colOff>
      <xdr:row>2469</xdr:row>
      <xdr:rowOff>126355</xdr:rowOff>
    </xdr:to>
    <xdr:cxnSp macro="_xll.PtreeEvent_ObjectClick">
      <xdr:nvCxnSpPr>
        <xdr:cNvPr id="4898" name="PTObj_DBranchDLine_1_1222">
          <a:extLst>
            <a:ext uri="{FF2B5EF4-FFF2-40B4-BE49-F238E27FC236}">
              <a16:creationId xmlns:a16="http://schemas.microsoft.com/office/drawing/2014/main" id="{8C2D6451-E7C7-4681-8B3D-DB8FC922C6F3}"/>
            </a:ext>
          </a:extLst>
        </xdr:cNvPr>
        <xdr:cNvCxnSpPr/>
      </xdr:nvCxnSpPr>
      <xdr:spPr>
        <a:xfrm>
          <a:off x="17154334" y="446578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2467</xdr:row>
      <xdr:rowOff>122535</xdr:rowOff>
    </xdr:from>
    <xdr:to>
      <xdr:col>8</xdr:col>
      <xdr:colOff>1398397</xdr:colOff>
      <xdr:row>2467</xdr:row>
      <xdr:rowOff>122535</xdr:rowOff>
    </xdr:to>
    <xdr:cxnSp macro="_xll.PtreeEvent_ObjectClick">
      <xdr:nvCxnSpPr>
        <xdr:cNvPr id="4895" name="PTObj_DBranchHLine_1_1221">
          <a:extLst>
            <a:ext uri="{FF2B5EF4-FFF2-40B4-BE49-F238E27FC236}">
              <a16:creationId xmlns:a16="http://schemas.microsoft.com/office/drawing/2014/main" id="{69CFD708-38E0-4ED3-985A-8EE679AC6FC0}"/>
            </a:ext>
          </a:extLst>
        </xdr:cNvPr>
        <xdr:cNvCxnSpPr/>
      </xdr:nvCxnSpPr>
      <xdr:spPr>
        <a:xfrm>
          <a:off x="15884652" y="4465878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2467</xdr:row>
      <xdr:rowOff>122535</xdr:rowOff>
    </xdr:from>
    <xdr:to>
      <xdr:col>8</xdr:col>
      <xdr:colOff>216027</xdr:colOff>
      <xdr:row>2475</xdr:row>
      <xdr:rowOff>138410</xdr:rowOff>
    </xdr:to>
    <xdr:cxnSp macro="_xll.PtreeEvent_ObjectClick">
      <xdr:nvCxnSpPr>
        <xdr:cNvPr id="4894" name="PTObj_DBranchDLine_1_1221">
          <a:extLst>
            <a:ext uri="{FF2B5EF4-FFF2-40B4-BE49-F238E27FC236}">
              <a16:creationId xmlns:a16="http://schemas.microsoft.com/office/drawing/2014/main" id="{B28332FD-8D4C-485D-BDE6-7ED43563E163}"/>
            </a:ext>
          </a:extLst>
        </xdr:cNvPr>
        <xdr:cNvCxnSpPr/>
      </xdr:nvCxnSpPr>
      <xdr:spPr>
        <a:xfrm flipV="1">
          <a:off x="15732252" y="446587860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2475</xdr:row>
      <xdr:rowOff>137815</xdr:rowOff>
    </xdr:from>
    <xdr:to>
      <xdr:col>7</xdr:col>
      <xdr:colOff>1402207</xdr:colOff>
      <xdr:row>2475</xdr:row>
      <xdr:rowOff>137815</xdr:rowOff>
    </xdr:to>
    <xdr:cxnSp macro="_xll.PtreeEvent_ObjectClick">
      <xdr:nvCxnSpPr>
        <xdr:cNvPr id="4891" name="PTObj_DBranchHLine_1_1225">
          <a:extLst>
            <a:ext uri="{FF2B5EF4-FFF2-40B4-BE49-F238E27FC236}">
              <a16:creationId xmlns:a16="http://schemas.microsoft.com/office/drawing/2014/main" id="{150924A3-793D-4923-92A7-67F9D1B658C1}"/>
            </a:ext>
          </a:extLst>
        </xdr:cNvPr>
        <xdr:cNvCxnSpPr/>
      </xdr:nvCxnSpPr>
      <xdr:spPr>
        <a:xfrm>
          <a:off x="14462570" y="4480509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2475</xdr:row>
      <xdr:rowOff>137815</xdr:rowOff>
    </xdr:from>
    <xdr:to>
      <xdr:col>7</xdr:col>
      <xdr:colOff>222695</xdr:colOff>
      <xdr:row>2485</xdr:row>
      <xdr:rowOff>146993</xdr:rowOff>
    </xdr:to>
    <xdr:cxnSp macro="_xll.PtreeEvent_ObjectClick">
      <xdr:nvCxnSpPr>
        <xdr:cNvPr id="4890" name="PTObj_DBranchDLine_1_1225">
          <a:extLst>
            <a:ext uri="{FF2B5EF4-FFF2-40B4-BE49-F238E27FC236}">
              <a16:creationId xmlns:a16="http://schemas.microsoft.com/office/drawing/2014/main" id="{0DB722B1-2A54-469F-B0FE-02426E670B16}"/>
            </a:ext>
          </a:extLst>
        </xdr:cNvPr>
        <xdr:cNvCxnSpPr/>
      </xdr:nvCxnSpPr>
      <xdr:spPr>
        <a:xfrm flipV="1">
          <a:off x="14310170" y="448050940"/>
          <a:ext cx="152400" cy="18189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2485</xdr:row>
      <xdr:rowOff>156865</xdr:rowOff>
    </xdr:from>
    <xdr:to>
      <xdr:col>6</xdr:col>
      <xdr:colOff>1407922</xdr:colOff>
      <xdr:row>2485</xdr:row>
      <xdr:rowOff>156865</xdr:rowOff>
    </xdr:to>
    <xdr:cxnSp macro="_xll.PtreeEvent_ObjectClick">
      <xdr:nvCxnSpPr>
        <xdr:cNvPr id="4887" name="PTObj_DBranchHLine_1_1230">
          <a:extLst>
            <a:ext uri="{FF2B5EF4-FFF2-40B4-BE49-F238E27FC236}">
              <a16:creationId xmlns:a16="http://schemas.microsoft.com/office/drawing/2014/main" id="{C0689C3F-7AD5-4637-B949-AA851A314721}"/>
            </a:ext>
          </a:extLst>
        </xdr:cNvPr>
        <xdr:cNvCxnSpPr/>
      </xdr:nvCxnSpPr>
      <xdr:spPr>
        <a:xfrm>
          <a:off x="13036677" y="44987974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2465</xdr:row>
      <xdr:rowOff>107007</xdr:rowOff>
    </xdr:from>
    <xdr:to>
      <xdr:col>6</xdr:col>
      <xdr:colOff>225552</xdr:colOff>
      <xdr:row>2485</xdr:row>
      <xdr:rowOff>156865</xdr:rowOff>
    </xdr:to>
    <xdr:cxnSp macro="_xll.PtreeEvent_ObjectClick">
      <xdr:nvCxnSpPr>
        <xdr:cNvPr id="4886" name="PTObj_DBranchDLine_1_1230">
          <a:extLst>
            <a:ext uri="{FF2B5EF4-FFF2-40B4-BE49-F238E27FC236}">
              <a16:creationId xmlns:a16="http://schemas.microsoft.com/office/drawing/2014/main" id="{BC59CB67-DBE3-4345-B20F-68969259BED1}"/>
            </a:ext>
          </a:extLst>
        </xdr:cNvPr>
        <xdr:cNvCxnSpPr/>
      </xdr:nvCxnSpPr>
      <xdr:spPr>
        <a:xfrm>
          <a:off x="12884276" y="446210382"/>
          <a:ext cx="152401" cy="36693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2463</xdr:row>
      <xdr:rowOff>114945</xdr:rowOff>
    </xdr:from>
    <xdr:to>
      <xdr:col>11</xdr:col>
      <xdr:colOff>1386967</xdr:colOff>
      <xdr:row>2463</xdr:row>
      <xdr:rowOff>114945</xdr:rowOff>
    </xdr:to>
    <xdr:cxnSp macro="_xll.PtreeEvent_ObjectClick">
      <xdr:nvCxnSpPr>
        <xdr:cNvPr id="4883" name="PTObj_DBranchHLine_1_1219">
          <a:extLst>
            <a:ext uri="{FF2B5EF4-FFF2-40B4-BE49-F238E27FC236}">
              <a16:creationId xmlns:a16="http://schemas.microsoft.com/office/drawing/2014/main" id="{C83F4E33-FB41-4E58-A5C5-39355C7156E4}"/>
            </a:ext>
          </a:extLst>
        </xdr:cNvPr>
        <xdr:cNvCxnSpPr/>
      </xdr:nvCxnSpPr>
      <xdr:spPr>
        <a:xfrm>
          <a:off x="20149945" y="445856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2461</xdr:row>
      <xdr:rowOff>102245</xdr:rowOff>
    </xdr:from>
    <xdr:to>
      <xdr:col>11</xdr:col>
      <xdr:colOff>195070</xdr:colOff>
      <xdr:row>2463</xdr:row>
      <xdr:rowOff>114945</xdr:rowOff>
    </xdr:to>
    <xdr:cxnSp macro="_xll.PtreeEvent_ObjectClick">
      <xdr:nvCxnSpPr>
        <xdr:cNvPr id="4882" name="PTObj_DBranchDLine_1_1219">
          <a:extLst>
            <a:ext uri="{FF2B5EF4-FFF2-40B4-BE49-F238E27FC236}">
              <a16:creationId xmlns:a16="http://schemas.microsoft.com/office/drawing/2014/main" id="{D78EAE7C-BC6F-413A-AB26-9F4CD5C8336A}"/>
            </a:ext>
          </a:extLst>
        </xdr:cNvPr>
        <xdr:cNvCxnSpPr/>
      </xdr:nvCxnSpPr>
      <xdr:spPr>
        <a:xfrm>
          <a:off x="19997545" y="445481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2461</xdr:row>
      <xdr:rowOff>111125</xdr:rowOff>
    </xdr:from>
    <xdr:to>
      <xdr:col>10</xdr:col>
      <xdr:colOff>1388870</xdr:colOff>
      <xdr:row>2461</xdr:row>
      <xdr:rowOff>111125</xdr:rowOff>
    </xdr:to>
    <xdr:cxnSp macro="_xll.PtreeEvent_ObjectClick">
      <xdr:nvCxnSpPr>
        <xdr:cNvPr id="4879" name="PTObj_DBranchHLine_1_1218">
          <a:extLst>
            <a:ext uri="{FF2B5EF4-FFF2-40B4-BE49-F238E27FC236}">
              <a16:creationId xmlns:a16="http://schemas.microsoft.com/office/drawing/2014/main" id="{8853EA74-510C-4AE1-A334-67206CFAB876}"/>
            </a:ext>
          </a:extLst>
        </xdr:cNvPr>
        <xdr:cNvCxnSpPr/>
      </xdr:nvCxnSpPr>
      <xdr:spPr>
        <a:xfrm>
          <a:off x="18730720" y="445490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2459</xdr:row>
      <xdr:rowOff>106065</xdr:rowOff>
    </xdr:from>
    <xdr:to>
      <xdr:col>10</xdr:col>
      <xdr:colOff>204595</xdr:colOff>
      <xdr:row>2461</xdr:row>
      <xdr:rowOff>111125</xdr:rowOff>
    </xdr:to>
    <xdr:cxnSp macro="_xll.PtreeEvent_ObjectClick">
      <xdr:nvCxnSpPr>
        <xdr:cNvPr id="4878" name="PTObj_DBranchDLine_1_1218">
          <a:extLst>
            <a:ext uri="{FF2B5EF4-FFF2-40B4-BE49-F238E27FC236}">
              <a16:creationId xmlns:a16="http://schemas.microsoft.com/office/drawing/2014/main" id="{6BB8EB8B-1FA4-4A43-B2EA-DEB3441BF272}"/>
            </a:ext>
          </a:extLst>
        </xdr:cNvPr>
        <xdr:cNvCxnSpPr/>
      </xdr:nvCxnSpPr>
      <xdr:spPr>
        <a:xfrm>
          <a:off x="18578320" y="445123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2459</xdr:row>
      <xdr:rowOff>107305</xdr:rowOff>
    </xdr:from>
    <xdr:to>
      <xdr:col>9</xdr:col>
      <xdr:colOff>1392681</xdr:colOff>
      <xdr:row>2459</xdr:row>
      <xdr:rowOff>107305</xdr:rowOff>
    </xdr:to>
    <xdr:cxnSp macro="_xll.PtreeEvent_ObjectClick">
      <xdr:nvCxnSpPr>
        <xdr:cNvPr id="4875" name="PTObj_DBranchHLine_1_1217">
          <a:extLst>
            <a:ext uri="{FF2B5EF4-FFF2-40B4-BE49-F238E27FC236}">
              <a16:creationId xmlns:a16="http://schemas.microsoft.com/office/drawing/2014/main" id="{F9FE0241-3F7B-49DF-8AC9-37A6E6896459}"/>
            </a:ext>
          </a:extLst>
        </xdr:cNvPr>
        <xdr:cNvCxnSpPr/>
      </xdr:nvCxnSpPr>
      <xdr:spPr>
        <a:xfrm>
          <a:off x="17306734" y="445124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2457</xdr:row>
      <xdr:rowOff>102195</xdr:rowOff>
    </xdr:from>
    <xdr:to>
      <xdr:col>9</xdr:col>
      <xdr:colOff>209359</xdr:colOff>
      <xdr:row>2459</xdr:row>
      <xdr:rowOff>107305</xdr:rowOff>
    </xdr:to>
    <xdr:cxnSp macro="_xll.PtreeEvent_ObjectClick">
      <xdr:nvCxnSpPr>
        <xdr:cNvPr id="4874" name="PTObj_DBranchDLine_1_1217">
          <a:extLst>
            <a:ext uri="{FF2B5EF4-FFF2-40B4-BE49-F238E27FC236}">
              <a16:creationId xmlns:a16="http://schemas.microsoft.com/office/drawing/2014/main" id="{6B0093AA-55F9-40BD-8C27-1DE8DDFC5024}"/>
            </a:ext>
          </a:extLst>
        </xdr:cNvPr>
        <xdr:cNvCxnSpPr/>
      </xdr:nvCxnSpPr>
      <xdr:spPr>
        <a:xfrm>
          <a:off x="17154334" y="4447577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2457</xdr:row>
      <xdr:rowOff>103485</xdr:rowOff>
    </xdr:from>
    <xdr:to>
      <xdr:col>8</xdr:col>
      <xdr:colOff>1398397</xdr:colOff>
      <xdr:row>2457</xdr:row>
      <xdr:rowOff>103485</xdr:rowOff>
    </xdr:to>
    <xdr:cxnSp macro="_xll.PtreeEvent_ObjectClick">
      <xdr:nvCxnSpPr>
        <xdr:cNvPr id="4871" name="PTObj_DBranchHLine_1_1216">
          <a:extLst>
            <a:ext uri="{FF2B5EF4-FFF2-40B4-BE49-F238E27FC236}">
              <a16:creationId xmlns:a16="http://schemas.microsoft.com/office/drawing/2014/main" id="{E050BD89-ADC4-4C79-8B43-B0ABB1D7EBAC}"/>
            </a:ext>
          </a:extLst>
        </xdr:cNvPr>
        <xdr:cNvCxnSpPr/>
      </xdr:nvCxnSpPr>
      <xdr:spPr>
        <a:xfrm>
          <a:off x="15888463" y="4447590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2455</xdr:row>
      <xdr:rowOff>100310</xdr:rowOff>
    </xdr:from>
    <xdr:to>
      <xdr:col>8</xdr:col>
      <xdr:colOff>219838</xdr:colOff>
      <xdr:row>2457</xdr:row>
      <xdr:rowOff>103485</xdr:rowOff>
    </xdr:to>
    <xdr:cxnSp macro="_xll.PtreeEvent_ObjectClick">
      <xdr:nvCxnSpPr>
        <xdr:cNvPr id="4870" name="PTObj_DBranchDLine_1_1216">
          <a:extLst>
            <a:ext uri="{FF2B5EF4-FFF2-40B4-BE49-F238E27FC236}">
              <a16:creationId xmlns:a16="http://schemas.microsoft.com/office/drawing/2014/main" id="{1DC25DC2-C82C-4736-9B5D-FD83D42B757D}"/>
            </a:ext>
          </a:extLst>
        </xdr:cNvPr>
        <xdr:cNvCxnSpPr/>
      </xdr:nvCxnSpPr>
      <xdr:spPr>
        <a:xfrm>
          <a:off x="15736063" y="444393935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2453</xdr:row>
      <xdr:rowOff>95895</xdr:rowOff>
    </xdr:from>
    <xdr:to>
      <xdr:col>11</xdr:col>
      <xdr:colOff>1386015</xdr:colOff>
      <xdr:row>2453</xdr:row>
      <xdr:rowOff>95895</xdr:rowOff>
    </xdr:to>
    <xdr:cxnSp macro="_xll.PtreeEvent_ObjectClick">
      <xdr:nvCxnSpPr>
        <xdr:cNvPr id="4867" name="PTObj_DBranchHLine_1_1214">
          <a:extLst>
            <a:ext uri="{FF2B5EF4-FFF2-40B4-BE49-F238E27FC236}">
              <a16:creationId xmlns:a16="http://schemas.microsoft.com/office/drawing/2014/main" id="{C3D4E574-EB83-46C5-B863-BC46110F3F35}"/>
            </a:ext>
          </a:extLst>
        </xdr:cNvPr>
        <xdr:cNvCxnSpPr/>
      </xdr:nvCxnSpPr>
      <xdr:spPr>
        <a:xfrm>
          <a:off x="20149945" y="444027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2451</xdr:row>
      <xdr:rowOff>87015</xdr:rowOff>
    </xdr:from>
    <xdr:to>
      <xdr:col>11</xdr:col>
      <xdr:colOff>195070</xdr:colOff>
      <xdr:row>2453</xdr:row>
      <xdr:rowOff>95895</xdr:rowOff>
    </xdr:to>
    <xdr:cxnSp macro="_xll.PtreeEvent_ObjectClick">
      <xdr:nvCxnSpPr>
        <xdr:cNvPr id="4866" name="PTObj_DBranchDLine_1_1214">
          <a:extLst>
            <a:ext uri="{FF2B5EF4-FFF2-40B4-BE49-F238E27FC236}">
              <a16:creationId xmlns:a16="http://schemas.microsoft.com/office/drawing/2014/main" id="{04E71100-AB54-4165-B35C-50812D886CD6}"/>
            </a:ext>
          </a:extLst>
        </xdr:cNvPr>
        <xdr:cNvCxnSpPr/>
      </xdr:nvCxnSpPr>
      <xdr:spPr>
        <a:xfrm>
          <a:off x="19997545" y="443656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2451</xdr:row>
      <xdr:rowOff>92075</xdr:rowOff>
    </xdr:from>
    <xdr:to>
      <xdr:col>10</xdr:col>
      <xdr:colOff>1388870</xdr:colOff>
      <xdr:row>2451</xdr:row>
      <xdr:rowOff>92075</xdr:rowOff>
    </xdr:to>
    <xdr:cxnSp macro="_xll.PtreeEvent_ObjectClick">
      <xdr:nvCxnSpPr>
        <xdr:cNvPr id="4863" name="PTObj_DBranchHLine_1_1213">
          <a:extLst>
            <a:ext uri="{FF2B5EF4-FFF2-40B4-BE49-F238E27FC236}">
              <a16:creationId xmlns:a16="http://schemas.microsoft.com/office/drawing/2014/main" id="{1EC4ACC3-E2BE-45EB-9E2B-215F34A46FCD}"/>
            </a:ext>
          </a:extLst>
        </xdr:cNvPr>
        <xdr:cNvCxnSpPr/>
      </xdr:nvCxnSpPr>
      <xdr:spPr>
        <a:xfrm>
          <a:off x="18730720" y="443661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2449</xdr:row>
      <xdr:rowOff>76498</xdr:rowOff>
    </xdr:from>
    <xdr:to>
      <xdr:col>10</xdr:col>
      <xdr:colOff>204595</xdr:colOff>
      <xdr:row>2451</xdr:row>
      <xdr:rowOff>92075</xdr:rowOff>
    </xdr:to>
    <xdr:cxnSp macro="_xll.PtreeEvent_ObjectClick">
      <xdr:nvCxnSpPr>
        <xdr:cNvPr id="4862" name="PTObj_DBranchDLine_1_1213">
          <a:extLst>
            <a:ext uri="{FF2B5EF4-FFF2-40B4-BE49-F238E27FC236}">
              <a16:creationId xmlns:a16="http://schemas.microsoft.com/office/drawing/2014/main" id="{5B3D0FE4-D692-47CA-8B85-593753B5D53D}"/>
            </a:ext>
          </a:extLst>
        </xdr:cNvPr>
        <xdr:cNvCxnSpPr/>
      </xdr:nvCxnSpPr>
      <xdr:spPr>
        <a:xfrm>
          <a:off x="18578320" y="4432842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2449</xdr:row>
      <xdr:rowOff>88255</xdr:rowOff>
    </xdr:from>
    <xdr:to>
      <xdr:col>9</xdr:col>
      <xdr:colOff>1392681</xdr:colOff>
      <xdr:row>2449</xdr:row>
      <xdr:rowOff>88255</xdr:rowOff>
    </xdr:to>
    <xdr:cxnSp macro="_xll.PtreeEvent_ObjectClick">
      <xdr:nvCxnSpPr>
        <xdr:cNvPr id="4859" name="PTObj_DBranchHLine_1_1212">
          <a:extLst>
            <a:ext uri="{FF2B5EF4-FFF2-40B4-BE49-F238E27FC236}">
              <a16:creationId xmlns:a16="http://schemas.microsoft.com/office/drawing/2014/main" id="{D2F1DDE8-EF3C-4E65-AA9A-16F374187E29}"/>
            </a:ext>
          </a:extLst>
        </xdr:cNvPr>
        <xdr:cNvCxnSpPr/>
      </xdr:nvCxnSpPr>
      <xdr:spPr>
        <a:xfrm>
          <a:off x="17306734" y="443296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2447</xdr:row>
      <xdr:rowOff>75555</xdr:rowOff>
    </xdr:from>
    <xdr:to>
      <xdr:col>9</xdr:col>
      <xdr:colOff>209359</xdr:colOff>
      <xdr:row>2449</xdr:row>
      <xdr:rowOff>88255</xdr:rowOff>
    </xdr:to>
    <xdr:cxnSp macro="_xll.PtreeEvent_ObjectClick">
      <xdr:nvCxnSpPr>
        <xdr:cNvPr id="4858" name="PTObj_DBranchDLine_1_1212">
          <a:extLst>
            <a:ext uri="{FF2B5EF4-FFF2-40B4-BE49-F238E27FC236}">
              <a16:creationId xmlns:a16="http://schemas.microsoft.com/office/drawing/2014/main" id="{9E8F233B-92BA-4236-B7AA-7DCDE2D2DDCF}"/>
            </a:ext>
          </a:extLst>
        </xdr:cNvPr>
        <xdr:cNvCxnSpPr/>
      </xdr:nvCxnSpPr>
      <xdr:spPr>
        <a:xfrm>
          <a:off x="17154334" y="442921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2447</xdr:row>
      <xdr:rowOff>84435</xdr:rowOff>
    </xdr:from>
    <xdr:to>
      <xdr:col>8</xdr:col>
      <xdr:colOff>1398397</xdr:colOff>
      <xdr:row>2447</xdr:row>
      <xdr:rowOff>84435</xdr:rowOff>
    </xdr:to>
    <xdr:cxnSp macro="_xll.PtreeEvent_ObjectClick">
      <xdr:nvCxnSpPr>
        <xdr:cNvPr id="4855" name="PTObj_DBranchHLine_1_1211">
          <a:extLst>
            <a:ext uri="{FF2B5EF4-FFF2-40B4-BE49-F238E27FC236}">
              <a16:creationId xmlns:a16="http://schemas.microsoft.com/office/drawing/2014/main" id="{F5E31FDF-1EEC-45A3-B797-76D5D6D377DE}"/>
            </a:ext>
          </a:extLst>
        </xdr:cNvPr>
        <xdr:cNvCxnSpPr/>
      </xdr:nvCxnSpPr>
      <xdr:spPr>
        <a:xfrm>
          <a:off x="15884652" y="4429302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2447</xdr:row>
      <xdr:rowOff>84435</xdr:rowOff>
    </xdr:from>
    <xdr:to>
      <xdr:col>8</xdr:col>
      <xdr:colOff>216027</xdr:colOff>
      <xdr:row>2455</xdr:row>
      <xdr:rowOff>100310</xdr:rowOff>
    </xdr:to>
    <xdr:cxnSp macro="_xll.PtreeEvent_ObjectClick">
      <xdr:nvCxnSpPr>
        <xdr:cNvPr id="4854" name="PTObj_DBranchDLine_1_1211">
          <a:extLst>
            <a:ext uri="{FF2B5EF4-FFF2-40B4-BE49-F238E27FC236}">
              <a16:creationId xmlns:a16="http://schemas.microsoft.com/office/drawing/2014/main" id="{DAE7E39E-7A98-4DDC-A518-5AE1594F9186}"/>
            </a:ext>
          </a:extLst>
        </xdr:cNvPr>
        <xdr:cNvCxnSpPr/>
      </xdr:nvCxnSpPr>
      <xdr:spPr>
        <a:xfrm flipV="1">
          <a:off x="15732252" y="442930260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2455</xdr:row>
      <xdr:rowOff>99715</xdr:rowOff>
    </xdr:from>
    <xdr:to>
      <xdr:col>7</xdr:col>
      <xdr:colOff>1402207</xdr:colOff>
      <xdr:row>2455</xdr:row>
      <xdr:rowOff>99715</xdr:rowOff>
    </xdr:to>
    <xdr:cxnSp macro="_xll.PtreeEvent_ObjectClick">
      <xdr:nvCxnSpPr>
        <xdr:cNvPr id="4851" name="PTObj_DBranchHLine_1_1215">
          <a:extLst>
            <a:ext uri="{FF2B5EF4-FFF2-40B4-BE49-F238E27FC236}">
              <a16:creationId xmlns:a16="http://schemas.microsoft.com/office/drawing/2014/main" id="{C85DE1D5-C06B-49BF-8A5B-A1475CD2E766}"/>
            </a:ext>
          </a:extLst>
        </xdr:cNvPr>
        <xdr:cNvCxnSpPr/>
      </xdr:nvCxnSpPr>
      <xdr:spPr>
        <a:xfrm>
          <a:off x="14460665" y="4443933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2445</xdr:row>
      <xdr:rowOff>77440</xdr:rowOff>
    </xdr:from>
    <xdr:to>
      <xdr:col>7</xdr:col>
      <xdr:colOff>220790</xdr:colOff>
      <xdr:row>2455</xdr:row>
      <xdr:rowOff>99715</xdr:rowOff>
    </xdr:to>
    <xdr:cxnSp macro="_xll.PtreeEvent_ObjectClick">
      <xdr:nvCxnSpPr>
        <xdr:cNvPr id="4850" name="PTObj_DBranchDLine_1_1215">
          <a:extLst>
            <a:ext uri="{FF2B5EF4-FFF2-40B4-BE49-F238E27FC236}">
              <a16:creationId xmlns:a16="http://schemas.microsoft.com/office/drawing/2014/main" id="{EADFE92C-FA51-4450-878B-F6F39C800CF4}"/>
            </a:ext>
          </a:extLst>
        </xdr:cNvPr>
        <xdr:cNvCxnSpPr/>
      </xdr:nvCxnSpPr>
      <xdr:spPr>
        <a:xfrm>
          <a:off x="14308265" y="442561315"/>
          <a:ext cx="152400" cy="18320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2443</xdr:row>
      <xdr:rowOff>76845</xdr:rowOff>
    </xdr:from>
    <xdr:to>
      <xdr:col>11</xdr:col>
      <xdr:colOff>1386967</xdr:colOff>
      <xdr:row>2443</xdr:row>
      <xdr:rowOff>76845</xdr:rowOff>
    </xdr:to>
    <xdr:cxnSp macro="_xll.PtreeEvent_ObjectClick">
      <xdr:nvCxnSpPr>
        <xdr:cNvPr id="4847" name="PTObj_DBranchHLine_1_1209">
          <a:extLst>
            <a:ext uri="{FF2B5EF4-FFF2-40B4-BE49-F238E27FC236}">
              <a16:creationId xmlns:a16="http://schemas.microsoft.com/office/drawing/2014/main" id="{9FA5C830-60B1-491B-99DD-DFFB4C65BF77}"/>
            </a:ext>
          </a:extLst>
        </xdr:cNvPr>
        <xdr:cNvCxnSpPr/>
      </xdr:nvCxnSpPr>
      <xdr:spPr>
        <a:xfrm>
          <a:off x="20149945" y="442198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2441</xdr:row>
      <xdr:rowOff>70842</xdr:rowOff>
    </xdr:from>
    <xdr:to>
      <xdr:col>11</xdr:col>
      <xdr:colOff>195070</xdr:colOff>
      <xdr:row>2443</xdr:row>
      <xdr:rowOff>76845</xdr:rowOff>
    </xdr:to>
    <xdr:cxnSp macro="_xll.PtreeEvent_ObjectClick">
      <xdr:nvCxnSpPr>
        <xdr:cNvPr id="4846" name="PTObj_DBranchDLine_1_1209">
          <a:extLst>
            <a:ext uri="{FF2B5EF4-FFF2-40B4-BE49-F238E27FC236}">
              <a16:creationId xmlns:a16="http://schemas.microsoft.com/office/drawing/2014/main" id="{ECBD2880-6995-44E0-BE79-23BA498FD9BC}"/>
            </a:ext>
          </a:extLst>
        </xdr:cNvPr>
        <xdr:cNvCxnSpPr/>
      </xdr:nvCxnSpPr>
      <xdr:spPr>
        <a:xfrm>
          <a:off x="19997545" y="4418308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2441</xdr:row>
      <xdr:rowOff>73025</xdr:rowOff>
    </xdr:from>
    <xdr:to>
      <xdr:col>10</xdr:col>
      <xdr:colOff>1388870</xdr:colOff>
      <xdr:row>2441</xdr:row>
      <xdr:rowOff>73025</xdr:rowOff>
    </xdr:to>
    <xdr:cxnSp macro="_xll.PtreeEvent_ObjectClick">
      <xdr:nvCxnSpPr>
        <xdr:cNvPr id="4843" name="PTObj_DBranchHLine_1_1208">
          <a:extLst>
            <a:ext uri="{FF2B5EF4-FFF2-40B4-BE49-F238E27FC236}">
              <a16:creationId xmlns:a16="http://schemas.microsoft.com/office/drawing/2014/main" id="{EFACC773-A866-47A8-BC7E-95557E7F19D6}"/>
            </a:ext>
          </a:extLst>
        </xdr:cNvPr>
        <xdr:cNvCxnSpPr/>
      </xdr:nvCxnSpPr>
      <xdr:spPr>
        <a:xfrm>
          <a:off x="18730720" y="441833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2439</xdr:row>
      <xdr:rowOff>68858</xdr:rowOff>
    </xdr:from>
    <xdr:to>
      <xdr:col>10</xdr:col>
      <xdr:colOff>204595</xdr:colOff>
      <xdr:row>2441</xdr:row>
      <xdr:rowOff>73025</xdr:rowOff>
    </xdr:to>
    <xdr:cxnSp macro="_xll.PtreeEvent_ObjectClick">
      <xdr:nvCxnSpPr>
        <xdr:cNvPr id="4842" name="PTObj_DBranchDLine_1_1208">
          <a:extLst>
            <a:ext uri="{FF2B5EF4-FFF2-40B4-BE49-F238E27FC236}">
              <a16:creationId xmlns:a16="http://schemas.microsoft.com/office/drawing/2014/main" id="{863AAAA0-BA60-4A29-8CEC-C17F21AF1315}"/>
            </a:ext>
          </a:extLst>
        </xdr:cNvPr>
        <xdr:cNvCxnSpPr/>
      </xdr:nvCxnSpPr>
      <xdr:spPr>
        <a:xfrm>
          <a:off x="18578320" y="4414668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2439</xdr:row>
      <xdr:rowOff>69205</xdr:rowOff>
    </xdr:from>
    <xdr:to>
      <xdr:col>9</xdr:col>
      <xdr:colOff>1392681</xdr:colOff>
      <xdr:row>2439</xdr:row>
      <xdr:rowOff>69205</xdr:rowOff>
    </xdr:to>
    <xdr:cxnSp macro="_xll.PtreeEvent_ObjectClick">
      <xdr:nvCxnSpPr>
        <xdr:cNvPr id="4839" name="PTObj_DBranchHLine_1_1207">
          <a:extLst>
            <a:ext uri="{FF2B5EF4-FFF2-40B4-BE49-F238E27FC236}">
              <a16:creationId xmlns:a16="http://schemas.microsoft.com/office/drawing/2014/main" id="{BE3FACCA-51AC-4178-9D6E-C20B69D80D61}"/>
            </a:ext>
          </a:extLst>
        </xdr:cNvPr>
        <xdr:cNvCxnSpPr/>
      </xdr:nvCxnSpPr>
      <xdr:spPr>
        <a:xfrm>
          <a:off x="17306734" y="441467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2437</xdr:row>
      <xdr:rowOff>63153</xdr:rowOff>
    </xdr:from>
    <xdr:to>
      <xdr:col>9</xdr:col>
      <xdr:colOff>209359</xdr:colOff>
      <xdr:row>2439</xdr:row>
      <xdr:rowOff>69205</xdr:rowOff>
    </xdr:to>
    <xdr:cxnSp macro="_xll.PtreeEvent_ObjectClick">
      <xdr:nvCxnSpPr>
        <xdr:cNvPr id="4838" name="PTObj_DBranchDLine_1_1207">
          <a:extLst>
            <a:ext uri="{FF2B5EF4-FFF2-40B4-BE49-F238E27FC236}">
              <a16:creationId xmlns:a16="http://schemas.microsoft.com/office/drawing/2014/main" id="{FE18FBA9-1AFE-4E78-B7E6-6DC97D80DD50}"/>
            </a:ext>
          </a:extLst>
        </xdr:cNvPr>
        <xdr:cNvCxnSpPr/>
      </xdr:nvCxnSpPr>
      <xdr:spPr>
        <a:xfrm>
          <a:off x="17154334" y="4410992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2437</xdr:row>
      <xdr:rowOff>65385</xdr:rowOff>
    </xdr:from>
    <xdr:to>
      <xdr:col>8</xdr:col>
      <xdr:colOff>1398397</xdr:colOff>
      <xdr:row>2437</xdr:row>
      <xdr:rowOff>65385</xdr:rowOff>
    </xdr:to>
    <xdr:cxnSp macro="_xll.PtreeEvent_ObjectClick">
      <xdr:nvCxnSpPr>
        <xdr:cNvPr id="4835" name="PTObj_DBranchHLine_1_1206">
          <a:extLst>
            <a:ext uri="{FF2B5EF4-FFF2-40B4-BE49-F238E27FC236}">
              <a16:creationId xmlns:a16="http://schemas.microsoft.com/office/drawing/2014/main" id="{74EA976E-7978-431E-8CFD-3FF64BA34F4E}"/>
            </a:ext>
          </a:extLst>
        </xdr:cNvPr>
        <xdr:cNvCxnSpPr/>
      </xdr:nvCxnSpPr>
      <xdr:spPr>
        <a:xfrm>
          <a:off x="15888463" y="4411014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2435</xdr:row>
      <xdr:rowOff>56505</xdr:rowOff>
    </xdr:from>
    <xdr:to>
      <xdr:col>8</xdr:col>
      <xdr:colOff>219838</xdr:colOff>
      <xdr:row>2437</xdr:row>
      <xdr:rowOff>65385</xdr:rowOff>
    </xdr:to>
    <xdr:cxnSp macro="_xll.PtreeEvent_ObjectClick">
      <xdr:nvCxnSpPr>
        <xdr:cNvPr id="4834" name="PTObj_DBranchDLine_1_1206">
          <a:extLst>
            <a:ext uri="{FF2B5EF4-FFF2-40B4-BE49-F238E27FC236}">
              <a16:creationId xmlns:a16="http://schemas.microsoft.com/office/drawing/2014/main" id="{29ACFE97-B8F8-406A-9E27-D894AC088355}"/>
            </a:ext>
          </a:extLst>
        </xdr:cNvPr>
        <xdr:cNvCxnSpPr/>
      </xdr:nvCxnSpPr>
      <xdr:spPr>
        <a:xfrm>
          <a:off x="15736063" y="44073063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2433</xdr:row>
      <xdr:rowOff>57795</xdr:rowOff>
    </xdr:from>
    <xdr:to>
      <xdr:col>11</xdr:col>
      <xdr:colOff>1394588</xdr:colOff>
      <xdr:row>2433</xdr:row>
      <xdr:rowOff>57795</xdr:rowOff>
    </xdr:to>
    <xdr:cxnSp macro="_xll.PtreeEvent_ObjectClick">
      <xdr:nvCxnSpPr>
        <xdr:cNvPr id="4831" name="PTObj_DBranchHLine_1_1204">
          <a:extLst>
            <a:ext uri="{FF2B5EF4-FFF2-40B4-BE49-F238E27FC236}">
              <a16:creationId xmlns:a16="http://schemas.microsoft.com/office/drawing/2014/main" id="{0EF5BDBF-5C3B-484E-BD9A-B433362F4A52}"/>
            </a:ext>
          </a:extLst>
        </xdr:cNvPr>
        <xdr:cNvCxnSpPr/>
      </xdr:nvCxnSpPr>
      <xdr:spPr>
        <a:xfrm>
          <a:off x="20149945" y="440369970"/>
          <a:ext cx="119951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2431</xdr:row>
      <xdr:rowOff>41275</xdr:rowOff>
    </xdr:from>
    <xdr:to>
      <xdr:col>11</xdr:col>
      <xdr:colOff>195070</xdr:colOff>
      <xdr:row>2433</xdr:row>
      <xdr:rowOff>57795</xdr:rowOff>
    </xdr:to>
    <xdr:cxnSp macro="_xll.PtreeEvent_ObjectClick">
      <xdr:nvCxnSpPr>
        <xdr:cNvPr id="4830" name="PTObj_DBranchDLine_1_1204">
          <a:extLst>
            <a:ext uri="{FF2B5EF4-FFF2-40B4-BE49-F238E27FC236}">
              <a16:creationId xmlns:a16="http://schemas.microsoft.com/office/drawing/2014/main" id="{29F4BCB8-5B60-4F3F-A69A-1773E1BB2DDA}"/>
            </a:ext>
          </a:extLst>
        </xdr:cNvPr>
        <xdr:cNvCxnSpPr/>
      </xdr:nvCxnSpPr>
      <xdr:spPr>
        <a:xfrm>
          <a:off x="19997545" y="4399915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2431</xdr:row>
      <xdr:rowOff>53975</xdr:rowOff>
    </xdr:from>
    <xdr:to>
      <xdr:col>10</xdr:col>
      <xdr:colOff>1388870</xdr:colOff>
      <xdr:row>2431</xdr:row>
      <xdr:rowOff>53975</xdr:rowOff>
    </xdr:to>
    <xdr:cxnSp macro="_xll.PtreeEvent_ObjectClick">
      <xdr:nvCxnSpPr>
        <xdr:cNvPr id="4827" name="PTObj_DBranchHLine_1_1203">
          <a:extLst>
            <a:ext uri="{FF2B5EF4-FFF2-40B4-BE49-F238E27FC236}">
              <a16:creationId xmlns:a16="http://schemas.microsoft.com/office/drawing/2014/main" id="{3CE4AD3C-5E4C-47EF-8550-6AA8BB4A55EC}"/>
            </a:ext>
          </a:extLst>
        </xdr:cNvPr>
        <xdr:cNvCxnSpPr/>
      </xdr:nvCxnSpPr>
      <xdr:spPr>
        <a:xfrm>
          <a:off x="18730720" y="440004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2429</xdr:row>
      <xdr:rowOff>38398</xdr:rowOff>
    </xdr:from>
    <xdr:to>
      <xdr:col>10</xdr:col>
      <xdr:colOff>204595</xdr:colOff>
      <xdr:row>2431</xdr:row>
      <xdr:rowOff>53975</xdr:rowOff>
    </xdr:to>
    <xdr:cxnSp macro="_xll.PtreeEvent_ObjectClick">
      <xdr:nvCxnSpPr>
        <xdr:cNvPr id="4826" name="PTObj_DBranchDLine_1_1203">
          <a:extLst>
            <a:ext uri="{FF2B5EF4-FFF2-40B4-BE49-F238E27FC236}">
              <a16:creationId xmlns:a16="http://schemas.microsoft.com/office/drawing/2014/main" id="{AC19A61D-605A-408C-81A0-548B00556875}"/>
            </a:ext>
          </a:extLst>
        </xdr:cNvPr>
        <xdr:cNvCxnSpPr/>
      </xdr:nvCxnSpPr>
      <xdr:spPr>
        <a:xfrm>
          <a:off x="18578320" y="4396266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2429</xdr:row>
      <xdr:rowOff>50155</xdr:rowOff>
    </xdr:from>
    <xdr:to>
      <xdr:col>9</xdr:col>
      <xdr:colOff>1392681</xdr:colOff>
      <xdr:row>2429</xdr:row>
      <xdr:rowOff>50155</xdr:rowOff>
    </xdr:to>
    <xdr:cxnSp macro="_xll.PtreeEvent_ObjectClick">
      <xdr:nvCxnSpPr>
        <xdr:cNvPr id="4823" name="PTObj_DBranchHLine_1_1202">
          <a:extLst>
            <a:ext uri="{FF2B5EF4-FFF2-40B4-BE49-F238E27FC236}">
              <a16:creationId xmlns:a16="http://schemas.microsoft.com/office/drawing/2014/main" id="{0B5755D4-DC64-4807-B47E-78CAEBAC836F}"/>
            </a:ext>
          </a:extLst>
        </xdr:cNvPr>
        <xdr:cNvCxnSpPr/>
      </xdr:nvCxnSpPr>
      <xdr:spPr>
        <a:xfrm>
          <a:off x="17306734" y="439638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2427</xdr:row>
      <xdr:rowOff>37455</xdr:rowOff>
    </xdr:from>
    <xdr:to>
      <xdr:col>9</xdr:col>
      <xdr:colOff>209359</xdr:colOff>
      <xdr:row>2429</xdr:row>
      <xdr:rowOff>50155</xdr:rowOff>
    </xdr:to>
    <xdr:cxnSp macro="_xll.PtreeEvent_ObjectClick">
      <xdr:nvCxnSpPr>
        <xdr:cNvPr id="4822" name="PTObj_DBranchDLine_1_1202">
          <a:extLst>
            <a:ext uri="{FF2B5EF4-FFF2-40B4-BE49-F238E27FC236}">
              <a16:creationId xmlns:a16="http://schemas.microsoft.com/office/drawing/2014/main" id="{32593CF4-744A-4D8B-B294-EBD12CDD6458}"/>
            </a:ext>
          </a:extLst>
        </xdr:cNvPr>
        <xdr:cNvCxnSpPr/>
      </xdr:nvCxnSpPr>
      <xdr:spPr>
        <a:xfrm>
          <a:off x="17154334" y="439263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2427</xdr:row>
      <xdr:rowOff>46335</xdr:rowOff>
    </xdr:from>
    <xdr:to>
      <xdr:col>8</xdr:col>
      <xdr:colOff>1398397</xdr:colOff>
      <xdr:row>2427</xdr:row>
      <xdr:rowOff>46335</xdr:rowOff>
    </xdr:to>
    <xdr:cxnSp macro="_xll.PtreeEvent_ObjectClick">
      <xdr:nvCxnSpPr>
        <xdr:cNvPr id="4819" name="PTObj_DBranchHLine_1_1201">
          <a:extLst>
            <a:ext uri="{FF2B5EF4-FFF2-40B4-BE49-F238E27FC236}">
              <a16:creationId xmlns:a16="http://schemas.microsoft.com/office/drawing/2014/main" id="{A9FC115E-A265-485E-8358-789ABF35A546}"/>
            </a:ext>
          </a:extLst>
        </xdr:cNvPr>
        <xdr:cNvCxnSpPr/>
      </xdr:nvCxnSpPr>
      <xdr:spPr>
        <a:xfrm>
          <a:off x="15884652" y="4392726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2427</xdr:row>
      <xdr:rowOff>46335</xdr:rowOff>
    </xdr:from>
    <xdr:to>
      <xdr:col>8</xdr:col>
      <xdr:colOff>216027</xdr:colOff>
      <xdr:row>2435</xdr:row>
      <xdr:rowOff>56505</xdr:rowOff>
    </xdr:to>
    <xdr:cxnSp macro="_xll.PtreeEvent_ObjectClick">
      <xdr:nvCxnSpPr>
        <xdr:cNvPr id="4818" name="PTObj_DBranchDLine_1_1201">
          <a:extLst>
            <a:ext uri="{FF2B5EF4-FFF2-40B4-BE49-F238E27FC236}">
              <a16:creationId xmlns:a16="http://schemas.microsoft.com/office/drawing/2014/main" id="{01A53DA2-4089-433C-B6C4-5BAA373463A4}"/>
            </a:ext>
          </a:extLst>
        </xdr:cNvPr>
        <xdr:cNvCxnSpPr/>
      </xdr:nvCxnSpPr>
      <xdr:spPr>
        <a:xfrm flipV="1">
          <a:off x="15732252" y="439272660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2435</xdr:row>
      <xdr:rowOff>61615</xdr:rowOff>
    </xdr:from>
    <xdr:to>
      <xdr:col>7</xdr:col>
      <xdr:colOff>1402207</xdr:colOff>
      <xdr:row>2435</xdr:row>
      <xdr:rowOff>61615</xdr:rowOff>
    </xdr:to>
    <xdr:cxnSp macro="_xll.PtreeEvent_ObjectClick">
      <xdr:nvCxnSpPr>
        <xdr:cNvPr id="4815" name="PTObj_DBranchHLine_1_1205">
          <a:extLst>
            <a:ext uri="{FF2B5EF4-FFF2-40B4-BE49-F238E27FC236}">
              <a16:creationId xmlns:a16="http://schemas.microsoft.com/office/drawing/2014/main" id="{D0601720-E8CB-45AB-AD44-94DBAC620977}"/>
            </a:ext>
          </a:extLst>
        </xdr:cNvPr>
        <xdr:cNvCxnSpPr/>
      </xdr:nvCxnSpPr>
      <xdr:spPr>
        <a:xfrm>
          <a:off x="14462570" y="4407357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2435</xdr:row>
      <xdr:rowOff>61615</xdr:rowOff>
    </xdr:from>
    <xdr:to>
      <xdr:col>7</xdr:col>
      <xdr:colOff>222695</xdr:colOff>
      <xdr:row>2445</xdr:row>
      <xdr:rowOff>75555</xdr:rowOff>
    </xdr:to>
    <xdr:cxnSp macro="_xll.PtreeEvent_ObjectClick">
      <xdr:nvCxnSpPr>
        <xdr:cNvPr id="4814" name="PTObj_DBranchDLine_1_1205">
          <a:extLst>
            <a:ext uri="{FF2B5EF4-FFF2-40B4-BE49-F238E27FC236}">
              <a16:creationId xmlns:a16="http://schemas.microsoft.com/office/drawing/2014/main" id="{B21C3126-43F3-4D92-82E1-9C1F7AF5B67B}"/>
            </a:ext>
          </a:extLst>
        </xdr:cNvPr>
        <xdr:cNvCxnSpPr/>
      </xdr:nvCxnSpPr>
      <xdr:spPr>
        <a:xfrm flipV="1">
          <a:off x="14310170" y="440735740"/>
          <a:ext cx="152400" cy="18236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2445</xdr:row>
      <xdr:rowOff>80665</xdr:rowOff>
    </xdr:from>
    <xdr:to>
      <xdr:col>6</xdr:col>
      <xdr:colOff>1407922</xdr:colOff>
      <xdr:row>2445</xdr:row>
      <xdr:rowOff>80665</xdr:rowOff>
    </xdr:to>
    <xdr:cxnSp macro="_xll.PtreeEvent_ObjectClick">
      <xdr:nvCxnSpPr>
        <xdr:cNvPr id="4811" name="PTObj_DBranchHLine_1_1210">
          <a:extLst>
            <a:ext uri="{FF2B5EF4-FFF2-40B4-BE49-F238E27FC236}">
              <a16:creationId xmlns:a16="http://schemas.microsoft.com/office/drawing/2014/main" id="{3AA7336F-DA97-46A3-A6B4-240C85D7D228}"/>
            </a:ext>
          </a:extLst>
        </xdr:cNvPr>
        <xdr:cNvCxnSpPr/>
      </xdr:nvCxnSpPr>
      <xdr:spPr>
        <a:xfrm>
          <a:off x="13034772" y="4425645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2445</xdr:row>
      <xdr:rowOff>80665</xdr:rowOff>
    </xdr:from>
    <xdr:to>
      <xdr:col>6</xdr:col>
      <xdr:colOff>223647</xdr:colOff>
      <xdr:row>2465</xdr:row>
      <xdr:rowOff>108893</xdr:rowOff>
    </xdr:to>
    <xdr:cxnSp macro="_xll.PtreeEvent_ObjectClick">
      <xdr:nvCxnSpPr>
        <xdr:cNvPr id="4810" name="PTObj_DBranchDLine_1_1210">
          <a:extLst>
            <a:ext uri="{FF2B5EF4-FFF2-40B4-BE49-F238E27FC236}">
              <a16:creationId xmlns:a16="http://schemas.microsoft.com/office/drawing/2014/main" id="{66010FD0-0B1B-44DF-ACF4-108FB811A57B}"/>
            </a:ext>
          </a:extLst>
        </xdr:cNvPr>
        <xdr:cNvCxnSpPr/>
      </xdr:nvCxnSpPr>
      <xdr:spPr>
        <a:xfrm flipV="1">
          <a:off x="12882372" y="442564540"/>
          <a:ext cx="152400" cy="36477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2465</xdr:row>
      <xdr:rowOff>118765</xdr:rowOff>
    </xdr:from>
    <xdr:to>
      <xdr:col>5</xdr:col>
      <xdr:colOff>1411732</xdr:colOff>
      <xdr:row>2465</xdr:row>
      <xdr:rowOff>118765</xdr:rowOff>
    </xdr:to>
    <xdr:cxnSp macro="_xll.PtreeEvent_ObjectClick">
      <xdr:nvCxnSpPr>
        <xdr:cNvPr id="4807" name="PTObj_DBranchHLine_1_1220">
          <a:extLst>
            <a:ext uri="{FF2B5EF4-FFF2-40B4-BE49-F238E27FC236}">
              <a16:creationId xmlns:a16="http://schemas.microsoft.com/office/drawing/2014/main" id="{6C5915B9-829C-447C-9C16-239869F662A1}"/>
            </a:ext>
          </a:extLst>
        </xdr:cNvPr>
        <xdr:cNvCxnSpPr/>
      </xdr:nvCxnSpPr>
      <xdr:spPr>
        <a:xfrm>
          <a:off x="11610785" y="44622214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2465</xdr:row>
      <xdr:rowOff>118765</xdr:rowOff>
    </xdr:from>
    <xdr:to>
      <xdr:col>5</xdr:col>
      <xdr:colOff>228410</xdr:colOff>
      <xdr:row>2506</xdr:row>
      <xdr:rowOff>4118</xdr:rowOff>
    </xdr:to>
    <xdr:cxnSp macro="_xll.PtreeEvent_ObjectClick">
      <xdr:nvCxnSpPr>
        <xdr:cNvPr id="4806" name="PTObj_DBranchDLine_1_1220">
          <a:extLst>
            <a:ext uri="{FF2B5EF4-FFF2-40B4-BE49-F238E27FC236}">
              <a16:creationId xmlns:a16="http://schemas.microsoft.com/office/drawing/2014/main" id="{B45F6B34-99E5-435D-B43F-610435F43B8E}"/>
            </a:ext>
          </a:extLst>
        </xdr:cNvPr>
        <xdr:cNvCxnSpPr/>
      </xdr:nvCxnSpPr>
      <xdr:spPr>
        <a:xfrm flipV="1">
          <a:off x="11458385" y="446222140"/>
          <a:ext cx="152400" cy="73053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228409</xdr:colOff>
      <xdr:row>2506</xdr:row>
      <xdr:rowOff>13990</xdr:rowOff>
    </xdr:from>
    <xdr:to>
      <xdr:col>4</xdr:col>
      <xdr:colOff>1417447</xdr:colOff>
      <xdr:row>2506</xdr:row>
      <xdr:rowOff>13990</xdr:rowOff>
    </xdr:to>
    <xdr:cxnSp macro="_xll.PtreeEvent_ObjectClick">
      <xdr:nvCxnSpPr>
        <xdr:cNvPr id="4803" name="PTObj_DBranchHLine_1_1240">
          <a:extLst>
            <a:ext uri="{FF2B5EF4-FFF2-40B4-BE49-F238E27FC236}">
              <a16:creationId xmlns:a16="http://schemas.microsoft.com/office/drawing/2014/main" id="{BD97DB5C-7793-4B1C-8CB8-B9F659899460}"/>
            </a:ext>
          </a:extLst>
        </xdr:cNvPr>
        <xdr:cNvCxnSpPr/>
      </xdr:nvCxnSpPr>
      <xdr:spPr>
        <a:xfrm>
          <a:off x="10182034" y="453537340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76009</xdr:colOff>
      <xdr:row>2425</xdr:row>
      <xdr:rowOff>37455</xdr:rowOff>
    </xdr:from>
    <xdr:to>
      <xdr:col>4</xdr:col>
      <xdr:colOff>228409</xdr:colOff>
      <xdr:row>2506</xdr:row>
      <xdr:rowOff>13990</xdr:rowOff>
    </xdr:to>
    <xdr:cxnSp macro="_xll.PtreeEvent_ObjectClick">
      <xdr:nvCxnSpPr>
        <xdr:cNvPr id="4802" name="PTObj_DBranchDLine_1_1240">
          <a:extLst>
            <a:ext uri="{FF2B5EF4-FFF2-40B4-BE49-F238E27FC236}">
              <a16:creationId xmlns:a16="http://schemas.microsoft.com/office/drawing/2014/main" id="{297CC773-6C29-4215-B673-CCAF126321EF}"/>
            </a:ext>
          </a:extLst>
        </xdr:cNvPr>
        <xdr:cNvCxnSpPr/>
      </xdr:nvCxnSpPr>
      <xdr:spPr>
        <a:xfrm>
          <a:off x="10029634" y="438901830"/>
          <a:ext cx="152400" cy="146355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2423</xdr:row>
      <xdr:rowOff>38745</xdr:rowOff>
    </xdr:from>
    <xdr:to>
      <xdr:col>11</xdr:col>
      <xdr:colOff>1386967</xdr:colOff>
      <xdr:row>2423</xdr:row>
      <xdr:rowOff>38745</xdr:rowOff>
    </xdr:to>
    <xdr:cxnSp macro="_xll.PtreeEvent_ObjectClick">
      <xdr:nvCxnSpPr>
        <xdr:cNvPr id="4799" name="PTObj_DBranchHLine_1_1199">
          <a:extLst>
            <a:ext uri="{FF2B5EF4-FFF2-40B4-BE49-F238E27FC236}">
              <a16:creationId xmlns:a16="http://schemas.microsoft.com/office/drawing/2014/main" id="{37217152-CE85-474C-9162-2C5D9EFB0B6E}"/>
            </a:ext>
          </a:extLst>
        </xdr:cNvPr>
        <xdr:cNvCxnSpPr/>
      </xdr:nvCxnSpPr>
      <xdr:spPr>
        <a:xfrm>
          <a:off x="20149945" y="438541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2421</xdr:row>
      <xdr:rowOff>32742</xdr:rowOff>
    </xdr:from>
    <xdr:to>
      <xdr:col>11</xdr:col>
      <xdr:colOff>195070</xdr:colOff>
      <xdr:row>2423</xdr:row>
      <xdr:rowOff>38745</xdr:rowOff>
    </xdr:to>
    <xdr:cxnSp macro="_xll.PtreeEvent_ObjectClick">
      <xdr:nvCxnSpPr>
        <xdr:cNvPr id="4798" name="PTObj_DBranchDLine_1_1199">
          <a:extLst>
            <a:ext uri="{FF2B5EF4-FFF2-40B4-BE49-F238E27FC236}">
              <a16:creationId xmlns:a16="http://schemas.microsoft.com/office/drawing/2014/main" id="{AFE5D270-EB56-4EB6-BDFD-514A980BD469}"/>
            </a:ext>
          </a:extLst>
        </xdr:cNvPr>
        <xdr:cNvCxnSpPr/>
      </xdr:nvCxnSpPr>
      <xdr:spPr>
        <a:xfrm>
          <a:off x="19997545" y="4381732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2421</xdr:row>
      <xdr:rowOff>34925</xdr:rowOff>
    </xdr:from>
    <xdr:to>
      <xdr:col>10</xdr:col>
      <xdr:colOff>1388870</xdr:colOff>
      <xdr:row>2421</xdr:row>
      <xdr:rowOff>34925</xdr:rowOff>
    </xdr:to>
    <xdr:cxnSp macro="_xll.PtreeEvent_ObjectClick">
      <xdr:nvCxnSpPr>
        <xdr:cNvPr id="4795" name="PTObj_DBranchHLine_1_1198">
          <a:extLst>
            <a:ext uri="{FF2B5EF4-FFF2-40B4-BE49-F238E27FC236}">
              <a16:creationId xmlns:a16="http://schemas.microsoft.com/office/drawing/2014/main" id="{3B2F2E9B-9ED0-4278-96E7-46F9E77BF5AE}"/>
            </a:ext>
          </a:extLst>
        </xdr:cNvPr>
        <xdr:cNvCxnSpPr/>
      </xdr:nvCxnSpPr>
      <xdr:spPr>
        <a:xfrm>
          <a:off x="18730720" y="438175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2419</xdr:row>
      <xdr:rowOff>30758</xdr:rowOff>
    </xdr:from>
    <xdr:to>
      <xdr:col>10</xdr:col>
      <xdr:colOff>204595</xdr:colOff>
      <xdr:row>2421</xdr:row>
      <xdr:rowOff>34925</xdr:rowOff>
    </xdr:to>
    <xdr:cxnSp macro="_xll.PtreeEvent_ObjectClick">
      <xdr:nvCxnSpPr>
        <xdr:cNvPr id="4794" name="PTObj_DBranchDLine_1_1198">
          <a:extLst>
            <a:ext uri="{FF2B5EF4-FFF2-40B4-BE49-F238E27FC236}">
              <a16:creationId xmlns:a16="http://schemas.microsoft.com/office/drawing/2014/main" id="{5C6386F6-CA47-4497-B0BA-B9AD877867D2}"/>
            </a:ext>
          </a:extLst>
        </xdr:cNvPr>
        <xdr:cNvCxnSpPr/>
      </xdr:nvCxnSpPr>
      <xdr:spPr>
        <a:xfrm>
          <a:off x="18578320" y="4378092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2419</xdr:row>
      <xdr:rowOff>31105</xdr:rowOff>
    </xdr:from>
    <xdr:to>
      <xdr:col>9</xdr:col>
      <xdr:colOff>1392681</xdr:colOff>
      <xdr:row>2419</xdr:row>
      <xdr:rowOff>31105</xdr:rowOff>
    </xdr:to>
    <xdr:cxnSp macro="_xll.PtreeEvent_ObjectClick">
      <xdr:nvCxnSpPr>
        <xdr:cNvPr id="4791" name="PTObj_DBranchHLine_1_1197">
          <a:extLst>
            <a:ext uri="{FF2B5EF4-FFF2-40B4-BE49-F238E27FC236}">
              <a16:creationId xmlns:a16="http://schemas.microsoft.com/office/drawing/2014/main" id="{8F7FD6FA-2D5E-4FC2-AABB-F41B60040C08}"/>
            </a:ext>
          </a:extLst>
        </xdr:cNvPr>
        <xdr:cNvCxnSpPr/>
      </xdr:nvCxnSpPr>
      <xdr:spPr>
        <a:xfrm>
          <a:off x="17306734" y="437809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2417</xdr:row>
      <xdr:rowOff>25053</xdr:rowOff>
    </xdr:from>
    <xdr:to>
      <xdr:col>9</xdr:col>
      <xdr:colOff>209359</xdr:colOff>
      <xdr:row>2419</xdr:row>
      <xdr:rowOff>31105</xdr:rowOff>
    </xdr:to>
    <xdr:cxnSp macro="_xll.PtreeEvent_ObjectClick">
      <xdr:nvCxnSpPr>
        <xdr:cNvPr id="4790" name="PTObj_DBranchDLine_1_1197">
          <a:extLst>
            <a:ext uri="{FF2B5EF4-FFF2-40B4-BE49-F238E27FC236}">
              <a16:creationId xmlns:a16="http://schemas.microsoft.com/office/drawing/2014/main" id="{1031389C-7915-4B70-A613-E0B7BA7552A6}"/>
            </a:ext>
          </a:extLst>
        </xdr:cNvPr>
        <xdr:cNvCxnSpPr/>
      </xdr:nvCxnSpPr>
      <xdr:spPr>
        <a:xfrm>
          <a:off x="17154334" y="4374416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2417</xdr:row>
      <xdr:rowOff>27285</xdr:rowOff>
    </xdr:from>
    <xdr:to>
      <xdr:col>8</xdr:col>
      <xdr:colOff>1398397</xdr:colOff>
      <xdr:row>2417</xdr:row>
      <xdr:rowOff>27285</xdr:rowOff>
    </xdr:to>
    <xdr:cxnSp macro="_xll.PtreeEvent_ObjectClick">
      <xdr:nvCxnSpPr>
        <xdr:cNvPr id="4787" name="PTObj_DBranchHLine_1_1196">
          <a:extLst>
            <a:ext uri="{FF2B5EF4-FFF2-40B4-BE49-F238E27FC236}">
              <a16:creationId xmlns:a16="http://schemas.microsoft.com/office/drawing/2014/main" id="{286905A6-D688-43BA-974E-DA7F0628FFDA}"/>
            </a:ext>
          </a:extLst>
        </xdr:cNvPr>
        <xdr:cNvCxnSpPr/>
      </xdr:nvCxnSpPr>
      <xdr:spPr>
        <a:xfrm>
          <a:off x="15888463" y="4374438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2415</xdr:row>
      <xdr:rowOff>18405</xdr:rowOff>
    </xdr:from>
    <xdr:to>
      <xdr:col>8</xdr:col>
      <xdr:colOff>219838</xdr:colOff>
      <xdr:row>2417</xdr:row>
      <xdr:rowOff>27285</xdr:rowOff>
    </xdr:to>
    <xdr:cxnSp macro="_xll.PtreeEvent_ObjectClick">
      <xdr:nvCxnSpPr>
        <xdr:cNvPr id="4786" name="PTObj_DBranchDLine_1_1196">
          <a:extLst>
            <a:ext uri="{FF2B5EF4-FFF2-40B4-BE49-F238E27FC236}">
              <a16:creationId xmlns:a16="http://schemas.microsoft.com/office/drawing/2014/main" id="{E062C99F-B7A3-4F48-9C34-32B55A470901}"/>
            </a:ext>
          </a:extLst>
        </xdr:cNvPr>
        <xdr:cNvCxnSpPr/>
      </xdr:nvCxnSpPr>
      <xdr:spPr>
        <a:xfrm>
          <a:off x="15736063" y="43707303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2413</xdr:row>
      <xdr:rowOff>19695</xdr:rowOff>
    </xdr:from>
    <xdr:to>
      <xdr:col>11</xdr:col>
      <xdr:colOff>1394588</xdr:colOff>
      <xdr:row>2413</xdr:row>
      <xdr:rowOff>19695</xdr:rowOff>
    </xdr:to>
    <xdr:cxnSp macro="_xll.PtreeEvent_ObjectClick">
      <xdr:nvCxnSpPr>
        <xdr:cNvPr id="4783" name="PTObj_DBranchHLine_1_1194">
          <a:extLst>
            <a:ext uri="{FF2B5EF4-FFF2-40B4-BE49-F238E27FC236}">
              <a16:creationId xmlns:a16="http://schemas.microsoft.com/office/drawing/2014/main" id="{C58D0D3D-D6CF-468F-B26C-9372E3E9D7B7}"/>
            </a:ext>
          </a:extLst>
        </xdr:cNvPr>
        <xdr:cNvCxnSpPr/>
      </xdr:nvCxnSpPr>
      <xdr:spPr>
        <a:xfrm>
          <a:off x="20149945" y="436712370"/>
          <a:ext cx="119951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2411</xdr:row>
      <xdr:rowOff>3175</xdr:rowOff>
    </xdr:from>
    <xdr:to>
      <xdr:col>11</xdr:col>
      <xdr:colOff>195070</xdr:colOff>
      <xdr:row>2413</xdr:row>
      <xdr:rowOff>19695</xdr:rowOff>
    </xdr:to>
    <xdr:cxnSp macro="_xll.PtreeEvent_ObjectClick">
      <xdr:nvCxnSpPr>
        <xdr:cNvPr id="4782" name="PTObj_DBranchDLine_1_1194">
          <a:extLst>
            <a:ext uri="{FF2B5EF4-FFF2-40B4-BE49-F238E27FC236}">
              <a16:creationId xmlns:a16="http://schemas.microsoft.com/office/drawing/2014/main" id="{03D8E476-7742-43F8-BD53-80B2AC6B9715}"/>
            </a:ext>
          </a:extLst>
        </xdr:cNvPr>
        <xdr:cNvCxnSpPr/>
      </xdr:nvCxnSpPr>
      <xdr:spPr>
        <a:xfrm>
          <a:off x="19997545" y="4363339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2411</xdr:row>
      <xdr:rowOff>15875</xdr:rowOff>
    </xdr:from>
    <xdr:to>
      <xdr:col>10</xdr:col>
      <xdr:colOff>1388870</xdr:colOff>
      <xdr:row>2411</xdr:row>
      <xdr:rowOff>15875</xdr:rowOff>
    </xdr:to>
    <xdr:cxnSp macro="_xll.PtreeEvent_ObjectClick">
      <xdr:nvCxnSpPr>
        <xdr:cNvPr id="4779" name="PTObj_DBranchHLine_1_1193">
          <a:extLst>
            <a:ext uri="{FF2B5EF4-FFF2-40B4-BE49-F238E27FC236}">
              <a16:creationId xmlns:a16="http://schemas.microsoft.com/office/drawing/2014/main" id="{4D468C74-8E14-434F-8DAA-2E5BE9218718}"/>
            </a:ext>
          </a:extLst>
        </xdr:cNvPr>
        <xdr:cNvCxnSpPr/>
      </xdr:nvCxnSpPr>
      <xdr:spPr>
        <a:xfrm>
          <a:off x="18730720" y="436346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2409</xdr:row>
      <xdr:rowOff>298</xdr:rowOff>
    </xdr:from>
    <xdr:to>
      <xdr:col>10</xdr:col>
      <xdr:colOff>204595</xdr:colOff>
      <xdr:row>2411</xdr:row>
      <xdr:rowOff>15875</xdr:rowOff>
    </xdr:to>
    <xdr:cxnSp macro="_xll.PtreeEvent_ObjectClick">
      <xdr:nvCxnSpPr>
        <xdr:cNvPr id="4778" name="PTObj_DBranchDLine_1_1193">
          <a:extLst>
            <a:ext uri="{FF2B5EF4-FFF2-40B4-BE49-F238E27FC236}">
              <a16:creationId xmlns:a16="http://schemas.microsoft.com/office/drawing/2014/main" id="{C46E56CB-F3F3-4E9B-B00A-0193C48BC85A}"/>
            </a:ext>
          </a:extLst>
        </xdr:cNvPr>
        <xdr:cNvCxnSpPr/>
      </xdr:nvCxnSpPr>
      <xdr:spPr>
        <a:xfrm>
          <a:off x="18578320" y="4359690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2409</xdr:row>
      <xdr:rowOff>12055</xdr:rowOff>
    </xdr:from>
    <xdr:to>
      <xdr:col>9</xdr:col>
      <xdr:colOff>1392681</xdr:colOff>
      <xdr:row>2409</xdr:row>
      <xdr:rowOff>12055</xdr:rowOff>
    </xdr:to>
    <xdr:cxnSp macro="_xll.PtreeEvent_ObjectClick">
      <xdr:nvCxnSpPr>
        <xdr:cNvPr id="4775" name="PTObj_DBranchHLine_1_1192">
          <a:extLst>
            <a:ext uri="{FF2B5EF4-FFF2-40B4-BE49-F238E27FC236}">
              <a16:creationId xmlns:a16="http://schemas.microsoft.com/office/drawing/2014/main" id="{F2F418DC-1BFC-4BE9-869C-C6E104E3434B}"/>
            </a:ext>
          </a:extLst>
        </xdr:cNvPr>
        <xdr:cNvCxnSpPr/>
      </xdr:nvCxnSpPr>
      <xdr:spPr>
        <a:xfrm>
          <a:off x="17306734" y="435980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2406</xdr:row>
      <xdr:rowOff>180330</xdr:rowOff>
    </xdr:from>
    <xdr:to>
      <xdr:col>9</xdr:col>
      <xdr:colOff>209359</xdr:colOff>
      <xdr:row>2409</xdr:row>
      <xdr:rowOff>12055</xdr:rowOff>
    </xdr:to>
    <xdr:cxnSp macro="_xll.PtreeEvent_ObjectClick">
      <xdr:nvCxnSpPr>
        <xdr:cNvPr id="4774" name="PTObj_DBranchDLine_1_1192">
          <a:extLst>
            <a:ext uri="{FF2B5EF4-FFF2-40B4-BE49-F238E27FC236}">
              <a16:creationId xmlns:a16="http://schemas.microsoft.com/office/drawing/2014/main" id="{4FE28FD2-B319-4BF4-82C4-724CF004B30B}"/>
            </a:ext>
          </a:extLst>
        </xdr:cNvPr>
        <xdr:cNvCxnSpPr/>
      </xdr:nvCxnSpPr>
      <xdr:spPr>
        <a:xfrm>
          <a:off x="17154334" y="435606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2407</xdr:row>
      <xdr:rowOff>8235</xdr:rowOff>
    </xdr:from>
    <xdr:to>
      <xdr:col>8</xdr:col>
      <xdr:colOff>1398397</xdr:colOff>
      <xdr:row>2407</xdr:row>
      <xdr:rowOff>8235</xdr:rowOff>
    </xdr:to>
    <xdr:cxnSp macro="_xll.PtreeEvent_ObjectClick">
      <xdr:nvCxnSpPr>
        <xdr:cNvPr id="4771" name="PTObj_DBranchHLine_1_1191">
          <a:extLst>
            <a:ext uri="{FF2B5EF4-FFF2-40B4-BE49-F238E27FC236}">
              <a16:creationId xmlns:a16="http://schemas.microsoft.com/office/drawing/2014/main" id="{335640FF-1CFF-4AD9-A7BD-945BA529DCF4}"/>
            </a:ext>
          </a:extLst>
        </xdr:cNvPr>
        <xdr:cNvCxnSpPr/>
      </xdr:nvCxnSpPr>
      <xdr:spPr>
        <a:xfrm>
          <a:off x="15884652" y="4356150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2407</xdr:row>
      <xdr:rowOff>8235</xdr:rowOff>
    </xdr:from>
    <xdr:to>
      <xdr:col>8</xdr:col>
      <xdr:colOff>216027</xdr:colOff>
      <xdr:row>2415</xdr:row>
      <xdr:rowOff>18405</xdr:rowOff>
    </xdr:to>
    <xdr:cxnSp macro="_xll.PtreeEvent_ObjectClick">
      <xdr:nvCxnSpPr>
        <xdr:cNvPr id="4770" name="PTObj_DBranchDLine_1_1191">
          <a:extLst>
            <a:ext uri="{FF2B5EF4-FFF2-40B4-BE49-F238E27FC236}">
              <a16:creationId xmlns:a16="http://schemas.microsoft.com/office/drawing/2014/main" id="{EC61B97E-7CBA-42F8-BBA0-8F45C886D581}"/>
            </a:ext>
          </a:extLst>
        </xdr:cNvPr>
        <xdr:cNvCxnSpPr/>
      </xdr:nvCxnSpPr>
      <xdr:spPr>
        <a:xfrm flipV="1">
          <a:off x="15732252" y="435615060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2415</xdr:row>
      <xdr:rowOff>23515</xdr:rowOff>
    </xdr:from>
    <xdr:to>
      <xdr:col>7</xdr:col>
      <xdr:colOff>1402207</xdr:colOff>
      <xdr:row>2415</xdr:row>
      <xdr:rowOff>23515</xdr:rowOff>
    </xdr:to>
    <xdr:cxnSp macro="_xll.PtreeEvent_ObjectClick">
      <xdr:nvCxnSpPr>
        <xdr:cNvPr id="4767" name="PTObj_DBranchHLine_1_1195">
          <a:extLst>
            <a:ext uri="{FF2B5EF4-FFF2-40B4-BE49-F238E27FC236}">
              <a16:creationId xmlns:a16="http://schemas.microsoft.com/office/drawing/2014/main" id="{F27A43A0-80EF-4898-B4BB-DA057877774B}"/>
            </a:ext>
          </a:extLst>
        </xdr:cNvPr>
        <xdr:cNvCxnSpPr/>
      </xdr:nvCxnSpPr>
      <xdr:spPr>
        <a:xfrm>
          <a:off x="14460665" y="4370781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2405</xdr:row>
      <xdr:rowOff>1240</xdr:rowOff>
    </xdr:from>
    <xdr:to>
      <xdr:col>7</xdr:col>
      <xdr:colOff>220790</xdr:colOff>
      <xdr:row>2415</xdr:row>
      <xdr:rowOff>23515</xdr:rowOff>
    </xdr:to>
    <xdr:cxnSp macro="_xll.PtreeEvent_ObjectClick">
      <xdr:nvCxnSpPr>
        <xdr:cNvPr id="4766" name="PTObj_DBranchDLine_1_1195">
          <a:extLst>
            <a:ext uri="{FF2B5EF4-FFF2-40B4-BE49-F238E27FC236}">
              <a16:creationId xmlns:a16="http://schemas.microsoft.com/office/drawing/2014/main" id="{6345575D-CA03-4A21-BB43-E60845B24519}"/>
            </a:ext>
          </a:extLst>
        </xdr:cNvPr>
        <xdr:cNvCxnSpPr/>
      </xdr:nvCxnSpPr>
      <xdr:spPr>
        <a:xfrm>
          <a:off x="14308265" y="435246115"/>
          <a:ext cx="152400" cy="18320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2403</xdr:row>
      <xdr:rowOff>645</xdr:rowOff>
    </xdr:from>
    <xdr:to>
      <xdr:col>11</xdr:col>
      <xdr:colOff>1386967</xdr:colOff>
      <xdr:row>2403</xdr:row>
      <xdr:rowOff>645</xdr:rowOff>
    </xdr:to>
    <xdr:cxnSp macro="_xll.PtreeEvent_ObjectClick">
      <xdr:nvCxnSpPr>
        <xdr:cNvPr id="4763" name="PTObj_DBranchHLine_1_1189">
          <a:extLst>
            <a:ext uri="{FF2B5EF4-FFF2-40B4-BE49-F238E27FC236}">
              <a16:creationId xmlns:a16="http://schemas.microsoft.com/office/drawing/2014/main" id="{B8521243-88CD-4235-9928-400800EF1B13}"/>
            </a:ext>
          </a:extLst>
        </xdr:cNvPr>
        <xdr:cNvCxnSpPr/>
      </xdr:nvCxnSpPr>
      <xdr:spPr>
        <a:xfrm>
          <a:off x="20149945" y="434883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2400</xdr:row>
      <xdr:rowOff>175617</xdr:rowOff>
    </xdr:from>
    <xdr:to>
      <xdr:col>11</xdr:col>
      <xdr:colOff>195070</xdr:colOff>
      <xdr:row>2403</xdr:row>
      <xdr:rowOff>645</xdr:rowOff>
    </xdr:to>
    <xdr:cxnSp macro="_xll.PtreeEvent_ObjectClick">
      <xdr:nvCxnSpPr>
        <xdr:cNvPr id="4762" name="PTObj_DBranchDLine_1_1189">
          <a:extLst>
            <a:ext uri="{FF2B5EF4-FFF2-40B4-BE49-F238E27FC236}">
              <a16:creationId xmlns:a16="http://schemas.microsoft.com/office/drawing/2014/main" id="{8BA50EAA-B517-4BA6-803E-BC14AC1A0625}"/>
            </a:ext>
          </a:extLst>
        </xdr:cNvPr>
        <xdr:cNvCxnSpPr/>
      </xdr:nvCxnSpPr>
      <xdr:spPr>
        <a:xfrm>
          <a:off x="19997545" y="4345156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2400</xdr:row>
      <xdr:rowOff>177800</xdr:rowOff>
    </xdr:from>
    <xdr:to>
      <xdr:col>10</xdr:col>
      <xdr:colOff>1388870</xdr:colOff>
      <xdr:row>2400</xdr:row>
      <xdr:rowOff>177800</xdr:rowOff>
    </xdr:to>
    <xdr:cxnSp macro="_xll.PtreeEvent_ObjectClick">
      <xdr:nvCxnSpPr>
        <xdr:cNvPr id="4759" name="PTObj_DBranchHLine_1_1188">
          <a:extLst>
            <a:ext uri="{FF2B5EF4-FFF2-40B4-BE49-F238E27FC236}">
              <a16:creationId xmlns:a16="http://schemas.microsoft.com/office/drawing/2014/main" id="{9CD61361-B745-469F-AF95-DDE51E543EE3}"/>
            </a:ext>
          </a:extLst>
        </xdr:cNvPr>
        <xdr:cNvCxnSpPr/>
      </xdr:nvCxnSpPr>
      <xdr:spPr>
        <a:xfrm>
          <a:off x="18730720" y="434517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2398</xdr:row>
      <xdr:rowOff>173633</xdr:rowOff>
    </xdr:from>
    <xdr:to>
      <xdr:col>10</xdr:col>
      <xdr:colOff>204595</xdr:colOff>
      <xdr:row>2400</xdr:row>
      <xdr:rowOff>177800</xdr:rowOff>
    </xdr:to>
    <xdr:cxnSp macro="_xll.PtreeEvent_ObjectClick">
      <xdr:nvCxnSpPr>
        <xdr:cNvPr id="4758" name="PTObj_DBranchDLine_1_1188">
          <a:extLst>
            <a:ext uri="{FF2B5EF4-FFF2-40B4-BE49-F238E27FC236}">
              <a16:creationId xmlns:a16="http://schemas.microsoft.com/office/drawing/2014/main" id="{8BE4EFE1-E4CC-49D7-B281-9A5E435160A4}"/>
            </a:ext>
          </a:extLst>
        </xdr:cNvPr>
        <xdr:cNvCxnSpPr/>
      </xdr:nvCxnSpPr>
      <xdr:spPr>
        <a:xfrm>
          <a:off x="18578320" y="4341516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2398</xdr:row>
      <xdr:rowOff>173980</xdr:rowOff>
    </xdr:from>
    <xdr:to>
      <xdr:col>9</xdr:col>
      <xdr:colOff>1392681</xdr:colOff>
      <xdr:row>2398</xdr:row>
      <xdr:rowOff>173980</xdr:rowOff>
    </xdr:to>
    <xdr:cxnSp macro="_xll.PtreeEvent_ObjectClick">
      <xdr:nvCxnSpPr>
        <xdr:cNvPr id="4755" name="PTObj_DBranchHLine_1_1187">
          <a:extLst>
            <a:ext uri="{FF2B5EF4-FFF2-40B4-BE49-F238E27FC236}">
              <a16:creationId xmlns:a16="http://schemas.microsoft.com/office/drawing/2014/main" id="{76549CCB-507A-4D5E-8F99-CCEEEF516BB5}"/>
            </a:ext>
          </a:extLst>
        </xdr:cNvPr>
        <xdr:cNvCxnSpPr/>
      </xdr:nvCxnSpPr>
      <xdr:spPr>
        <a:xfrm>
          <a:off x="17306734" y="434152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2396</xdr:row>
      <xdr:rowOff>167928</xdr:rowOff>
    </xdr:from>
    <xdr:to>
      <xdr:col>9</xdr:col>
      <xdr:colOff>209359</xdr:colOff>
      <xdr:row>2398</xdr:row>
      <xdr:rowOff>173980</xdr:rowOff>
    </xdr:to>
    <xdr:cxnSp macro="_xll.PtreeEvent_ObjectClick">
      <xdr:nvCxnSpPr>
        <xdr:cNvPr id="4754" name="PTObj_DBranchDLine_1_1187">
          <a:extLst>
            <a:ext uri="{FF2B5EF4-FFF2-40B4-BE49-F238E27FC236}">
              <a16:creationId xmlns:a16="http://schemas.microsoft.com/office/drawing/2014/main" id="{FC03D147-7A9A-4847-BBDB-8F4F4155257E}"/>
            </a:ext>
          </a:extLst>
        </xdr:cNvPr>
        <xdr:cNvCxnSpPr/>
      </xdr:nvCxnSpPr>
      <xdr:spPr>
        <a:xfrm>
          <a:off x="17154334" y="4337840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2396</xdr:row>
      <xdr:rowOff>170160</xdr:rowOff>
    </xdr:from>
    <xdr:to>
      <xdr:col>8</xdr:col>
      <xdr:colOff>1398397</xdr:colOff>
      <xdr:row>2396</xdr:row>
      <xdr:rowOff>170160</xdr:rowOff>
    </xdr:to>
    <xdr:cxnSp macro="_xll.PtreeEvent_ObjectClick">
      <xdr:nvCxnSpPr>
        <xdr:cNvPr id="4751" name="PTObj_DBranchHLine_1_1186">
          <a:extLst>
            <a:ext uri="{FF2B5EF4-FFF2-40B4-BE49-F238E27FC236}">
              <a16:creationId xmlns:a16="http://schemas.microsoft.com/office/drawing/2014/main" id="{6DFAF1B8-3D6C-4C1B-B7B6-384AC6C8EC77}"/>
            </a:ext>
          </a:extLst>
        </xdr:cNvPr>
        <xdr:cNvCxnSpPr/>
      </xdr:nvCxnSpPr>
      <xdr:spPr>
        <a:xfrm>
          <a:off x="15888463" y="4337862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2394</xdr:row>
      <xdr:rowOff>161280</xdr:rowOff>
    </xdr:from>
    <xdr:to>
      <xdr:col>8</xdr:col>
      <xdr:colOff>219838</xdr:colOff>
      <xdr:row>2396</xdr:row>
      <xdr:rowOff>170160</xdr:rowOff>
    </xdr:to>
    <xdr:cxnSp macro="_xll.PtreeEvent_ObjectClick">
      <xdr:nvCxnSpPr>
        <xdr:cNvPr id="4750" name="PTObj_DBranchDLine_1_1186">
          <a:extLst>
            <a:ext uri="{FF2B5EF4-FFF2-40B4-BE49-F238E27FC236}">
              <a16:creationId xmlns:a16="http://schemas.microsoft.com/office/drawing/2014/main" id="{1F5740D2-8482-4E51-BAB8-2A1FA3B1F2B7}"/>
            </a:ext>
          </a:extLst>
        </xdr:cNvPr>
        <xdr:cNvCxnSpPr/>
      </xdr:nvCxnSpPr>
      <xdr:spPr>
        <a:xfrm>
          <a:off x="15736063" y="43341543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2392</xdr:row>
      <xdr:rowOff>162570</xdr:rowOff>
    </xdr:from>
    <xdr:to>
      <xdr:col>11</xdr:col>
      <xdr:colOff>1394588</xdr:colOff>
      <xdr:row>2392</xdr:row>
      <xdr:rowOff>162570</xdr:rowOff>
    </xdr:to>
    <xdr:cxnSp macro="_xll.PtreeEvent_ObjectClick">
      <xdr:nvCxnSpPr>
        <xdr:cNvPr id="4747" name="PTObj_DBranchHLine_1_1184">
          <a:extLst>
            <a:ext uri="{FF2B5EF4-FFF2-40B4-BE49-F238E27FC236}">
              <a16:creationId xmlns:a16="http://schemas.microsoft.com/office/drawing/2014/main" id="{22A38259-448C-4226-87A6-2E3C6C9BF753}"/>
            </a:ext>
          </a:extLst>
        </xdr:cNvPr>
        <xdr:cNvCxnSpPr/>
      </xdr:nvCxnSpPr>
      <xdr:spPr>
        <a:xfrm>
          <a:off x="20149945" y="433054770"/>
          <a:ext cx="119951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2390</xdr:row>
      <xdr:rowOff>146050</xdr:rowOff>
    </xdr:from>
    <xdr:to>
      <xdr:col>11</xdr:col>
      <xdr:colOff>195070</xdr:colOff>
      <xdr:row>2392</xdr:row>
      <xdr:rowOff>162570</xdr:rowOff>
    </xdr:to>
    <xdr:cxnSp macro="_xll.PtreeEvent_ObjectClick">
      <xdr:nvCxnSpPr>
        <xdr:cNvPr id="4746" name="PTObj_DBranchDLine_1_1184">
          <a:extLst>
            <a:ext uri="{FF2B5EF4-FFF2-40B4-BE49-F238E27FC236}">
              <a16:creationId xmlns:a16="http://schemas.microsoft.com/office/drawing/2014/main" id="{BA8AAE84-9D7E-4951-A1D8-5959D5002577}"/>
            </a:ext>
          </a:extLst>
        </xdr:cNvPr>
        <xdr:cNvCxnSpPr/>
      </xdr:nvCxnSpPr>
      <xdr:spPr>
        <a:xfrm>
          <a:off x="19997545" y="4326763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2390</xdr:row>
      <xdr:rowOff>158750</xdr:rowOff>
    </xdr:from>
    <xdr:to>
      <xdr:col>10</xdr:col>
      <xdr:colOff>1388870</xdr:colOff>
      <xdr:row>2390</xdr:row>
      <xdr:rowOff>158750</xdr:rowOff>
    </xdr:to>
    <xdr:cxnSp macro="_xll.PtreeEvent_ObjectClick">
      <xdr:nvCxnSpPr>
        <xdr:cNvPr id="4743" name="PTObj_DBranchHLine_1_1183">
          <a:extLst>
            <a:ext uri="{FF2B5EF4-FFF2-40B4-BE49-F238E27FC236}">
              <a16:creationId xmlns:a16="http://schemas.microsoft.com/office/drawing/2014/main" id="{7585D45C-2E62-4253-ACA6-18F724A54774}"/>
            </a:ext>
          </a:extLst>
        </xdr:cNvPr>
        <xdr:cNvCxnSpPr/>
      </xdr:nvCxnSpPr>
      <xdr:spPr>
        <a:xfrm>
          <a:off x="18730720" y="432689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2388</xdr:row>
      <xdr:rowOff>143173</xdr:rowOff>
    </xdr:from>
    <xdr:to>
      <xdr:col>10</xdr:col>
      <xdr:colOff>204595</xdr:colOff>
      <xdr:row>2390</xdr:row>
      <xdr:rowOff>158750</xdr:rowOff>
    </xdr:to>
    <xdr:cxnSp macro="_xll.PtreeEvent_ObjectClick">
      <xdr:nvCxnSpPr>
        <xdr:cNvPr id="4742" name="PTObj_DBranchDLine_1_1183">
          <a:extLst>
            <a:ext uri="{FF2B5EF4-FFF2-40B4-BE49-F238E27FC236}">
              <a16:creationId xmlns:a16="http://schemas.microsoft.com/office/drawing/2014/main" id="{DDC3045B-8AC0-4DAD-8D3A-3AD1CEA28692}"/>
            </a:ext>
          </a:extLst>
        </xdr:cNvPr>
        <xdr:cNvCxnSpPr/>
      </xdr:nvCxnSpPr>
      <xdr:spPr>
        <a:xfrm>
          <a:off x="18578320" y="4323114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2388</xdr:row>
      <xdr:rowOff>154930</xdr:rowOff>
    </xdr:from>
    <xdr:to>
      <xdr:col>9</xdr:col>
      <xdr:colOff>1392681</xdr:colOff>
      <xdr:row>2388</xdr:row>
      <xdr:rowOff>154930</xdr:rowOff>
    </xdr:to>
    <xdr:cxnSp macro="_xll.PtreeEvent_ObjectClick">
      <xdr:nvCxnSpPr>
        <xdr:cNvPr id="4739" name="PTObj_DBranchHLine_1_1182">
          <a:extLst>
            <a:ext uri="{FF2B5EF4-FFF2-40B4-BE49-F238E27FC236}">
              <a16:creationId xmlns:a16="http://schemas.microsoft.com/office/drawing/2014/main" id="{8C9B0253-E950-461A-A9D4-B726A7E06AA7}"/>
            </a:ext>
          </a:extLst>
        </xdr:cNvPr>
        <xdr:cNvCxnSpPr/>
      </xdr:nvCxnSpPr>
      <xdr:spPr>
        <a:xfrm>
          <a:off x="17306734" y="432323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2386</xdr:row>
      <xdr:rowOff>142230</xdr:rowOff>
    </xdr:from>
    <xdr:to>
      <xdr:col>9</xdr:col>
      <xdr:colOff>209359</xdr:colOff>
      <xdr:row>2388</xdr:row>
      <xdr:rowOff>154930</xdr:rowOff>
    </xdr:to>
    <xdr:cxnSp macro="_xll.PtreeEvent_ObjectClick">
      <xdr:nvCxnSpPr>
        <xdr:cNvPr id="4738" name="PTObj_DBranchDLine_1_1182">
          <a:extLst>
            <a:ext uri="{FF2B5EF4-FFF2-40B4-BE49-F238E27FC236}">
              <a16:creationId xmlns:a16="http://schemas.microsoft.com/office/drawing/2014/main" id="{3D9A91EA-D1C5-4F73-84E5-3978187D3B54}"/>
            </a:ext>
          </a:extLst>
        </xdr:cNvPr>
        <xdr:cNvCxnSpPr/>
      </xdr:nvCxnSpPr>
      <xdr:spPr>
        <a:xfrm>
          <a:off x="17154334" y="431948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2386</xdr:row>
      <xdr:rowOff>151110</xdr:rowOff>
    </xdr:from>
    <xdr:to>
      <xdr:col>8</xdr:col>
      <xdr:colOff>1398397</xdr:colOff>
      <xdr:row>2386</xdr:row>
      <xdr:rowOff>151110</xdr:rowOff>
    </xdr:to>
    <xdr:cxnSp macro="_xll.PtreeEvent_ObjectClick">
      <xdr:nvCxnSpPr>
        <xdr:cNvPr id="4735" name="PTObj_DBranchHLine_1_1181">
          <a:extLst>
            <a:ext uri="{FF2B5EF4-FFF2-40B4-BE49-F238E27FC236}">
              <a16:creationId xmlns:a16="http://schemas.microsoft.com/office/drawing/2014/main" id="{8893B1A8-00DF-4E8B-A298-0BA392CBCAAF}"/>
            </a:ext>
          </a:extLst>
        </xdr:cNvPr>
        <xdr:cNvCxnSpPr/>
      </xdr:nvCxnSpPr>
      <xdr:spPr>
        <a:xfrm>
          <a:off x="15884652" y="4319574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2386</xdr:row>
      <xdr:rowOff>151110</xdr:rowOff>
    </xdr:from>
    <xdr:to>
      <xdr:col>8</xdr:col>
      <xdr:colOff>216027</xdr:colOff>
      <xdr:row>2394</xdr:row>
      <xdr:rowOff>161280</xdr:rowOff>
    </xdr:to>
    <xdr:cxnSp macro="_xll.PtreeEvent_ObjectClick">
      <xdr:nvCxnSpPr>
        <xdr:cNvPr id="4734" name="PTObj_DBranchDLine_1_1181">
          <a:extLst>
            <a:ext uri="{FF2B5EF4-FFF2-40B4-BE49-F238E27FC236}">
              <a16:creationId xmlns:a16="http://schemas.microsoft.com/office/drawing/2014/main" id="{9F341012-084F-4889-93CC-C341CE772AAF}"/>
            </a:ext>
          </a:extLst>
        </xdr:cNvPr>
        <xdr:cNvCxnSpPr/>
      </xdr:nvCxnSpPr>
      <xdr:spPr>
        <a:xfrm flipV="1">
          <a:off x="15732252" y="431957460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2394</xdr:row>
      <xdr:rowOff>166390</xdr:rowOff>
    </xdr:from>
    <xdr:to>
      <xdr:col>7</xdr:col>
      <xdr:colOff>1402207</xdr:colOff>
      <xdr:row>2394</xdr:row>
      <xdr:rowOff>166390</xdr:rowOff>
    </xdr:to>
    <xdr:cxnSp macro="_xll.PtreeEvent_ObjectClick">
      <xdr:nvCxnSpPr>
        <xdr:cNvPr id="4731" name="PTObj_DBranchHLine_1_1185">
          <a:extLst>
            <a:ext uri="{FF2B5EF4-FFF2-40B4-BE49-F238E27FC236}">
              <a16:creationId xmlns:a16="http://schemas.microsoft.com/office/drawing/2014/main" id="{F3E724FA-3553-44D9-95AB-70E9C1E8C980}"/>
            </a:ext>
          </a:extLst>
        </xdr:cNvPr>
        <xdr:cNvCxnSpPr/>
      </xdr:nvCxnSpPr>
      <xdr:spPr>
        <a:xfrm>
          <a:off x="14462570" y="4334205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2394</xdr:row>
      <xdr:rowOff>166390</xdr:rowOff>
    </xdr:from>
    <xdr:to>
      <xdr:col>7</xdr:col>
      <xdr:colOff>222695</xdr:colOff>
      <xdr:row>2404</xdr:row>
      <xdr:rowOff>180330</xdr:rowOff>
    </xdr:to>
    <xdr:cxnSp macro="_xll.PtreeEvent_ObjectClick">
      <xdr:nvCxnSpPr>
        <xdr:cNvPr id="4730" name="PTObj_DBranchDLine_1_1185">
          <a:extLst>
            <a:ext uri="{FF2B5EF4-FFF2-40B4-BE49-F238E27FC236}">
              <a16:creationId xmlns:a16="http://schemas.microsoft.com/office/drawing/2014/main" id="{9C001594-BEB4-4A09-B744-8D0E3E21CEFC}"/>
            </a:ext>
          </a:extLst>
        </xdr:cNvPr>
        <xdr:cNvCxnSpPr/>
      </xdr:nvCxnSpPr>
      <xdr:spPr>
        <a:xfrm flipV="1">
          <a:off x="14310170" y="433420540"/>
          <a:ext cx="152400" cy="18236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2405</xdr:row>
      <xdr:rowOff>4465</xdr:rowOff>
    </xdr:from>
    <xdr:to>
      <xdr:col>6</xdr:col>
      <xdr:colOff>1407922</xdr:colOff>
      <xdr:row>2405</xdr:row>
      <xdr:rowOff>4465</xdr:rowOff>
    </xdr:to>
    <xdr:cxnSp macro="_xll.PtreeEvent_ObjectClick">
      <xdr:nvCxnSpPr>
        <xdr:cNvPr id="4727" name="PTObj_DBranchHLine_1_1190">
          <a:extLst>
            <a:ext uri="{FF2B5EF4-FFF2-40B4-BE49-F238E27FC236}">
              <a16:creationId xmlns:a16="http://schemas.microsoft.com/office/drawing/2014/main" id="{01EC4DBC-8BB5-4F92-B89B-C2BD7DBCECD6}"/>
            </a:ext>
          </a:extLst>
        </xdr:cNvPr>
        <xdr:cNvCxnSpPr/>
      </xdr:nvCxnSpPr>
      <xdr:spPr>
        <a:xfrm>
          <a:off x="13036677" y="43524934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2384</xdr:row>
      <xdr:rowOff>144115</xdr:rowOff>
    </xdr:from>
    <xdr:to>
      <xdr:col>6</xdr:col>
      <xdr:colOff>225552</xdr:colOff>
      <xdr:row>2405</xdr:row>
      <xdr:rowOff>4465</xdr:rowOff>
    </xdr:to>
    <xdr:cxnSp macro="_xll.PtreeEvent_ObjectClick">
      <xdr:nvCxnSpPr>
        <xdr:cNvPr id="4726" name="PTObj_DBranchDLine_1_1190">
          <a:extLst>
            <a:ext uri="{FF2B5EF4-FFF2-40B4-BE49-F238E27FC236}">
              <a16:creationId xmlns:a16="http://schemas.microsoft.com/office/drawing/2014/main" id="{203485FD-B555-44D1-A732-102D45877E14}"/>
            </a:ext>
          </a:extLst>
        </xdr:cNvPr>
        <xdr:cNvCxnSpPr/>
      </xdr:nvCxnSpPr>
      <xdr:spPr>
        <a:xfrm>
          <a:off x="12884276" y="431588515"/>
          <a:ext cx="152401" cy="36608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2382</xdr:row>
      <xdr:rowOff>143520</xdr:rowOff>
    </xdr:from>
    <xdr:to>
      <xdr:col>11</xdr:col>
      <xdr:colOff>1386967</xdr:colOff>
      <xdr:row>2382</xdr:row>
      <xdr:rowOff>143520</xdr:rowOff>
    </xdr:to>
    <xdr:cxnSp macro="_xll.PtreeEvent_ObjectClick">
      <xdr:nvCxnSpPr>
        <xdr:cNvPr id="4723" name="PTObj_DBranchHLine_1_1179">
          <a:extLst>
            <a:ext uri="{FF2B5EF4-FFF2-40B4-BE49-F238E27FC236}">
              <a16:creationId xmlns:a16="http://schemas.microsoft.com/office/drawing/2014/main" id="{C2B72F81-A1C0-4F5D-A214-A34491C443BA}"/>
            </a:ext>
          </a:extLst>
        </xdr:cNvPr>
        <xdr:cNvCxnSpPr/>
      </xdr:nvCxnSpPr>
      <xdr:spPr>
        <a:xfrm>
          <a:off x="20149945" y="431225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2380</xdr:row>
      <xdr:rowOff>137517</xdr:rowOff>
    </xdr:from>
    <xdr:to>
      <xdr:col>11</xdr:col>
      <xdr:colOff>195070</xdr:colOff>
      <xdr:row>2382</xdr:row>
      <xdr:rowOff>143520</xdr:rowOff>
    </xdr:to>
    <xdr:cxnSp macro="_xll.PtreeEvent_ObjectClick">
      <xdr:nvCxnSpPr>
        <xdr:cNvPr id="4722" name="PTObj_DBranchDLine_1_1179">
          <a:extLst>
            <a:ext uri="{FF2B5EF4-FFF2-40B4-BE49-F238E27FC236}">
              <a16:creationId xmlns:a16="http://schemas.microsoft.com/office/drawing/2014/main" id="{01D35C20-230F-4C5D-AD22-757359E7D2D7}"/>
            </a:ext>
          </a:extLst>
        </xdr:cNvPr>
        <xdr:cNvCxnSpPr/>
      </xdr:nvCxnSpPr>
      <xdr:spPr>
        <a:xfrm>
          <a:off x="19997545" y="4308580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2380</xdr:row>
      <xdr:rowOff>139700</xdr:rowOff>
    </xdr:from>
    <xdr:to>
      <xdr:col>10</xdr:col>
      <xdr:colOff>1388870</xdr:colOff>
      <xdr:row>2380</xdr:row>
      <xdr:rowOff>139700</xdr:rowOff>
    </xdr:to>
    <xdr:cxnSp macro="_xll.PtreeEvent_ObjectClick">
      <xdr:nvCxnSpPr>
        <xdr:cNvPr id="4719" name="PTObj_DBranchHLine_1_1178">
          <a:extLst>
            <a:ext uri="{FF2B5EF4-FFF2-40B4-BE49-F238E27FC236}">
              <a16:creationId xmlns:a16="http://schemas.microsoft.com/office/drawing/2014/main" id="{F74B6D4F-BD87-42D9-882C-BEC5BE3B1B2B}"/>
            </a:ext>
          </a:extLst>
        </xdr:cNvPr>
        <xdr:cNvCxnSpPr/>
      </xdr:nvCxnSpPr>
      <xdr:spPr>
        <a:xfrm>
          <a:off x="18730720" y="430860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2378</xdr:row>
      <xdr:rowOff>135533</xdr:rowOff>
    </xdr:from>
    <xdr:to>
      <xdr:col>10</xdr:col>
      <xdr:colOff>204595</xdr:colOff>
      <xdr:row>2380</xdr:row>
      <xdr:rowOff>139700</xdr:rowOff>
    </xdr:to>
    <xdr:cxnSp macro="_xll.PtreeEvent_ObjectClick">
      <xdr:nvCxnSpPr>
        <xdr:cNvPr id="4718" name="PTObj_DBranchDLine_1_1178">
          <a:extLst>
            <a:ext uri="{FF2B5EF4-FFF2-40B4-BE49-F238E27FC236}">
              <a16:creationId xmlns:a16="http://schemas.microsoft.com/office/drawing/2014/main" id="{5AEB0ACE-40F7-4673-A3ED-80F132074C21}"/>
            </a:ext>
          </a:extLst>
        </xdr:cNvPr>
        <xdr:cNvCxnSpPr/>
      </xdr:nvCxnSpPr>
      <xdr:spPr>
        <a:xfrm>
          <a:off x="18578320" y="4304940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2378</xdr:row>
      <xdr:rowOff>135880</xdr:rowOff>
    </xdr:from>
    <xdr:to>
      <xdr:col>9</xdr:col>
      <xdr:colOff>1392681</xdr:colOff>
      <xdr:row>2378</xdr:row>
      <xdr:rowOff>135880</xdr:rowOff>
    </xdr:to>
    <xdr:cxnSp macro="_xll.PtreeEvent_ObjectClick">
      <xdr:nvCxnSpPr>
        <xdr:cNvPr id="4715" name="PTObj_DBranchHLine_1_1177">
          <a:extLst>
            <a:ext uri="{FF2B5EF4-FFF2-40B4-BE49-F238E27FC236}">
              <a16:creationId xmlns:a16="http://schemas.microsoft.com/office/drawing/2014/main" id="{B0F1FAA1-1BD9-4D55-A1BF-28BC5A736DE7}"/>
            </a:ext>
          </a:extLst>
        </xdr:cNvPr>
        <xdr:cNvCxnSpPr/>
      </xdr:nvCxnSpPr>
      <xdr:spPr>
        <a:xfrm>
          <a:off x="17306734" y="430494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2376</xdr:row>
      <xdr:rowOff>129828</xdr:rowOff>
    </xdr:from>
    <xdr:to>
      <xdr:col>9</xdr:col>
      <xdr:colOff>209359</xdr:colOff>
      <xdr:row>2378</xdr:row>
      <xdr:rowOff>135880</xdr:rowOff>
    </xdr:to>
    <xdr:cxnSp macro="_xll.PtreeEvent_ObjectClick">
      <xdr:nvCxnSpPr>
        <xdr:cNvPr id="4714" name="PTObj_DBranchDLine_1_1177">
          <a:extLst>
            <a:ext uri="{FF2B5EF4-FFF2-40B4-BE49-F238E27FC236}">
              <a16:creationId xmlns:a16="http://schemas.microsoft.com/office/drawing/2014/main" id="{944D588E-7872-47DF-A6EE-9F50FE5C2814}"/>
            </a:ext>
          </a:extLst>
        </xdr:cNvPr>
        <xdr:cNvCxnSpPr/>
      </xdr:nvCxnSpPr>
      <xdr:spPr>
        <a:xfrm>
          <a:off x="17154334" y="4301264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2376</xdr:row>
      <xdr:rowOff>132060</xdr:rowOff>
    </xdr:from>
    <xdr:to>
      <xdr:col>8</xdr:col>
      <xdr:colOff>1398397</xdr:colOff>
      <xdr:row>2376</xdr:row>
      <xdr:rowOff>132060</xdr:rowOff>
    </xdr:to>
    <xdr:cxnSp macro="_xll.PtreeEvent_ObjectClick">
      <xdr:nvCxnSpPr>
        <xdr:cNvPr id="4711" name="PTObj_DBranchHLine_1_1176">
          <a:extLst>
            <a:ext uri="{FF2B5EF4-FFF2-40B4-BE49-F238E27FC236}">
              <a16:creationId xmlns:a16="http://schemas.microsoft.com/office/drawing/2014/main" id="{646D2BEA-1C97-4694-814D-91E0979DFA1C}"/>
            </a:ext>
          </a:extLst>
        </xdr:cNvPr>
        <xdr:cNvCxnSpPr/>
      </xdr:nvCxnSpPr>
      <xdr:spPr>
        <a:xfrm>
          <a:off x="15888463" y="4301286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2374</xdr:row>
      <xdr:rowOff>123180</xdr:rowOff>
    </xdr:from>
    <xdr:to>
      <xdr:col>8</xdr:col>
      <xdr:colOff>219838</xdr:colOff>
      <xdr:row>2376</xdr:row>
      <xdr:rowOff>132060</xdr:rowOff>
    </xdr:to>
    <xdr:cxnSp macro="_xll.PtreeEvent_ObjectClick">
      <xdr:nvCxnSpPr>
        <xdr:cNvPr id="4710" name="PTObj_DBranchDLine_1_1176">
          <a:extLst>
            <a:ext uri="{FF2B5EF4-FFF2-40B4-BE49-F238E27FC236}">
              <a16:creationId xmlns:a16="http://schemas.microsoft.com/office/drawing/2014/main" id="{9491A297-43F2-468B-AB45-69571D747020}"/>
            </a:ext>
          </a:extLst>
        </xdr:cNvPr>
        <xdr:cNvCxnSpPr/>
      </xdr:nvCxnSpPr>
      <xdr:spPr>
        <a:xfrm>
          <a:off x="15736063" y="42975783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2372</xdr:row>
      <xdr:rowOff>124470</xdr:rowOff>
    </xdr:from>
    <xdr:to>
      <xdr:col>11</xdr:col>
      <xdr:colOff>1394588</xdr:colOff>
      <xdr:row>2372</xdr:row>
      <xdr:rowOff>124470</xdr:rowOff>
    </xdr:to>
    <xdr:cxnSp macro="_xll.PtreeEvent_ObjectClick">
      <xdr:nvCxnSpPr>
        <xdr:cNvPr id="4707" name="PTObj_DBranchHLine_1_1174">
          <a:extLst>
            <a:ext uri="{FF2B5EF4-FFF2-40B4-BE49-F238E27FC236}">
              <a16:creationId xmlns:a16="http://schemas.microsoft.com/office/drawing/2014/main" id="{B96D08E8-14E3-430D-A733-3975237A2726}"/>
            </a:ext>
          </a:extLst>
        </xdr:cNvPr>
        <xdr:cNvCxnSpPr/>
      </xdr:nvCxnSpPr>
      <xdr:spPr>
        <a:xfrm>
          <a:off x="20149945" y="429397170"/>
          <a:ext cx="119951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2370</xdr:row>
      <xdr:rowOff>107950</xdr:rowOff>
    </xdr:from>
    <xdr:to>
      <xdr:col>11</xdr:col>
      <xdr:colOff>195070</xdr:colOff>
      <xdr:row>2372</xdr:row>
      <xdr:rowOff>124470</xdr:rowOff>
    </xdr:to>
    <xdr:cxnSp macro="_xll.PtreeEvent_ObjectClick">
      <xdr:nvCxnSpPr>
        <xdr:cNvPr id="4706" name="PTObj_DBranchDLine_1_1174">
          <a:extLst>
            <a:ext uri="{FF2B5EF4-FFF2-40B4-BE49-F238E27FC236}">
              <a16:creationId xmlns:a16="http://schemas.microsoft.com/office/drawing/2014/main" id="{FA52DC90-C5DE-4731-8A39-BD679AFF51DE}"/>
            </a:ext>
          </a:extLst>
        </xdr:cNvPr>
        <xdr:cNvCxnSpPr/>
      </xdr:nvCxnSpPr>
      <xdr:spPr>
        <a:xfrm>
          <a:off x="19997545" y="4290187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2370</xdr:row>
      <xdr:rowOff>120650</xdr:rowOff>
    </xdr:from>
    <xdr:to>
      <xdr:col>10</xdr:col>
      <xdr:colOff>1388870</xdr:colOff>
      <xdr:row>2370</xdr:row>
      <xdr:rowOff>120650</xdr:rowOff>
    </xdr:to>
    <xdr:cxnSp macro="_xll.PtreeEvent_ObjectClick">
      <xdr:nvCxnSpPr>
        <xdr:cNvPr id="4703" name="PTObj_DBranchHLine_1_1173">
          <a:extLst>
            <a:ext uri="{FF2B5EF4-FFF2-40B4-BE49-F238E27FC236}">
              <a16:creationId xmlns:a16="http://schemas.microsoft.com/office/drawing/2014/main" id="{FB1A1658-E2EF-4DC3-A2AB-743B314DE9C7}"/>
            </a:ext>
          </a:extLst>
        </xdr:cNvPr>
        <xdr:cNvCxnSpPr/>
      </xdr:nvCxnSpPr>
      <xdr:spPr>
        <a:xfrm>
          <a:off x="18730720" y="429031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2368</xdr:row>
      <xdr:rowOff>105073</xdr:rowOff>
    </xdr:from>
    <xdr:to>
      <xdr:col>10</xdr:col>
      <xdr:colOff>204595</xdr:colOff>
      <xdr:row>2370</xdr:row>
      <xdr:rowOff>120650</xdr:rowOff>
    </xdr:to>
    <xdr:cxnSp macro="_xll.PtreeEvent_ObjectClick">
      <xdr:nvCxnSpPr>
        <xdr:cNvPr id="4702" name="PTObj_DBranchDLine_1_1173">
          <a:extLst>
            <a:ext uri="{FF2B5EF4-FFF2-40B4-BE49-F238E27FC236}">
              <a16:creationId xmlns:a16="http://schemas.microsoft.com/office/drawing/2014/main" id="{2B1AE9A1-9781-4379-8E3B-8805081DEAE2}"/>
            </a:ext>
          </a:extLst>
        </xdr:cNvPr>
        <xdr:cNvCxnSpPr/>
      </xdr:nvCxnSpPr>
      <xdr:spPr>
        <a:xfrm>
          <a:off x="18578320" y="428653873"/>
          <a:ext cx="152400" cy="377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2368</xdr:row>
      <xdr:rowOff>116830</xdr:rowOff>
    </xdr:from>
    <xdr:to>
      <xdr:col>9</xdr:col>
      <xdr:colOff>1392681</xdr:colOff>
      <xdr:row>2368</xdr:row>
      <xdr:rowOff>116830</xdr:rowOff>
    </xdr:to>
    <xdr:cxnSp macro="_xll.PtreeEvent_ObjectClick">
      <xdr:nvCxnSpPr>
        <xdr:cNvPr id="4699" name="PTObj_DBranchHLine_1_1172">
          <a:extLst>
            <a:ext uri="{FF2B5EF4-FFF2-40B4-BE49-F238E27FC236}">
              <a16:creationId xmlns:a16="http://schemas.microsoft.com/office/drawing/2014/main" id="{56A6ABE6-E162-44FD-8BD0-97705FAE8E98}"/>
            </a:ext>
          </a:extLst>
        </xdr:cNvPr>
        <xdr:cNvCxnSpPr/>
      </xdr:nvCxnSpPr>
      <xdr:spPr>
        <a:xfrm>
          <a:off x="17306734" y="428665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2366</xdr:row>
      <xdr:rowOff>104130</xdr:rowOff>
    </xdr:from>
    <xdr:to>
      <xdr:col>9</xdr:col>
      <xdr:colOff>209359</xdr:colOff>
      <xdr:row>2368</xdr:row>
      <xdr:rowOff>116830</xdr:rowOff>
    </xdr:to>
    <xdr:cxnSp macro="_xll.PtreeEvent_ObjectClick">
      <xdr:nvCxnSpPr>
        <xdr:cNvPr id="4698" name="PTObj_DBranchDLine_1_1172">
          <a:extLst>
            <a:ext uri="{FF2B5EF4-FFF2-40B4-BE49-F238E27FC236}">
              <a16:creationId xmlns:a16="http://schemas.microsoft.com/office/drawing/2014/main" id="{554D2CCF-C3E5-4233-B97E-22487F07E039}"/>
            </a:ext>
          </a:extLst>
        </xdr:cNvPr>
        <xdr:cNvCxnSpPr/>
      </xdr:nvCxnSpPr>
      <xdr:spPr>
        <a:xfrm>
          <a:off x="17154334" y="428290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2366</xdr:row>
      <xdr:rowOff>113010</xdr:rowOff>
    </xdr:from>
    <xdr:to>
      <xdr:col>8</xdr:col>
      <xdr:colOff>1398397</xdr:colOff>
      <xdr:row>2366</xdr:row>
      <xdr:rowOff>113010</xdr:rowOff>
    </xdr:to>
    <xdr:cxnSp macro="_xll.PtreeEvent_ObjectClick">
      <xdr:nvCxnSpPr>
        <xdr:cNvPr id="4695" name="PTObj_DBranchHLine_1_1171">
          <a:extLst>
            <a:ext uri="{FF2B5EF4-FFF2-40B4-BE49-F238E27FC236}">
              <a16:creationId xmlns:a16="http://schemas.microsoft.com/office/drawing/2014/main" id="{D7B72E39-1915-4429-B96C-0190ED9B7ACE}"/>
            </a:ext>
          </a:extLst>
        </xdr:cNvPr>
        <xdr:cNvCxnSpPr/>
      </xdr:nvCxnSpPr>
      <xdr:spPr>
        <a:xfrm>
          <a:off x="15884652" y="4282998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2366</xdr:row>
      <xdr:rowOff>113010</xdr:rowOff>
    </xdr:from>
    <xdr:to>
      <xdr:col>8</xdr:col>
      <xdr:colOff>216027</xdr:colOff>
      <xdr:row>2374</xdr:row>
      <xdr:rowOff>123180</xdr:rowOff>
    </xdr:to>
    <xdr:cxnSp macro="_xll.PtreeEvent_ObjectClick">
      <xdr:nvCxnSpPr>
        <xdr:cNvPr id="4694" name="PTObj_DBranchDLine_1_1171">
          <a:extLst>
            <a:ext uri="{FF2B5EF4-FFF2-40B4-BE49-F238E27FC236}">
              <a16:creationId xmlns:a16="http://schemas.microsoft.com/office/drawing/2014/main" id="{AFE6CD91-C7EB-4EE6-8E55-CF8F717A42B8}"/>
            </a:ext>
          </a:extLst>
        </xdr:cNvPr>
        <xdr:cNvCxnSpPr/>
      </xdr:nvCxnSpPr>
      <xdr:spPr>
        <a:xfrm flipV="1">
          <a:off x="15732252" y="428299860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2374</xdr:row>
      <xdr:rowOff>128290</xdr:rowOff>
    </xdr:from>
    <xdr:to>
      <xdr:col>7</xdr:col>
      <xdr:colOff>1402207</xdr:colOff>
      <xdr:row>2374</xdr:row>
      <xdr:rowOff>128290</xdr:rowOff>
    </xdr:to>
    <xdr:cxnSp macro="_xll.PtreeEvent_ObjectClick">
      <xdr:nvCxnSpPr>
        <xdr:cNvPr id="4691" name="PTObj_DBranchHLine_1_1175">
          <a:extLst>
            <a:ext uri="{FF2B5EF4-FFF2-40B4-BE49-F238E27FC236}">
              <a16:creationId xmlns:a16="http://schemas.microsoft.com/office/drawing/2014/main" id="{B599BA5F-AC7D-4CF0-BAB0-5759B44C0EEE}"/>
            </a:ext>
          </a:extLst>
        </xdr:cNvPr>
        <xdr:cNvCxnSpPr/>
      </xdr:nvCxnSpPr>
      <xdr:spPr>
        <a:xfrm>
          <a:off x="14460665" y="4297629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2364</xdr:row>
      <xdr:rowOff>106015</xdr:rowOff>
    </xdr:from>
    <xdr:to>
      <xdr:col>7</xdr:col>
      <xdr:colOff>220790</xdr:colOff>
      <xdr:row>2374</xdr:row>
      <xdr:rowOff>128290</xdr:rowOff>
    </xdr:to>
    <xdr:cxnSp macro="_xll.PtreeEvent_ObjectClick">
      <xdr:nvCxnSpPr>
        <xdr:cNvPr id="4690" name="PTObj_DBranchDLine_1_1175">
          <a:extLst>
            <a:ext uri="{FF2B5EF4-FFF2-40B4-BE49-F238E27FC236}">
              <a16:creationId xmlns:a16="http://schemas.microsoft.com/office/drawing/2014/main" id="{24A3C349-6970-4A5A-AE40-A7EC4840D109}"/>
            </a:ext>
          </a:extLst>
        </xdr:cNvPr>
        <xdr:cNvCxnSpPr/>
      </xdr:nvCxnSpPr>
      <xdr:spPr>
        <a:xfrm>
          <a:off x="14308265" y="427930915"/>
          <a:ext cx="152400" cy="18320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2362</xdr:row>
      <xdr:rowOff>105420</xdr:rowOff>
    </xdr:from>
    <xdr:to>
      <xdr:col>11</xdr:col>
      <xdr:colOff>1386967</xdr:colOff>
      <xdr:row>2362</xdr:row>
      <xdr:rowOff>105420</xdr:rowOff>
    </xdr:to>
    <xdr:cxnSp macro="_xll.PtreeEvent_ObjectClick">
      <xdr:nvCxnSpPr>
        <xdr:cNvPr id="4687" name="PTObj_DBranchHLine_1_1169">
          <a:extLst>
            <a:ext uri="{FF2B5EF4-FFF2-40B4-BE49-F238E27FC236}">
              <a16:creationId xmlns:a16="http://schemas.microsoft.com/office/drawing/2014/main" id="{406647C3-BC89-424E-A3C5-328DE29FF64D}"/>
            </a:ext>
          </a:extLst>
        </xdr:cNvPr>
        <xdr:cNvCxnSpPr/>
      </xdr:nvCxnSpPr>
      <xdr:spPr>
        <a:xfrm>
          <a:off x="20149945" y="427568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2360</xdr:row>
      <xdr:rowOff>99417</xdr:rowOff>
    </xdr:from>
    <xdr:to>
      <xdr:col>11</xdr:col>
      <xdr:colOff>195070</xdr:colOff>
      <xdr:row>2362</xdr:row>
      <xdr:rowOff>105420</xdr:rowOff>
    </xdr:to>
    <xdr:cxnSp macro="_xll.PtreeEvent_ObjectClick">
      <xdr:nvCxnSpPr>
        <xdr:cNvPr id="4686" name="PTObj_DBranchDLine_1_1169">
          <a:extLst>
            <a:ext uri="{FF2B5EF4-FFF2-40B4-BE49-F238E27FC236}">
              <a16:creationId xmlns:a16="http://schemas.microsoft.com/office/drawing/2014/main" id="{1EDFE4FB-3D70-47A0-9950-0FDA70544ED8}"/>
            </a:ext>
          </a:extLst>
        </xdr:cNvPr>
        <xdr:cNvCxnSpPr/>
      </xdr:nvCxnSpPr>
      <xdr:spPr>
        <a:xfrm>
          <a:off x="19997545" y="427200417"/>
          <a:ext cx="152400" cy="3679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2360</xdr:row>
      <xdr:rowOff>101600</xdr:rowOff>
    </xdr:from>
    <xdr:to>
      <xdr:col>10</xdr:col>
      <xdr:colOff>1388870</xdr:colOff>
      <xdr:row>2360</xdr:row>
      <xdr:rowOff>101600</xdr:rowOff>
    </xdr:to>
    <xdr:cxnSp macro="_xll.PtreeEvent_ObjectClick">
      <xdr:nvCxnSpPr>
        <xdr:cNvPr id="4683" name="PTObj_DBranchHLine_1_1168">
          <a:extLst>
            <a:ext uri="{FF2B5EF4-FFF2-40B4-BE49-F238E27FC236}">
              <a16:creationId xmlns:a16="http://schemas.microsoft.com/office/drawing/2014/main" id="{E12A8ED4-7354-48B5-8FA6-460946C25971}"/>
            </a:ext>
          </a:extLst>
        </xdr:cNvPr>
        <xdr:cNvCxnSpPr/>
      </xdr:nvCxnSpPr>
      <xdr:spPr>
        <a:xfrm>
          <a:off x="18730720" y="427202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2358</xdr:row>
      <xdr:rowOff>97433</xdr:rowOff>
    </xdr:from>
    <xdr:to>
      <xdr:col>10</xdr:col>
      <xdr:colOff>204595</xdr:colOff>
      <xdr:row>2360</xdr:row>
      <xdr:rowOff>101600</xdr:rowOff>
    </xdr:to>
    <xdr:cxnSp macro="_xll.PtreeEvent_ObjectClick">
      <xdr:nvCxnSpPr>
        <xdr:cNvPr id="4682" name="PTObj_DBranchDLine_1_1168">
          <a:extLst>
            <a:ext uri="{FF2B5EF4-FFF2-40B4-BE49-F238E27FC236}">
              <a16:creationId xmlns:a16="http://schemas.microsoft.com/office/drawing/2014/main" id="{B85096B7-5E82-4C6A-9C29-B30C299A0A28}"/>
            </a:ext>
          </a:extLst>
        </xdr:cNvPr>
        <xdr:cNvCxnSpPr/>
      </xdr:nvCxnSpPr>
      <xdr:spPr>
        <a:xfrm>
          <a:off x="18578320" y="426836483"/>
          <a:ext cx="152400" cy="36611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2358</xdr:row>
      <xdr:rowOff>97780</xdr:rowOff>
    </xdr:from>
    <xdr:to>
      <xdr:col>9</xdr:col>
      <xdr:colOff>1392681</xdr:colOff>
      <xdr:row>2358</xdr:row>
      <xdr:rowOff>97780</xdr:rowOff>
    </xdr:to>
    <xdr:cxnSp macro="_xll.PtreeEvent_ObjectClick">
      <xdr:nvCxnSpPr>
        <xdr:cNvPr id="4679" name="PTObj_DBranchHLine_1_1167">
          <a:extLst>
            <a:ext uri="{FF2B5EF4-FFF2-40B4-BE49-F238E27FC236}">
              <a16:creationId xmlns:a16="http://schemas.microsoft.com/office/drawing/2014/main" id="{37B69910-C767-45CF-B999-B196862934F7}"/>
            </a:ext>
          </a:extLst>
        </xdr:cNvPr>
        <xdr:cNvCxnSpPr/>
      </xdr:nvCxnSpPr>
      <xdr:spPr>
        <a:xfrm>
          <a:off x="17306734" y="426836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2356</xdr:row>
      <xdr:rowOff>91728</xdr:rowOff>
    </xdr:from>
    <xdr:to>
      <xdr:col>9</xdr:col>
      <xdr:colOff>209359</xdr:colOff>
      <xdr:row>2358</xdr:row>
      <xdr:rowOff>97780</xdr:rowOff>
    </xdr:to>
    <xdr:cxnSp macro="_xll.PtreeEvent_ObjectClick">
      <xdr:nvCxnSpPr>
        <xdr:cNvPr id="4678" name="PTObj_DBranchDLine_1_1167">
          <a:extLst>
            <a:ext uri="{FF2B5EF4-FFF2-40B4-BE49-F238E27FC236}">
              <a16:creationId xmlns:a16="http://schemas.microsoft.com/office/drawing/2014/main" id="{7E47F7CC-B3E8-4CF9-A284-99B1419A69CB}"/>
            </a:ext>
          </a:extLst>
        </xdr:cNvPr>
        <xdr:cNvCxnSpPr/>
      </xdr:nvCxnSpPr>
      <xdr:spPr>
        <a:xfrm>
          <a:off x="17154334" y="4264688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2356</xdr:row>
      <xdr:rowOff>93960</xdr:rowOff>
    </xdr:from>
    <xdr:to>
      <xdr:col>8</xdr:col>
      <xdr:colOff>1398397</xdr:colOff>
      <xdr:row>2356</xdr:row>
      <xdr:rowOff>93960</xdr:rowOff>
    </xdr:to>
    <xdr:cxnSp macro="_xll.PtreeEvent_ObjectClick">
      <xdr:nvCxnSpPr>
        <xdr:cNvPr id="4675" name="PTObj_DBranchHLine_1_1166">
          <a:extLst>
            <a:ext uri="{FF2B5EF4-FFF2-40B4-BE49-F238E27FC236}">
              <a16:creationId xmlns:a16="http://schemas.microsoft.com/office/drawing/2014/main" id="{FC09967D-B1ED-4648-8E0A-FC51A0072BEF}"/>
            </a:ext>
          </a:extLst>
        </xdr:cNvPr>
        <xdr:cNvCxnSpPr/>
      </xdr:nvCxnSpPr>
      <xdr:spPr>
        <a:xfrm>
          <a:off x="15888463" y="4264710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2354</xdr:row>
      <xdr:rowOff>84138</xdr:rowOff>
    </xdr:from>
    <xdr:to>
      <xdr:col>8</xdr:col>
      <xdr:colOff>219838</xdr:colOff>
      <xdr:row>2356</xdr:row>
      <xdr:rowOff>93960</xdr:rowOff>
    </xdr:to>
    <xdr:cxnSp macro="_xll.PtreeEvent_ObjectClick">
      <xdr:nvCxnSpPr>
        <xdr:cNvPr id="4674" name="PTObj_DBranchDLine_1_1166">
          <a:extLst>
            <a:ext uri="{FF2B5EF4-FFF2-40B4-BE49-F238E27FC236}">
              <a16:creationId xmlns:a16="http://schemas.microsoft.com/office/drawing/2014/main" id="{B27E5F94-952D-48EA-8E0D-FA57A4EA1FEC}"/>
            </a:ext>
          </a:extLst>
        </xdr:cNvPr>
        <xdr:cNvCxnSpPr/>
      </xdr:nvCxnSpPr>
      <xdr:spPr>
        <a:xfrm>
          <a:off x="15736063" y="426099288"/>
          <a:ext cx="152400" cy="37177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2352</xdr:row>
      <xdr:rowOff>86370</xdr:rowOff>
    </xdr:from>
    <xdr:to>
      <xdr:col>11</xdr:col>
      <xdr:colOff>1386967</xdr:colOff>
      <xdr:row>2352</xdr:row>
      <xdr:rowOff>86370</xdr:rowOff>
    </xdr:to>
    <xdr:cxnSp macro="_xll.PtreeEvent_ObjectClick">
      <xdr:nvCxnSpPr>
        <xdr:cNvPr id="4671" name="PTObj_DBranchHLine_1_1164">
          <a:extLst>
            <a:ext uri="{FF2B5EF4-FFF2-40B4-BE49-F238E27FC236}">
              <a16:creationId xmlns:a16="http://schemas.microsoft.com/office/drawing/2014/main" id="{79E2DDE3-14E1-4D37-AD97-5B9276F4B464}"/>
            </a:ext>
          </a:extLst>
        </xdr:cNvPr>
        <xdr:cNvCxnSpPr/>
      </xdr:nvCxnSpPr>
      <xdr:spPr>
        <a:xfrm>
          <a:off x="20149945" y="425739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2350</xdr:row>
      <xdr:rowOff>73670</xdr:rowOff>
    </xdr:from>
    <xdr:to>
      <xdr:col>11</xdr:col>
      <xdr:colOff>195070</xdr:colOff>
      <xdr:row>2352</xdr:row>
      <xdr:rowOff>86370</xdr:rowOff>
    </xdr:to>
    <xdr:cxnSp macro="_xll.PtreeEvent_ObjectClick">
      <xdr:nvCxnSpPr>
        <xdr:cNvPr id="4670" name="PTObj_DBranchDLine_1_1164">
          <a:extLst>
            <a:ext uri="{FF2B5EF4-FFF2-40B4-BE49-F238E27FC236}">
              <a16:creationId xmlns:a16="http://schemas.microsoft.com/office/drawing/2014/main" id="{F2A1FB84-266F-44E0-A5B8-8788F5FD610D}"/>
            </a:ext>
          </a:extLst>
        </xdr:cNvPr>
        <xdr:cNvCxnSpPr/>
      </xdr:nvCxnSpPr>
      <xdr:spPr>
        <a:xfrm>
          <a:off x="19997545" y="425364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2350</xdr:row>
      <xdr:rowOff>82550</xdr:rowOff>
    </xdr:from>
    <xdr:to>
      <xdr:col>10</xdr:col>
      <xdr:colOff>1388870</xdr:colOff>
      <xdr:row>2350</xdr:row>
      <xdr:rowOff>82550</xdr:rowOff>
    </xdr:to>
    <xdr:cxnSp macro="_xll.PtreeEvent_ObjectClick">
      <xdr:nvCxnSpPr>
        <xdr:cNvPr id="4667" name="PTObj_DBranchHLine_1_1163">
          <a:extLst>
            <a:ext uri="{FF2B5EF4-FFF2-40B4-BE49-F238E27FC236}">
              <a16:creationId xmlns:a16="http://schemas.microsoft.com/office/drawing/2014/main" id="{AD9F676C-CE69-4D1C-AE76-506600B878A7}"/>
            </a:ext>
          </a:extLst>
        </xdr:cNvPr>
        <xdr:cNvCxnSpPr/>
      </xdr:nvCxnSpPr>
      <xdr:spPr>
        <a:xfrm>
          <a:off x="18730720" y="425373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2348</xdr:row>
      <xdr:rowOff>77490</xdr:rowOff>
    </xdr:from>
    <xdr:to>
      <xdr:col>10</xdr:col>
      <xdr:colOff>204595</xdr:colOff>
      <xdr:row>2350</xdr:row>
      <xdr:rowOff>82550</xdr:rowOff>
    </xdr:to>
    <xdr:cxnSp macro="_xll.PtreeEvent_ObjectClick">
      <xdr:nvCxnSpPr>
        <xdr:cNvPr id="4666" name="PTObj_DBranchDLine_1_1163">
          <a:extLst>
            <a:ext uri="{FF2B5EF4-FFF2-40B4-BE49-F238E27FC236}">
              <a16:creationId xmlns:a16="http://schemas.microsoft.com/office/drawing/2014/main" id="{93E8141F-7E84-47DA-8B00-86BA802B8821}"/>
            </a:ext>
          </a:extLst>
        </xdr:cNvPr>
        <xdr:cNvCxnSpPr/>
      </xdr:nvCxnSpPr>
      <xdr:spPr>
        <a:xfrm>
          <a:off x="18578320" y="425006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2348</xdr:row>
      <xdr:rowOff>78730</xdr:rowOff>
    </xdr:from>
    <xdr:to>
      <xdr:col>9</xdr:col>
      <xdr:colOff>1392681</xdr:colOff>
      <xdr:row>2348</xdr:row>
      <xdr:rowOff>78730</xdr:rowOff>
    </xdr:to>
    <xdr:cxnSp macro="_xll.PtreeEvent_ObjectClick">
      <xdr:nvCxnSpPr>
        <xdr:cNvPr id="4663" name="PTObj_DBranchHLine_1_1162">
          <a:extLst>
            <a:ext uri="{FF2B5EF4-FFF2-40B4-BE49-F238E27FC236}">
              <a16:creationId xmlns:a16="http://schemas.microsoft.com/office/drawing/2014/main" id="{F956584D-1F8F-4144-BC5A-F755834F24D1}"/>
            </a:ext>
          </a:extLst>
        </xdr:cNvPr>
        <xdr:cNvCxnSpPr/>
      </xdr:nvCxnSpPr>
      <xdr:spPr>
        <a:xfrm>
          <a:off x="17306734" y="425008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2346</xdr:row>
      <xdr:rowOff>73620</xdr:rowOff>
    </xdr:from>
    <xdr:to>
      <xdr:col>9</xdr:col>
      <xdr:colOff>209359</xdr:colOff>
      <xdr:row>2348</xdr:row>
      <xdr:rowOff>78730</xdr:rowOff>
    </xdr:to>
    <xdr:cxnSp macro="_xll.PtreeEvent_ObjectClick">
      <xdr:nvCxnSpPr>
        <xdr:cNvPr id="4662" name="PTObj_DBranchDLine_1_1162">
          <a:extLst>
            <a:ext uri="{FF2B5EF4-FFF2-40B4-BE49-F238E27FC236}">
              <a16:creationId xmlns:a16="http://schemas.microsoft.com/office/drawing/2014/main" id="{0C4DED00-EF33-4470-BAA7-185A54F99B4A}"/>
            </a:ext>
          </a:extLst>
        </xdr:cNvPr>
        <xdr:cNvCxnSpPr/>
      </xdr:nvCxnSpPr>
      <xdr:spPr>
        <a:xfrm>
          <a:off x="17154334" y="4246409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2346</xdr:row>
      <xdr:rowOff>74910</xdr:rowOff>
    </xdr:from>
    <xdr:to>
      <xdr:col>8</xdr:col>
      <xdr:colOff>1398397</xdr:colOff>
      <xdr:row>2346</xdr:row>
      <xdr:rowOff>74910</xdr:rowOff>
    </xdr:to>
    <xdr:cxnSp macro="_xll.PtreeEvent_ObjectClick">
      <xdr:nvCxnSpPr>
        <xdr:cNvPr id="4659" name="PTObj_DBranchHLine_1_1161">
          <a:extLst>
            <a:ext uri="{FF2B5EF4-FFF2-40B4-BE49-F238E27FC236}">
              <a16:creationId xmlns:a16="http://schemas.microsoft.com/office/drawing/2014/main" id="{14A327EB-C686-4C70-9747-9A7605E35E97}"/>
            </a:ext>
          </a:extLst>
        </xdr:cNvPr>
        <xdr:cNvCxnSpPr/>
      </xdr:nvCxnSpPr>
      <xdr:spPr>
        <a:xfrm>
          <a:off x="15884652" y="4246422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2346</xdr:row>
      <xdr:rowOff>74910</xdr:rowOff>
    </xdr:from>
    <xdr:to>
      <xdr:col>8</xdr:col>
      <xdr:colOff>216027</xdr:colOff>
      <xdr:row>2354</xdr:row>
      <xdr:rowOff>84138</xdr:rowOff>
    </xdr:to>
    <xdr:cxnSp macro="_xll.PtreeEvent_ObjectClick">
      <xdr:nvCxnSpPr>
        <xdr:cNvPr id="4658" name="PTObj_DBranchDLine_1_1161">
          <a:extLst>
            <a:ext uri="{FF2B5EF4-FFF2-40B4-BE49-F238E27FC236}">
              <a16:creationId xmlns:a16="http://schemas.microsoft.com/office/drawing/2014/main" id="{80F31361-C63F-4BA1-A65E-F8EE56E13F16}"/>
            </a:ext>
          </a:extLst>
        </xdr:cNvPr>
        <xdr:cNvCxnSpPr/>
      </xdr:nvCxnSpPr>
      <xdr:spPr>
        <a:xfrm flipV="1">
          <a:off x="15732252" y="424642260"/>
          <a:ext cx="152400" cy="14570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2354</xdr:row>
      <xdr:rowOff>90190</xdr:rowOff>
    </xdr:from>
    <xdr:to>
      <xdr:col>7</xdr:col>
      <xdr:colOff>1402207</xdr:colOff>
      <xdr:row>2354</xdr:row>
      <xdr:rowOff>90190</xdr:rowOff>
    </xdr:to>
    <xdr:cxnSp macro="_xll.PtreeEvent_ObjectClick">
      <xdr:nvCxnSpPr>
        <xdr:cNvPr id="4655" name="PTObj_DBranchHLine_1_1165">
          <a:extLst>
            <a:ext uri="{FF2B5EF4-FFF2-40B4-BE49-F238E27FC236}">
              <a16:creationId xmlns:a16="http://schemas.microsoft.com/office/drawing/2014/main" id="{50C5A8F0-AE28-49A2-A139-69B2688AE8D6}"/>
            </a:ext>
          </a:extLst>
        </xdr:cNvPr>
        <xdr:cNvCxnSpPr/>
      </xdr:nvCxnSpPr>
      <xdr:spPr>
        <a:xfrm>
          <a:off x="14462570" y="4261053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2354</xdr:row>
      <xdr:rowOff>90190</xdr:rowOff>
    </xdr:from>
    <xdr:to>
      <xdr:col>7</xdr:col>
      <xdr:colOff>222695</xdr:colOff>
      <xdr:row>2364</xdr:row>
      <xdr:rowOff>104130</xdr:rowOff>
    </xdr:to>
    <xdr:cxnSp macro="_xll.PtreeEvent_ObjectClick">
      <xdr:nvCxnSpPr>
        <xdr:cNvPr id="4654" name="PTObj_DBranchDLine_1_1165">
          <a:extLst>
            <a:ext uri="{FF2B5EF4-FFF2-40B4-BE49-F238E27FC236}">
              <a16:creationId xmlns:a16="http://schemas.microsoft.com/office/drawing/2014/main" id="{7A74D136-431B-4AF2-AB3A-E487A6B3A5B7}"/>
            </a:ext>
          </a:extLst>
        </xdr:cNvPr>
        <xdr:cNvCxnSpPr/>
      </xdr:nvCxnSpPr>
      <xdr:spPr>
        <a:xfrm flipV="1">
          <a:off x="14310170" y="426105340"/>
          <a:ext cx="152400" cy="18236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2364</xdr:row>
      <xdr:rowOff>109240</xdr:rowOff>
    </xdr:from>
    <xdr:to>
      <xdr:col>6</xdr:col>
      <xdr:colOff>1407922</xdr:colOff>
      <xdr:row>2364</xdr:row>
      <xdr:rowOff>109240</xdr:rowOff>
    </xdr:to>
    <xdr:cxnSp macro="_xll.PtreeEvent_ObjectClick">
      <xdr:nvCxnSpPr>
        <xdr:cNvPr id="4651" name="PTObj_DBranchHLine_1_1170">
          <a:extLst>
            <a:ext uri="{FF2B5EF4-FFF2-40B4-BE49-F238E27FC236}">
              <a16:creationId xmlns:a16="http://schemas.microsoft.com/office/drawing/2014/main" id="{7231E1CB-56CA-4AFD-905A-21E315C3F5E1}"/>
            </a:ext>
          </a:extLst>
        </xdr:cNvPr>
        <xdr:cNvCxnSpPr/>
      </xdr:nvCxnSpPr>
      <xdr:spPr>
        <a:xfrm>
          <a:off x="13034772" y="4279341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2364</xdr:row>
      <xdr:rowOff>109240</xdr:rowOff>
    </xdr:from>
    <xdr:to>
      <xdr:col>6</xdr:col>
      <xdr:colOff>223647</xdr:colOff>
      <xdr:row>2384</xdr:row>
      <xdr:rowOff>142230</xdr:rowOff>
    </xdr:to>
    <xdr:cxnSp macro="_xll.PtreeEvent_ObjectClick">
      <xdr:nvCxnSpPr>
        <xdr:cNvPr id="4650" name="PTObj_DBranchDLine_1_1170">
          <a:extLst>
            <a:ext uri="{FF2B5EF4-FFF2-40B4-BE49-F238E27FC236}">
              <a16:creationId xmlns:a16="http://schemas.microsoft.com/office/drawing/2014/main" id="{EB96E7C0-C598-44C1-B087-17CF26FC7826}"/>
            </a:ext>
          </a:extLst>
        </xdr:cNvPr>
        <xdr:cNvCxnSpPr/>
      </xdr:nvCxnSpPr>
      <xdr:spPr>
        <a:xfrm flipV="1">
          <a:off x="12882372" y="427934140"/>
          <a:ext cx="152400" cy="36524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2384</xdr:row>
      <xdr:rowOff>147340</xdr:rowOff>
    </xdr:from>
    <xdr:to>
      <xdr:col>5</xdr:col>
      <xdr:colOff>1411732</xdr:colOff>
      <xdr:row>2384</xdr:row>
      <xdr:rowOff>147340</xdr:rowOff>
    </xdr:to>
    <xdr:cxnSp macro="_xll.PtreeEvent_ObjectClick">
      <xdr:nvCxnSpPr>
        <xdr:cNvPr id="4647" name="PTObj_DBranchHLine_1_1180">
          <a:extLst>
            <a:ext uri="{FF2B5EF4-FFF2-40B4-BE49-F238E27FC236}">
              <a16:creationId xmlns:a16="http://schemas.microsoft.com/office/drawing/2014/main" id="{7F9BE70D-A5C3-45DD-9B2F-C7E00C8105B2}"/>
            </a:ext>
          </a:extLst>
        </xdr:cNvPr>
        <xdr:cNvCxnSpPr/>
      </xdr:nvCxnSpPr>
      <xdr:spPr>
        <a:xfrm>
          <a:off x="11608880" y="431591740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2344</xdr:row>
      <xdr:rowOff>69850</xdr:rowOff>
    </xdr:from>
    <xdr:to>
      <xdr:col>5</xdr:col>
      <xdr:colOff>226505</xdr:colOff>
      <xdr:row>2384</xdr:row>
      <xdr:rowOff>147340</xdr:rowOff>
    </xdr:to>
    <xdr:cxnSp macro="_xll.PtreeEvent_ObjectClick">
      <xdr:nvCxnSpPr>
        <xdr:cNvPr id="4646" name="PTObj_DBranchDLine_1_1180">
          <a:extLst>
            <a:ext uri="{FF2B5EF4-FFF2-40B4-BE49-F238E27FC236}">
              <a16:creationId xmlns:a16="http://schemas.microsoft.com/office/drawing/2014/main" id="{95DEDBB8-7235-4AAC-ABC7-DBFEE2A9AA60}"/>
            </a:ext>
          </a:extLst>
        </xdr:cNvPr>
        <xdr:cNvCxnSpPr/>
      </xdr:nvCxnSpPr>
      <xdr:spPr>
        <a:xfrm>
          <a:off x="11456480" y="424275250"/>
          <a:ext cx="152400" cy="73164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2342</xdr:row>
      <xdr:rowOff>67320</xdr:rowOff>
    </xdr:from>
    <xdr:to>
      <xdr:col>11</xdr:col>
      <xdr:colOff>1386015</xdr:colOff>
      <xdr:row>2342</xdr:row>
      <xdr:rowOff>67320</xdr:rowOff>
    </xdr:to>
    <xdr:cxnSp macro="_xll.PtreeEvent_ObjectClick">
      <xdr:nvCxnSpPr>
        <xdr:cNvPr id="4643" name="PTObj_DBranchHLine_1_1159">
          <a:extLst>
            <a:ext uri="{FF2B5EF4-FFF2-40B4-BE49-F238E27FC236}">
              <a16:creationId xmlns:a16="http://schemas.microsoft.com/office/drawing/2014/main" id="{9A85CD72-C4CA-4E6F-A8F6-4E824F39B0AA}"/>
            </a:ext>
          </a:extLst>
        </xdr:cNvPr>
        <xdr:cNvCxnSpPr/>
      </xdr:nvCxnSpPr>
      <xdr:spPr>
        <a:xfrm>
          <a:off x="20149945" y="423910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2340</xdr:row>
      <xdr:rowOff>58440</xdr:rowOff>
    </xdr:from>
    <xdr:to>
      <xdr:col>11</xdr:col>
      <xdr:colOff>195070</xdr:colOff>
      <xdr:row>2342</xdr:row>
      <xdr:rowOff>67320</xdr:rowOff>
    </xdr:to>
    <xdr:cxnSp macro="_xll.PtreeEvent_ObjectClick">
      <xdr:nvCxnSpPr>
        <xdr:cNvPr id="4642" name="PTObj_DBranchDLine_1_1159">
          <a:extLst>
            <a:ext uri="{FF2B5EF4-FFF2-40B4-BE49-F238E27FC236}">
              <a16:creationId xmlns:a16="http://schemas.microsoft.com/office/drawing/2014/main" id="{7AE5AD2A-B3FA-4D00-9F1D-11BB7EE966E1}"/>
            </a:ext>
          </a:extLst>
        </xdr:cNvPr>
        <xdr:cNvCxnSpPr/>
      </xdr:nvCxnSpPr>
      <xdr:spPr>
        <a:xfrm>
          <a:off x="19997545" y="423539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2340</xdr:row>
      <xdr:rowOff>63500</xdr:rowOff>
    </xdr:from>
    <xdr:to>
      <xdr:col>10</xdr:col>
      <xdr:colOff>1388870</xdr:colOff>
      <xdr:row>2340</xdr:row>
      <xdr:rowOff>63500</xdr:rowOff>
    </xdr:to>
    <xdr:cxnSp macro="_xll.PtreeEvent_ObjectClick">
      <xdr:nvCxnSpPr>
        <xdr:cNvPr id="4639" name="PTObj_DBranchHLine_1_1158">
          <a:extLst>
            <a:ext uri="{FF2B5EF4-FFF2-40B4-BE49-F238E27FC236}">
              <a16:creationId xmlns:a16="http://schemas.microsoft.com/office/drawing/2014/main" id="{7457775B-099D-4782-8CB6-E6D274177ACD}"/>
            </a:ext>
          </a:extLst>
        </xdr:cNvPr>
        <xdr:cNvCxnSpPr/>
      </xdr:nvCxnSpPr>
      <xdr:spPr>
        <a:xfrm>
          <a:off x="18730720" y="423545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2338</xdr:row>
      <xdr:rowOff>54620</xdr:rowOff>
    </xdr:from>
    <xdr:to>
      <xdr:col>10</xdr:col>
      <xdr:colOff>204595</xdr:colOff>
      <xdr:row>2340</xdr:row>
      <xdr:rowOff>63500</xdr:rowOff>
    </xdr:to>
    <xdr:cxnSp macro="_xll.PtreeEvent_ObjectClick">
      <xdr:nvCxnSpPr>
        <xdr:cNvPr id="4638" name="PTObj_DBranchDLine_1_1158">
          <a:extLst>
            <a:ext uri="{FF2B5EF4-FFF2-40B4-BE49-F238E27FC236}">
              <a16:creationId xmlns:a16="http://schemas.microsoft.com/office/drawing/2014/main" id="{E33E2F64-E3FF-4D79-ABEC-7BA362553706}"/>
            </a:ext>
          </a:extLst>
        </xdr:cNvPr>
        <xdr:cNvCxnSpPr/>
      </xdr:nvCxnSpPr>
      <xdr:spPr>
        <a:xfrm>
          <a:off x="18578320" y="423174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2338</xdr:row>
      <xdr:rowOff>59680</xdr:rowOff>
    </xdr:from>
    <xdr:to>
      <xdr:col>9</xdr:col>
      <xdr:colOff>1392681</xdr:colOff>
      <xdr:row>2338</xdr:row>
      <xdr:rowOff>59680</xdr:rowOff>
    </xdr:to>
    <xdr:cxnSp macro="_xll.PtreeEvent_ObjectClick">
      <xdr:nvCxnSpPr>
        <xdr:cNvPr id="4635" name="PTObj_DBranchHLine_1_1157">
          <a:extLst>
            <a:ext uri="{FF2B5EF4-FFF2-40B4-BE49-F238E27FC236}">
              <a16:creationId xmlns:a16="http://schemas.microsoft.com/office/drawing/2014/main" id="{D5987ED9-1F5C-452D-BAF4-6AEAB53FF47B}"/>
            </a:ext>
          </a:extLst>
        </xdr:cNvPr>
        <xdr:cNvCxnSpPr/>
      </xdr:nvCxnSpPr>
      <xdr:spPr>
        <a:xfrm>
          <a:off x="17306734" y="423179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2336</xdr:row>
      <xdr:rowOff>46980</xdr:rowOff>
    </xdr:from>
    <xdr:to>
      <xdr:col>9</xdr:col>
      <xdr:colOff>209359</xdr:colOff>
      <xdr:row>2338</xdr:row>
      <xdr:rowOff>59680</xdr:rowOff>
    </xdr:to>
    <xdr:cxnSp macro="_xll.PtreeEvent_ObjectClick">
      <xdr:nvCxnSpPr>
        <xdr:cNvPr id="4634" name="PTObj_DBranchDLine_1_1157">
          <a:extLst>
            <a:ext uri="{FF2B5EF4-FFF2-40B4-BE49-F238E27FC236}">
              <a16:creationId xmlns:a16="http://schemas.microsoft.com/office/drawing/2014/main" id="{A34C1CB4-87C6-4B69-BD37-0428FC83D35D}"/>
            </a:ext>
          </a:extLst>
        </xdr:cNvPr>
        <xdr:cNvCxnSpPr/>
      </xdr:nvCxnSpPr>
      <xdr:spPr>
        <a:xfrm>
          <a:off x="17154334" y="422804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2336</xdr:row>
      <xdr:rowOff>55860</xdr:rowOff>
    </xdr:from>
    <xdr:to>
      <xdr:col>8</xdr:col>
      <xdr:colOff>1398397</xdr:colOff>
      <xdr:row>2336</xdr:row>
      <xdr:rowOff>55860</xdr:rowOff>
    </xdr:to>
    <xdr:cxnSp macro="_xll.PtreeEvent_ObjectClick">
      <xdr:nvCxnSpPr>
        <xdr:cNvPr id="4631" name="PTObj_DBranchHLine_1_1156">
          <a:extLst>
            <a:ext uri="{FF2B5EF4-FFF2-40B4-BE49-F238E27FC236}">
              <a16:creationId xmlns:a16="http://schemas.microsoft.com/office/drawing/2014/main" id="{8D9554FD-FFD5-4350-B8A5-16EE90A166D4}"/>
            </a:ext>
          </a:extLst>
        </xdr:cNvPr>
        <xdr:cNvCxnSpPr/>
      </xdr:nvCxnSpPr>
      <xdr:spPr>
        <a:xfrm>
          <a:off x="15888463" y="4228134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2334</xdr:row>
      <xdr:rowOff>42218</xdr:rowOff>
    </xdr:from>
    <xdr:to>
      <xdr:col>8</xdr:col>
      <xdr:colOff>219838</xdr:colOff>
      <xdr:row>2336</xdr:row>
      <xdr:rowOff>55860</xdr:rowOff>
    </xdr:to>
    <xdr:cxnSp macro="_xll.PtreeEvent_ObjectClick">
      <xdr:nvCxnSpPr>
        <xdr:cNvPr id="4630" name="PTObj_DBranchDLine_1_1156">
          <a:extLst>
            <a:ext uri="{FF2B5EF4-FFF2-40B4-BE49-F238E27FC236}">
              <a16:creationId xmlns:a16="http://schemas.microsoft.com/office/drawing/2014/main" id="{89BAF4B1-F5BC-472B-8AEC-BE2CCA118C11}"/>
            </a:ext>
          </a:extLst>
        </xdr:cNvPr>
        <xdr:cNvCxnSpPr/>
      </xdr:nvCxnSpPr>
      <xdr:spPr>
        <a:xfrm>
          <a:off x="15736063" y="422437868"/>
          <a:ext cx="152400" cy="3755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2332</xdr:row>
      <xdr:rowOff>48270</xdr:rowOff>
    </xdr:from>
    <xdr:to>
      <xdr:col>11</xdr:col>
      <xdr:colOff>1386967</xdr:colOff>
      <xdr:row>2332</xdr:row>
      <xdr:rowOff>48270</xdr:rowOff>
    </xdr:to>
    <xdr:cxnSp macro="_xll.PtreeEvent_ObjectClick">
      <xdr:nvCxnSpPr>
        <xdr:cNvPr id="4627" name="PTObj_DBranchHLine_1_1154">
          <a:extLst>
            <a:ext uri="{FF2B5EF4-FFF2-40B4-BE49-F238E27FC236}">
              <a16:creationId xmlns:a16="http://schemas.microsoft.com/office/drawing/2014/main" id="{71C11736-9A5B-4EC4-856E-EEDC59034678}"/>
            </a:ext>
          </a:extLst>
        </xdr:cNvPr>
        <xdr:cNvCxnSpPr/>
      </xdr:nvCxnSpPr>
      <xdr:spPr>
        <a:xfrm>
          <a:off x="20149945" y="422081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2330</xdr:row>
      <xdr:rowOff>35570</xdr:rowOff>
    </xdr:from>
    <xdr:to>
      <xdr:col>11</xdr:col>
      <xdr:colOff>195070</xdr:colOff>
      <xdr:row>2332</xdr:row>
      <xdr:rowOff>48270</xdr:rowOff>
    </xdr:to>
    <xdr:cxnSp macro="_xll.PtreeEvent_ObjectClick">
      <xdr:nvCxnSpPr>
        <xdr:cNvPr id="4626" name="PTObj_DBranchDLine_1_1154">
          <a:extLst>
            <a:ext uri="{FF2B5EF4-FFF2-40B4-BE49-F238E27FC236}">
              <a16:creationId xmlns:a16="http://schemas.microsoft.com/office/drawing/2014/main" id="{037590B4-0CC2-4E6F-BB5C-7B049A3D9665}"/>
            </a:ext>
          </a:extLst>
        </xdr:cNvPr>
        <xdr:cNvCxnSpPr/>
      </xdr:nvCxnSpPr>
      <xdr:spPr>
        <a:xfrm>
          <a:off x="19997545" y="421707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2330</xdr:row>
      <xdr:rowOff>44450</xdr:rowOff>
    </xdr:from>
    <xdr:to>
      <xdr:col>10</xdr:col>
      <xdr:colOff>1388870</xdr:colOff>
      <xdr:row>2330</xdr:row>
      <xdr:rowOff>44450</xdr:rowOff>
    </xdr:to>
    <xdr:cxnSp macro="_xll.PtreeEvent_ObjectClick">
      <xdr:nvCxnSpPr>
        <xdr:cNvPr id="4623" name="PTObj_DBranchHLine_1_1153">
          <a:extLst>
            <a:ext uri="{FF2B5EF4-FFF2-40B4-BE49-F238E27FC236}">
              <a16:creationId xmlns:a16="http://schemas.microsoft.com/office/drawing/2014/main" id="{E255F0B3-E5E0-491C-95D3-4D8A6F5AD6F9}"/>
            </a:ext>
          </a:extLst>
        </xdr:cNvPr>
        <xdr:cNvCxnSpPr/>
      </xdr:nvCxnSpPr>
      <xdr:spPr>
        <a:xfrm>
          <a:off x="18730720" y="421716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2328</xdr:row>
      <xdr:rowOff>39390</xdr:rowOff>
    </xdr:from>
    <xdr:to>
      <xdr:col>10</xdr:col>
      <xdr:colOff>204595</xdr:colOff>
      <xdr:row>2330</xdr:row>
      <xdr:rowOff>44450</xdr:rowOff>
    </xdr:to>
    <xdr:cxnSp macro="_xll.PtreeEvent_ObjectClick">
      <xdr:nvCxnSpPr>
        <xdr:cNvPr id="4622" name="PTObj_DBranchDLine_1_1153">
          <a:extLst>
            <a:ext uri="{FF2B5EF4-FFF2-40B4-BE49-F238E27FC236}">
              <a16:creationId xmlns:a16="http://schemas.microsoft.com/office/drawing/2014/main" id="{74B7965C-9F6F-4261-8FD0-60FA2354E5F2}"/>
            </a:ext>
          </a:extLst>
        </xdr:cNvPr>
        <xdr:cNvCxnSpPr/>
      </xdr:nvCxnSpPr>
      <xdr:spPr>
        <a:xfrm>
          <a:off x="18578320" y="421349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2328</xdr:row>
      <xdr:rowOff>40630</xdr:rowOff>
    </xdr:from>
    <xdr:to>
      <xdr:col>9</xdr:col>
      <xdr:colOff>1392681</xdr:colOff>
      <xdr:row>2328</xdr:row>
      <xdr:rowOff>40630</xdr:rowOff>
    </xdr:to>
    <xdr:cxnSp macro="_xll.PtreeEvent_ObjectClick">
      <xdr:nvCxnSpPr>
        <xdr:cNvPr id="4619" name="PTObj_DBranchHLine_1_1152">
          <a:extLst>
            <a:ext uri="{FF2B5EF4-FFF2-40B4-BE49-F238E27FC236}">
              <a16:creationId xmlns:a16="http://schemas.microsoft.com/office/drawing/2014/main" id="{7BC0AAA8-21D4-45B6-A4CE-88699FC7338E}"/>
            </a:ext>
          </a:extLst>
        </xdr:cNvPr>
        <xdr:cNvCxnSpPr/>
      </xdr:nvCxnSpPr>
      <xdr:spPr>
        <a:xfrm>
          <a:off x="17306734" y="421350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2326</xdr:row>
      <xdr:rowOff>35520</xdr:rowOff>
    </xdr:from>
    <xdr:to>
      <xdr:col>9</xdr:col>
      <xdr:colOff>209359</xdr:colOff>
      <xdr:row>2328</xdr:row>
      <xdr:rowOff>40630</xdr:rowOff>
    </xdr:to>
    <xdr:cxnSp macro="_xll.PtreeEvent_ObjectClick">
      <xdr:nvCxnSpPr>
        <xdr:cNvPr id="4618" name="PTObj_DBranchDLine_1_1152">
          <a:extLst>
            <a:ext uri="{FF2B5EF4-FFF2-40B4-BE49-F238E27FC236}">
              <a16:creationId xmlns:a16="http://schemas.microsoft.com/office/drawing/2014/main" id="{E6098BA5-E43F-46C9-8360-72814A038504}"/>
            </a:ext>
          </a:extLst>
        </xdr:cNvPr>
        <xdr:cNvCxnSpPr/>
      </xdr:nvCxnSpPr>
      <xdr:spPr>
        <a:xfrm>
          <a:off x="17154334" y="4209833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2326</xdr:row>
      <xdr:rowOff>36810</xdr:rowOff>
    </xdr:from>
    <xdr:to>
      <xdr:col>8</xdr:col>
      <xdr:colOff>1398397</xdr:colOff>
      <xdr:row>2326</xdr:row>
      <xdr:rowOff>36810</xdr:rowOff>
    </xdr:to>
    <xdr:cxnSp macro="_xll.PtreeEvent_ObjectClick">
      <xdr:nvCxnSpPr>
        <xdr:cNvPr id="4615" name="PTObj_DBranchHLine_1_1151">
          <a:extLst>
            <a:ext uri="{FF2B5EF4-FFF2-40B4-BE49-F238E27FC236}">
              <a16:creationId xmlns:a16="http://schemas.microsoft.com/office/drawing/2014/main" id="{924D6025-70D0-4C00-8FA7-8B240A2D351E}"/>
            </a:ext>
          </a:extLst>
        </xdr:cNvPr>
        <xdr:cNvCxnSpPr/>
      </xdr:nvCxnSpPr>
      <xdr:spPr>
        <a:xfrm>
          <a:off x="15884652" y="4209846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2326</xdr:row>
      <xdr:rowOff>36810</xdr:rowOff>
    </xdr:from>
    <xdr:to>
      <xdr:col>8</xdr:col>
      <xdr:colOff>216027</xdr:colOff>
      <xdr:row>2334</xdr:row>
      <xdr:rowOff>42218</xdr:rowOff>
    </xdr:to>
    <xdr:cxnSp macro="_xll.PtreeEvent_ObjectClick">
      <xdr:nvCxnSpPr>
        <xdr:cNvPr id="4614" name="PTObj_DBranchDLine_1_1151">
          <a:extLst>
            <a:ext uri="{FF2B5EF4-FFF2-40B4-BE49-F238E27FC236}">
              <a16:creationId xmlns:a16="http://schemas.microsoft.com/office/drawing/2014/main" id="{42BAEC71-B1E7-4DCF-837E-6C4E90497AD5}"/>
            </a:ext>
          </a:extLst>
        </xdr:cNvPr>
        <xdr:cNvCxnSpPr/>
      </xdr:nvCxnSpPr>
      <xdr:spPr>
        <a:xfrm flipV="1">
          <a:off x="15732252" y="420984660"/>
          <a:ext cx="152400" cy="145320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2334</xdr:row>
      <xdr:rowOff>52090</xdr:rowOff>
    </xdr:from>
    <xdr:to>
      <xdr:col>7</xdr:col>
      <xdr:colOff>1402207</xdr:colOff>
      <xdr:row>2334</xdr:row>
      <xdr:rowOff>52090</xdr:rowOff>
    </xdr:to>
    <xdr:cxnSp macro="_xll.PtreeEvent_ObjectClick">
      <xdr:nvCxnSpPr>
        <xdr:cNvPr id="4611" name="PTObj_DBranchHLine_1_1155">
          <a:extLst>
            <a:ext uri="{FF2B5EF4-FFF2-40B4-BE49-F238E27FC236}">
              <a16:creationId xmlns:a16="http://schemas.microsoft.com/office/drawing/2014/main" id="{35C76130-B5B5-4D92-9705-FDED2AA25451}"/>
            </a:ext>
          </a:extLst>
        </xdr:cNvPr>
        <xdr:cNvCxnSpPr/>
      </xdr:nvCxnSpPr>
      <xdr:spPr>
        <a:xfrm>
          <a:off x="14460665" y="42244774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2324</xdr:row>
      <xdr:rowOff>31750</xdr:rowOff>
    </xdr:from>
    <xdr:to>
      <xdr:col>7</xdr:col>
      <xdr:colOff>220790</xdr:colOff>
      <xdr:row>2334</xdr:row>
      <xdr:rowOff>52090</xdr:rowOff>
    </xdr:to>
    <xdr:cxnSp macro="_xll.PtreeEvent_ObjectClick">
      <xdr:nvCxnSpPr>
        <xdr:cNvPr id="4610" name="PTObj_DBranchDLine_1_1155">
          <a:extLst>
            <a:ext uri="{FF2B5EF4-FFF2-40B4-BE49-F238E27FC236}">
              <a16:creationId xmlns:a16="http://schemas.microsoft.com/office/drawing/2014/main" id="{929767DA-FAED-4DFB-BA0F-6BC0DA43867A}"/>
            </a:ext>
          </a:extLst>
        </xdr:cNvPr>
        <xdr:cNvCxnSpPr/>
      </xdr:nvCxnSpPr>
      <xdr:spPr>
        <a:xfrm>
          <a:off x="14308265" y="420617650"/>
          <a:ext cx="152400" cy="18300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2322</xdr:row>
      <xdr:rowOff>29220</xdr:rowOff>
    </xdr:from>
    <xdr:to>
      <xdr:col>11</xdr:col>
      <xdr:colOff>1386015</xdr:colOff>
      <xdr:row>2322</xdr:row>
      <xdr:rowOff>29220</xdr:rowOff>
    </xdr:to>
    <xdr:cxnSp macro="_xll.PtreeEvent_ObjectClick">
      <xdr:nvCxnSpPr>
        <xdr:cNvPr id="4607" name="PTObj_DBranchHLine_1_1149">
          <a:extLst>
            <a:ext uri="{FF2B5EF4-FFF2-40B4-BE49-F238E27FC236}">
              <a16:creationId xmlns:a16="http://schemas.microsoft.com/office/drawing/2014/main" id="{9A76656C-EB03-40FB-9B99-5E47A7C5E10D}"/>
            </a:ext>
          </a:extLst>
        </xdr:cNvPr>
        <xdr:cNvCxnSpPr/>
      </xdr:nvCxnSpPr>
      <xdr:spPr>
        <a:xfrm>
          <a:off x="20149945" y="420253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2320</xdr:row>
      <xdr:rowOff>20340</xdr:rowOff>
    </xdr:from>
    <xdr:to>
      <xdr:col>11</xdr:col>
      <xdr:colOff>195070</xdr:colOff>
      <xdr:row>2322</xdr:row>
      <xdr:rowOff>29220</xdr:rowOff>
    </xdr:to>
    <xdr:cxnSp macro="_xll.PtreeEvent_ObjectClick">
      <xdr:nvCxnSpPr>
        <xdr:cNvPr id="4606" name="PTObj_DBranchDLine_1_1149">
          <a:extLst>
            <a:ext uri="{FF2B5EF4-FFF2-40B4-BE49-F238E27FC236}">
              <a16:creationId xmlns:a16="http://schemas.microsoft.com/office/drawing/2014/main" id="{FA6A7416-8DB1-40B5-B7FB-716278A135A1}"/>
            </a:ext>
          </a:extLst>
        </xdr:cNvPr>
        <xdr:cNvCxnSpPr/>
      </xdr:nvCxnSpPr>
      <xdr:spPr>
        <a:xfrm>
          <a:off x="19997545" y="419882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2320</xdr:row>
      <xdr:rowOff>25400</xdr:rowOff>
    </xdr:from>
    <xdr:to>
      <xdr:col>10</xdr:col>
      <xdr:colOff>1388870</xdr:colOff>
      <xdr:row>2320</xdr:row>
      <xdr:rowOff>25400</xdr:rowOff>
    </xdr:to>
    <xdr:cxnSp macro="_xll.PtreeEvent_ObjectClick">
      <xdr:nvCxnSpPr>
        <xdr:cNvPr id="4603" name="PTObj_DBranchHLine_1_1148">
          <a:extLst>
            <a:ext uri="{FF2B5EF4-FFF2-40B4-BE49-F238E27FC236}">
              <a16:creationId xmlns:a16="http://schemas.microsoft.com/office/drawing/2014/main" id="{315E0B74-4E68-4D20-AFD0-D3064F37CB38}"/>
            </a:ext>
          </a:extLst>
        </xdr:cNvPr>
        <xdr:cNvCxnSpPr/>
      </xdr:nvCxnSpPr>
      <xdr:spPr>
        <a:xfrm>
          <a:off x="18730720" y="419887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2318</xdr:row>
      <xdr:rowOff>16520</xdr:rowOff>
    </xdr:from>
    <xdr:to>
      <xdr:col>10</xdr:col>
      <xdr:colOff>204595</xdr:colOff>
      <xdr:row>2320</xdr:row>
      <xdr:rowOff>25400</xdr:rowOff>
    </xdr:to>
    <xdr:cxnSp macro="_xll.PtreeEvent_ObjectClick">
      <xdr:nvCxnSpPr>
        <xdr:cNvPr id="4602" name="PTObj_DBranchDLine_1_1148">
          <a:extLst>
            <a:ext uri="{FF2B5EF4-FFF2-40B4-BE49-F238E27FC236}">
              <a16:creationId xmlns:a16="http://schemas.microsoft.com/office/drawing/2014/main" id="{20EEE45F-B7AD-4FF1-9826-870C7BB61378}"/>
            </a:ext>
          </a:extLst>
        </xdr:cNvPr>
        <xdr:cNvCxnSpPr/>
      </xdr:nvCxnSpPr>
      <xdr:spPr>
        <a:xfrm>
          <a:off x="18578320" y="419516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2318</xdr:row>
      <xdr:rowOff>21580</xdr:rowOff>
    </xdr:from>
    <xdr:to>
      <xdr:col>9</xdr:col>
      <xdr:colOff>1392681</xdr:colOff>
      <xdr:row>2318</xdr:row>
      <xdr:rowOff>21580</xdr:rowOff>
    </xdr:to>
    <xdr:cxnSp macro="_xll.PtreeEvent_ObjectClick">
      <xdr:nvCxnSpPr>
        <xdr:cNvPr id="4599" name="PTObj_DBranchHLine_1_1147">
          <a:extLst>
            <a:ext uri="{FF2B5EF4-FFF2-40B4-BE49-F238E27FC236}">
              <a16:creationId xmlns:a16="http://schemas.microsoft.com/office/drawing/2014/main" id="{21EE5C96-B4C5-42ED-983C-F7785BC6C882}"/>
            </a:ext>
          </a:extLst>
        </xdr:cNvPr>
        <xdr:cNvCxnSpPr/>
      </xdr:nvCxnSpPr>
      <xdr:spPr>
        <a:xfrm>
          <a:off x="17306734" y="419521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2316</xdr:row>
      <xdr:rowOff>8880</xdr:rowOff>
    </xdr:from>
    <xdr:to>
      <xdr:col>9</xdr:col>
      <xdr:colOff>209359</xdr:colOff>
      <xdr:row>2318</xdr:row>
      <xdr:rowOff>21580</xdr:rowOff>
    </xdr:to>
    <xdr:cxnSp macro="_xll.PtreeEvent_ObjectClick">
      <xdr:nvCxnSpPr>
        <xdr:cNvPr id="4598" name="PTObj_DBranchDLine_1_1147">
          <a:extLst>
            <a:ext uri="{FF2B5EF4-FFF2-40B4-BE49-F238E27FC236}">
              <a16:creationId xmlns:a16="http://schemas.microsoft.com/office/drawing/2014/main" id="{6917F6BB-66CC-4E00-8970-CDF22894D4C2}"/>
            </a:ext>
          </a:extLst>
        </xdr:cNvPr>
        <xdr:cNvCxnSpPr/>
      </xdr:nvCxnSpPr>
      <xdr:spPr>
        <a:xfrm>
          <a:off x="17154334" y="419146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2316</xdr:row>
      <xdr:rowOff>17760</xdr:rowOff>
    </xdr:from>
    <xdr:to>
      <xdr:col>8</xdr:col>
      <xdr:colOff>1398397</xdr:colOff>
      <xdr:row>2316</xdr:row>
      <xdr:rowOff>17760</xdr:rowOff>
    </xdr:to>
    <xdr:cxnSp macro="_xll.PtreeEvent_ObjectClick">
      <xdr:nvCxnSpPr>
        <xdr:cNvPr id="4595" name="PTObj_DBranchHLine_1_1146">
          <a:extLst>
            <a:ext uri="{FF2B5EF4-FFF2-40B4-BE49-F238E27FC236}">
              <a16:creationId xmlns:a16="http://schemas.microsoft.com/office/drawing/2014/main" id="{7C84479E-5D2E-4061-BFDC-4297AB1B26B2}"/>
            </a:ext>
          </a:extLst>
        </xdr:cNvPr>
        <xdr:cNvCxnSpPr/>
      </xdr:nvCxnSpPr>
      <xdr:spPr>
        <a:xfrm>
          <a:off x="15888463" y="419155860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2314</xdr:row>
      <xdr:rowOff>4118</xdr:rowOff>
    </xdr:from>
    <xdr:to>
      <xdr:col>8</xdr:col>
      <xdr:colOff>219838</xdr:colOff>
      <xdr:row>2316</xdr:row>
      <xdr:rowOff>17760</xdr:rowOff>
    </xdr:to>
    <xdr:cxnSp macro="_xll.PtreeEvent_ObjectClick">
      <xdr:nvCxnSpPr>
        <xdr:cNvPr id="4594" name="PTObj_DBranchDLine_1_1146">
          <a:extLst>
            <a:ext uri="{FF2B5EF4-FFF2-40B4-BE49-F238E27FC236}">
              <a16:creationId xmlns:a16="http://schemas.microsoft.com/office/drawing/2014/main" id="{726F2C38-5344-4F29-9CAA-FE679DE735F4}"/>
            </a:ext>
          </a:extLst>
        </xdr:cNvPr>
        <xdr:cNvCxnSpPr/>
      </xdr:nvCxnSpPr>
      <xdr:spPr>
        <a:xfrm>
          <a:off x="15736063" y="418780268"/>
          <a:ext cx="152400" cy="3755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2312</xdr:row>
      <xdr:rowOff>10170</xdr:rowOff>
    </xdr:from>
    <xdr:to>
      <xdr:col>11</xdr:col>
      <xdr:colOff>1386967</xdr:colOff>
      <xdr:row>2312</xdr:row>
      <xdr:rowOff>10170</xdr:rowOff>
    </xdr:to>
    <xdr:cxnSp macro="_xll.PtreeEvent_ObjectClick">
      <xdr:nvCxnSpPr>
        <xdr:cNvPr id="4591" name="PTObj_DBranchHLine_1_1144">
          <a:extLst>
            <a:ext uri="{FF2B5EF4-FFF2-40B4-BE49-F238E27FC236}">
              <a16:creationId xmlns:a16="http://schemas.microsoft.com/office/drawing/2014/main" id="{43DA7D87-867A-43BD-BE3A-871F787051E1}"/>
            </a:ext>
          </a:extLst>
        </xdr:cNvPr>
        <xdr:cNvCxnSpPr/>
      </xdr:nvCxnSpPr>
      <xdr:spPr>
        <a:xfrm>
          <a:off x="20149945" y="418424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2309</xdr:row>
      <xdr:rowOff>178445</xdr:rowOff>
    </xdr:from>
    <xdr:to>
      <xdr:col>11</xdr:col>
      <xdr:colOff>195070</xdr:colOff>
      <xdr:row>2312</xdr:row>
      <xdr:rowOff>10170</xdr:rowOff>
    </xdr:to>
    <xdr:cxnSp macro="_xll.PtreeEvent_ObjectClick">
      <xdr:nvCxnSpPr>
        <xdr:cNvPr id="4590" name="PTObj_DBranchDLine_1_1144">
          <a:extLst>
            <a:ext uri="{FF2B5EF4-FFF2-40B4-BE49-F238E27FC236}">
              <a16:creationId xmlns:a16="http://schemas.microsoft.com/office/drawing/2014/main" id="{5FC338DC-893D-40E0-BAD0-B4BF879BA179}"/>
            </a:ext>
          </a:extLst>
        </xdr:cNvPr>
        <xdr:cNvCxnSpPr/>
      </xdr:nvCxnSpPr>
      <xdr:spPr>
        <a:xfrm>
          <a:off x="19997545" y="418049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2310</xdr:row>
      <xdr:rowOff>6350</xdr:rowOff>
    </xdr:from>
    <xdr:to>
      <xdr:col>10</xdr:col>
      <xdr:colOff>1388870</xdr:colOff>
      <xdr:row>2310</xdr:row>
      <xdr:rowOff>6350</xdr:rowOff>
    </xdr:to>
    <xdr:cxnSp macro="_xll.PtreeEvent_ObjectClick">
      <xdr:nvCxnSpPr>
        <xdr:cNvPr id="4587" name="PTObj_DBranchHLine_1_1143">
          <a:extLst>
            <a:ext uri="{FF2B5EF4-FFF2-40B4-BE49-F238E27FC236}">
              <a16:creationId xmlns:a16="http://schemas.microsoft.com/office/drawing/2014/main" id="{5DE1E706-278B-4855-865D-D650C4B9FEC8}"/>
            </a:ext>
          </a:extLst>
        </xdr:cNvPr>
        <xdr:cNvCxnSpPr/>
      </xdr:nvCxnSpPr>
      <xdr:spPr>
        <a:xfrm>
          <a:off x="18730720" y="418058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2308</xdr:row>
      <xdr:rowOff>1290</xdr:rowOff>
    </xdr:from>
    <xdr:to>
      <xdr:col>10</xdr:col>
      <xdr:colOff>204595</xdr:colOff>
      <xdr:row>2310</xdr:row>
      <xdr:rowOff>6350</xdr:rowOff>
    </xdr:to>
    <xdr:cxnSp macro="_xll.PtreeEvent_ObjectClick">
      <xdr:nvCxnSpPr>
        <xdr:cNvPr id="4586" name="PTObj_DBranchDLine_1_1143">
          <a:extLst>
            <a:ext uri="{FF2B5EF4-FFF2-40B4-BE49-F238E27FC236}">
              <a16:creationId xmlns:a16="http://schemas.microsoft.com/office/drawing/2014/main" id="{282DCBEB-35A6-4341-AA06-874BC599F4C1}"/>
            </a:ext>
          </a:extLst>
        </xdr:cNvPr>
        <xdr:cNvCxnSpPr/>
      </xdr:nvCxnSpPr>
      <xdr:spPr>
        <a:xfrm>
          <a:off x="18578320" y="417691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2308</xdr:row>
      <xdr:rowOff>2530</xdr:rowOff>
    </xdr:from>
    <xdr:to>
      <xdr:col>9</xdr:col>
      <xdr:colOff>1392681</xdr:colOff>
      <xdr:row>2308</xdr:row>
      <xdr:rowOff>2530</xdr:rowOff>
    </xdr:to>
    <xdr:cxnSp macro="_xll.PtreeEvent_ObjectClick">
      <xdr:nvCxnSpPr>
        <xdr:cNvPr id="4583" name="PTObj_DBranchHLine_1_1142">
          <a:extLst>
            <a:ext uri="{FF2B5EF4-FFF2-40B4-BE49-F238E27FC236}">
              <a16:creationId xmlns:a16="http://schemas.microsoft.com/office/drawing/2014/main" id="{82BC1B87-DB93-4A93-B947-E086571C2F53}"/>
            </a:ext>
          </a:extLst>
        </xdr:cNvPr>
        <xdr:cNvCxnSpPr/>
      </xdr:nvCxnSpPr>
      <xdr:spPr>
        <a:xfrm>
          <a:off x="17306734" y="417692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2305</xdr:row>
      <xdr:rowOff>178395</xdr:rowOff>
    </xdr:from>
    <xdr:to>
      <xdr:col>9</xdr:col>
      <xdr:colOff>209359</xdr:colOff>
      <xdr:row>2308</xdr:row>
      <xdr:rowOff>2530</xdr:rowOff>
    </xdr:to>
    <xdr:cxnSp macro="_xll.PtreeEvent_ObjectClick">
      <xdr:nvCxnSpPr>
        <xdr:cNvPr id="4582" name="PTObj_DBranchDLine_1_1142">
          <a:extLst>
            <a:ext uri="{FF2B5EF4-FFF2-40B4-BE49-F238E27FC236}">
              <a16:creationId xmlns:a16="http://schemas.microsoft.com/office/drawing/2014/main" id="{F17BC4C6-B6FE-4021-B432-0C8313E07B22}"/>
            </a:ext>
          </a:extLst>
        </xdr:cNvPr>
        <xdr:cNvCxnSpPr/>
      </xdr:nvCxnSpPr>
      <xdr:spPr>
        <a:xfrm>
          <a:off x="17154334" y="417325770"/>
          <a:ext cx="152400" cy="3670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2305</xdr:row>
      <xdr:rowOff>179685</xdr:rowOff>
    </xdr:from>
    <xdr:to>
      <xdr:col>8</xdr:col>
      <xdr:colOff>1398397</xdr:colOff>
      <xdr:row>2305</xdr:row>
      <xdr:rowOff>179685</xdr:rowOff>
    </xdr:to>
    <xdr:cxnSp macro="_xll.PtreeEvent_ObjectClick">
      <xdr:nvCxnSpPr>
        <xdr:cNvPr id="4579" name="PTObj_DBranchHLine_1_1141">
          <a:extLst>
            <a:ext uri="{FF2B5EF4-FFF2-40B4-BE49-F238E27FC236}">
              <a16:creationId xmlns:a16="http://schemas.microsoft.com/office/drawing/2014/main" id="{AA798634-37AE-4CDF-9DE0-6F2588A70A93}"/>
            </a:ext>
          </a:extLst>
        </xdr:cNvPr>
        <xdr:cNvCxnSpPr/>
      </xdr:nvCxnSpPr>
      <xdr:spPr>
        <a:xfrm>
          <a:off x="15884652" y="41732706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2305</xdr:row>
      <xdr:rowOff>179685</xdr:rowOff>
    </xdr:from>
    <xdr:to>
      <xdr:col>8</xdr:col>
      <xdr:colOff>216027</xdr:colOff>
      <xdr:row>2314</xdr:row>
      <xdr:rowOff>4118</xdr:rowOff>
    </xdr:to>
    <xdr:cxnSp macro="_xll.PtreeEvent_ObjectClick">
      <xdr:nvCxnSpPr>
        <xdr:cNvPr id="4578" name="PTObj_DBranchDLine_1_1141">
          <a:extLst>
            <a:ext uri="{FF2B5EF4-FFF2-40B4-BE49-F238E27FC236}">
              <a16:creationId xmlns:a16="http://schemas.microsoft.com/office/drawing/2014/main" id="{672AF103-B246-4B0D-A28C-92E3FB4D49FD}"/>
            </a:ext>
          </a:extLst>
        </xdr:cNvPr>
        <xdr:cNvCxnSpPr/>
      </xdr:nvCxnSpPr>
      <xdr:spPr>
        <a:xfrm flipV="1">
          <a:off x="15732252" y="417327060"/>
          <a:ext cx="152400" cy="145320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2314</xdr:row>
      <xdr:rowOff>13990</xdr:rowOff>
    </xdr:from>
    <xdr:to>
      <xdr:col>7</xdr:col>
      <xdr:colOff>1402207</xdr:colOff>
      <xdr:row>2314</xdr:row>
      <xdr:rowOff>13990</xdr:rowOff>
    </xdr:to>
    <xdr:cxnSp macro="_xll.PtreeEvent_ObjectClick">
      <xdr:nvCxnSpPr>
        <xdr:cNvPr id="4575" name="PTObj_DBranchHLine_1_1145">
          <a:extLst>
            <a:ext uri="{FF2B5EF4-FFF2-40B4-BE49-F238E27FC236}">
              <a16:creationId xmlns:a16="http://schemas.microsoft.com/office/drawing/2014/main" id="{BFDAB2EC-ECD1-4110-B60A-79D83B0E1B68}"/>
            </a:ext>
          </a:extLst>
        </xdr:cNvPr>
        <xdr:cNvCxnSpPr/>
      </xdr:nvCxnSpPr>
      <xdr:spPr>
        <a:xfrm>
          <a:off x="14462570" y="418790140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2314</xdr:row>
      <xdr:rowOff>13990</xdr:rowOff>
    </xdr:from>
    <xdr:to>
      <xdr:col>7</xdr:col>
      <xdr:colOff>222695</xdr:colOff>
      <xdr:row>2324</xdr:row>
      <xdr:rowOff>33635</xdr:rowOff>
    </xdr:to>
    <xdr:cxnSp macro="_xll.PtreeEvent_ObjectClick">
      <xdr:nvCxnSpPr>
        <xdr:cNvPr id="4574" name="PTObj_DBranchDLine_1_1145">
          <a:extLst>
            <a:ext uri="{FF2B5EF4-FFF2-40B4-BE49-F238E27FC236}">
              <a16:creationId xmlns:a16="http://schemas.microsoft.com/office/drawing/2014/main" id="{55463195-795A-407D-883A-A46E0FF2A6E7}"/>
            </a:ext>
          </a:extLst>
        </xdr:cNvPr>
        <xdr:cNvCxnSpPr/>
      </xdr:nvCxnSpPr>
      <xdr:spPr>
        <a:xfrm flipV="1">
          <a:off x="14310170" y="418790140"/>
          <a:ext cx="152400" cy="182939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2324</xdr:row>
      <xdr:rowOff>33040</xdr:rowOff>
    </xdr:from>
    <xdr:to>
      <xdr:col>6</xdr:col>
      <xdr:colOff>1407922</xdr:colOff>
      <xdr:row>2324</xdr:row>
      <xdr:rowOff>33040</xdr:rowOff>
    </xdr:to>
    <xdr:cxnSp macro="_xll.PtreeEvent_ObjectClick">
      <xdr:nvCxnSpPr>
        <xdr:cNvPr id="4571" name="PTObj_DBranchHLine_1_1150">
          <a:extLst>
            <a:ext uri="{FF2B5EF4-FFF2-40B4-BE49-F238E27FC236}">
              <a16:creationId xmlns:a16="http://schemas.microsoft.com/office/drawing/2014/main" id="{7CEEB73F-9A5B-4317-A8BA-A33DE8B4C298}"/>
            </a:ext>
          </a:extLst>
        </xdr:cNvPr>
        <xdr:cNvCxnSpPr/>
      </xdr:nvCxnSpPr>
      <xdr:spPr>
        <a:xfrm>
          <a:off x="13036677" y="42061894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2303</xdr:row>
      <xdr:rowOff>174625</xdr:rowOff>
    </xdr:from>
    <xdr:to>
      <xdr:col>6</xdr:col>
      <xdr:colOff>225552</xdr:colOff>
      <xdr:row>2324</xdr:row>
      <xdr:rowOff>33040</xdr:rowOff>
    </xdr:to>
    <xdr:cxnSp macro="_xll.PtreeEvent_ObjectClick">
      <xdr:nvCxnSpPr>
        <xdr:cNvPr id="4570" name="PTObj_DBranchDLine_1_1150">
          <a:extLst>
            <a:ext uri="{FF2B5EF4-FFF2-40B4-BE49-F238E27FC236}">
              <a16:creationId xmlns:a16="http://schemas.microsoft.com/office/drawing/2014/main" id="{407B01F5-F4B1-4FE6-919B-1C3287D9B5DC}"/>
            </a:ext>
          </a:extLst>
        </xdr:cNvPr>
        <xdr:cNvCxnSpPr/>
      </xdr:nvCxnSpPr>
      <xdr:spPr>
        <a:xfrm>
          <a:off x="12884276" y="416960050"/>
          <a:ext cx="152401" cy="36588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2301</xdr:row>
      <xdr:rowOff>172095</xdr:rowOff>
    </xdr:from>
    <xdr:to>
      <xdr:col>11</xdr:col>
      <xdr:colOff>1386015</xdr:colOff>
      <xdr:row>2301</xdr:row>
      <xdr:rowOff>172095</xdr:rowOff>
    </xdr:to>
    <xdr:cxnSp macro="_xll.PtreeEvent_ObjectClick">
      <xdr:nvCxnSpPr>
        <xdr:cNvPr id="4567" name="PTObj_DBranchHLine_1_1139">
          <a:extLst>
            <a:ext uri="{FF2B5EF4-FFF2-40B4-BE49-F238E27FC236}">
              <a16:creationId xmlns:a16="http://schemas.microsoft.com/office/drawing/2014/main" id="{BB756538-889C-421F-828F-D1AE90EF1B55}"/>
            </a:ext>
          </a:extLst>
        </xdr:cNvPr>
        <xdr:cNvCxnSpPr/>
      </xdr:nvCxnSpPr>
      <xdr:spPr>
        <a:xfrm>
          <a:off x="20149945" y="416595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2299</xdr:row>
      <xdr:rowOff>163215</xdr:rowOff>
    </xdr:from>
    <xdr:to>
      <xdr:col>11</xdr:col>
      <xdr:colOff>195070</xdr:colOff>
      <xdr:row>2301</xdr:row>
      <xdr:rowOff>172095</xdr:rowOff>
    </xdr:to>
    <xdr:cxnSp macro="_xll.PtreeEvent_ObjectClick">
      <xdr:nvCxnSpPr>
        <xdr:cNvPr id="4566" name="PTObj_DBranchDLine_1_1139">
          <a:extLst>
            <a:ext uri="{FF2B5EF4-FFF2-40B4-BE49-F238E27FC236}">
              <a16:creationId xmlns:a16="http://schemas.microsoft.com/office/drawing/2014/main" id="{E6AC0712-611D-4B50-B27E-3FBF387CCAB8}"/>
            </a:ext>
          </a:extLst>
        </xdr:cNvPr>
        <xdr:cNvCxnSpPr/>
      </xdr:nvCxnSpPr>
      <xdr:spPr>
        <a:xfrm>
          <a:off x="19997545" y="416224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2299</xdr:row>
      <xdr:rowOff>168275</xdr:rowOff>
    </xdr:from>
    <xdr:to>
      <xdr:col>10</xdr:col>
      <xdr:colOff>1388870</xdr:colOff>
      <xdr:row>2299</xdr:row>
      <xdr:rowOff>168275</xdr:rowOff>
    </xdr:to>
    <xdr:cxnSp macro="_xll.PtreeEvent_ObjectClick">
      <xdr:nvCxnSpPr>
        <xdr:cNvPr id="4563" name="PTObj_DBranchHLine_1_1138">
          <a:extLst>
            <a:ext uri="{FF2B5EF4-FFF2-40B4-BE49-F238E27FC236}">
              <a16:creationId xmlns:a16="http://schemas.microsoft.com/office/drawing/2014/main" id="{E3462420-C666-4151-A1FA-EEAFA4A924ED}"/>
            </a:ext>
          </a:extLst>
        </xdr:cNvPr>
        <xdr:cNvCxnSpPr/>
      </xdr:nvCxnSpPr>
      <xdr:spPr>
        <a:xfrm>
          <a:off x="18730720" y="416229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2297</xdr:row>
      <xdr:rowOff>159395</xdr:rowOff>
    </xdr:from>
    <xdr:to>
      <xdr:col>10</xdr:col>
      <xdr:colOff>204595</xdr:colOff>
      <xdr:row>2299</xdr:row>
      <xdr:rowOff>168275</xdr:rowOff>
    </xdr:to>
    <xdr:cxnSp macro="_xll.PtreeEvent_ObjectClick">
      <xdr:nvCxnSpPr>
        <xdr:cNvPr id="4562" name="PTObj_DBranchDLine_1_1138">
          <a:extLst>
            <a:ext uri="{FF2B5EF4-FFF2-40B4-BE49-F238E27FC236}">
              <a16:creationId xmlns:a16="http://schemas.microsoft.com/office/drawing/2014/main" id="{628EA5BF-528B-4951-AE46-25772E53480A}"/>
            </a:ext>
          </a:extLst>
        </xdr:cNvPr>
        <xdr:cNvCxnSpPr/>
      </xdr:nvCxnSpPr>
      <xdr:spPr>
        <a:xfrm>
          <a:off x="18578320" y="415858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2297</xdr:row>
      <xdr:rowOff>164455</xdr:rowOff>
    </xdr:from>
    <xdr:to>
      <xdr:col>9</xdr:col>
      <xdr:colOff>1392681</xdr:colOff>
      <xdr:row>2297</xdr:row>
      <xdr:rowOff>164455</xdr:rowOff>
    </xdr:to>
    <xdr:cxnSp macro="_xll.PtreeEvent_ObjectClick">
      <xdr:nvCxnSpPr>
        <xdr:cNvPr id="4559" name="PTObj_DBranchHLine_1_1137">
          <a:extLst>
            <a:ext uri="{FF2B5EF4-FFF2-40B4-BE49-F238E27FC236}">
              <a16:creationId xmlns:a16="http://schemas.microsoft.com/office/drawing/2014/main" id="{4FD5AAC0-470A-4574-B858-8382A63B5E7D}"/>
            </a:ext>
          </a:extLst>
        </xdr:cNvPr>
        <xdr:cNvCxnSpPr/>
      </xdr:nvCxnSpPr>
      <xdr:spPr>
        <a:xfrm>
          <a:off x="17306734" y="415864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2295</xdr:row>
      <xdr:rowOff>151755</xdr:rowOff>
    </xdr:from>
    <xdr:to>
      <xdr:col>9</xdr:col>
      <xdr:colOff>209359</xdr:colOff>
      <xdr:row>2297</xdr:row>
      <xdr:rowOff>164455</xdr:rowOff>
    </xdr:to>
    <xdr:cxnSp macro="_xll.PtreeEvent_ObjectClick">
      <xdr:nvCxnSpPr>
        <xdr:cNvPr id="4558" name="PTObj_DBranchDLine_1_1137">
          <a:extLst>
            <a:ext uri="{FF2B5EF4-FFF2-40B4-BE49-F238E27FC236}">
              <a16:creationId xmlns:a16="http://schemas.microsoft.com/office/drawing/2014/main" id="{7E06495C-288A-44DB-BCA6-BDD896B04968}"/>
            </a:ext>
          </a:extLst>
        </xdr:cNvPr>
        <xdr:cNvCxnSpPr/>
      </xdr:nvCxnSpPr>
      <xdr:spPr>
        <a:xfrm>
          <a:off x="17154334" y="415489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2295</xdr:row>
      <xdr:rowOff>160660</xdr:rowOff>
    </xdr:from>
    <xdr:to>
      <xdr:col>8</xdr:col>
      <xdr:colOff>1398397</xdr:colOff>
      <xdr:row>2295</xdr:row>
      <xdr:rowOff>160660</xdr:rowOff>
    </xdr:to>
    <xdr:cxnSp macro="_xll.PtreeEvent_ObjectClick">
      <xdr:nvCxnSpPr>
        <xdr:cNvPr id="4555" name="PTObj_DBranchHLine_1_1136">
          <a:extLst>
            <a:ext uri="{FF2B5EF4-FFF2-40B4-BE49-F238E27FC236}">
              <a16:creationId xmlns:a16="http://schemas.microsoft.com/office/drawing/2014/main" id="{5E771635-6B63-4762-8B2E-D3F9A04131A8}"/>
            </a:ext>
          </a:extLst>
        </xdr:cNvPr>
        <xdr:cNvCxnSpPr/>
      </xdr:nvCxnSpPr>
      <xdr:spPr>
        <a:xfrm>
          <a:off x="15888463" y="415498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2293</xdr:row>
      <xdr:rowOff>147017</xdr:rowOff>
    </xdr:from>
    <xdr:to>
      <xdr:col>8</xdr:col>
      <xdr:colOff>219838</xdr:colOff>
      <xdr:row>2295</xdr:row>
      <xdr:rowOff>160660</xdr:rowOff>
    </xdr:to>
    <xdr:cxnSp macro="_xll.PtreeEvent_ObjectClick">
      <xdr:nvCxnSpPr>
        <xdr:cNvPr id="4554" name="PTObj_DBranchDLine_1_1136">
          <a:extLst>
            <a:ext uri="{FF2B5EF4-FFF2-40B4-BE49-F238E27FC236}">
              <a16:creationId xmlns:a16="http://schemas.microsoft.com/office/drawing/2014/main" id="{7F6581B0-0C13-4B79-B8AB-0F78AE2CCAE4}"/>
            </a:ext>
          </a:extLst>
        </xdr:cNvPr>
        <xdr:cNvCxnSpPr/>
      </xdr:nvCxnSpPr>
      <xdr:spPr>
        <a:xfrm>
          <a:off x="15736063" y="4151226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2291</xdr:row>
      <xdr:rowOff>153045</xdr:rowOff>
    </xdr:from>
    <xdr:to>
      <xdr:col>11</xdr:col>
      <xdr:colOff>1386967</xdr:colOff>
      <xdr:row>2291</xdr:row>
      <xdr:rowOff>153045</xdr:rowOff>
    </xdr:to>
    <xdr:cxnSp macro="_xll.PtreeEvent_ObjectClick">
      <xdr:nvCxnSpPr>
        <xdr:cNvPr id="4551" name="PTObj_DBranchHLine_1_1134">
          <a:extLst>
            <a:ext uri="{FF2B5EF4-FFF2-40B4-BE49-F238E27FC236}">
              <a16:creationId xmlns:a16="http://schemas.microsoft.com/office/drawing/2014/main" id="{BD706AD4-44AE-4758-B67F-84D0E9763A6B}"/>
            </a:ext>
          </a:extLst>
        </xdr:cNvPr>
        <xdr:cNvCxnSpPr/>
      </xdr:nvCxnSpPr>
      <xdr:spPr>
        <a:xfrm>
          <a:off x="20149945" y="414766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2289</xdr:row>
      <xdr:rowOff>140345</xdr:rowOff>
    </xdr:from>
    <xdr:to>
      <xdr:col>11</xdr:col>
      <xdr:colOff>195070</xdr:colOff>
      <xdr:row>2291</xdr:row>
      <xdr:rowOff>153045</xdr:rowOff>
    </xdr:to>
    <xdr:cxnSp macro="_xll.PtreeEvent_ObjectClick">
      <xdr:nvCxnSpPr>
        <xdr:cNvPr id="4550" name="PTObj_DBranchDLine_1_1134">
          <a:extLst>
            <a:ext uri="{FF2B5EF4-FFF2-40B4-BE49-F238E27FC236}">
              <a16:creationId xmlns:a16="http://schemas.microsoft.com/office/drawing/2014/main" id="{B11626F8-D8E1-4F66-86F9-93A521494719}"/>
            </a:ext>
          </a:extLst>
        </xdr:cNvPr>
        <xdr:cNvCxnSpPr/>
      </xdr:nvCxnSpPr>
      <xdr:spPr>
        <a:xfrm>
          <a:off x="19997545" y="414392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2289</xdr:row>
      <xdr:rowOff>149225</xdr:rowOff>
    </xdr:from>
    <xdr:to>
      <xdr:col>10</xdr:col>
      <xdr:colOff>1388870</xdr:colOff>
      <xdr:row>2289</xdr:row>
      <xdr:rowOff>149225</xdr:rowOff>
    </xdr:to>
    <xdr:cxnSp macro="_xll.PtreeEvent_ObjectClick">
      <xdr:nvCxnSpPr>
        <xdr:cNvPr id="4547" name="PTObj_DBranchHLine_1_1133">
          <a:extLst>
            <a:ext uri="{FF2B5EF4-FFF2-40B4-BE49-F238E27FC236}">
              <a16:creationId xmlns:a16="http://schemas.microsoft.com/office/drawing/2014/main" id="{BB88C780-DEFA-45FD-B092-9C85988B8F47}"/>
            </a:ext>
          </a:extLst>
        </xdr:cNvPr>
        <xdr:cNvCxnSpPr/>
      </xdr:nvCxnSpPr>
      <xdr:spPr>
        <a:xfrm>
          <a:off x="18730720" y="414401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2287</xdr:row>
      <xdr:rowOff>144165</xdr:rowOff>
    </xdr:from>
    <xdr:to>
      <xdr:col>10</xdr:col>
      <xdr:colOff>204595</xdr:colOff>
      <xdr:row>2289</xdr:row>
      <xdr:rowOff>149225</xdr:rowOff>
    </xdr:to>
    <xdr:cxnSp macro="_xll.PtreeEvent_ObjectClick">
      <xdr:nvCxnSpPr>
        <xdr:cNvPr id="4546" name="PTObj_DBranchDLine_1_1133">
          <a:extLst>
            <a:ext uri="{FF2B5EF4-FFF2-40B4-BE49-F238E27FC236}">
              <a16:creationId xmlns:a16="http://schemas.microsoft.com/office/drawing/2014/main" id="{1A729266-9F58-4003-813D-CFE68069BC89}"/>
            </a:ext>
          </a:extLst>
        </xdr:cNvPr>
        <xdr:cNvCxnSpPr/>
      </xdr:nvCxnSpPr>
      <xdr:spPr>
        <a:xfrm>
          <a:off x="18578320" y="414033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2287</xdr:row>
      <xdr:rowOff>145405</xdr:rowOff>
    </xdr:from>
    <xdr:to>
      <xdr:col>9</xdr:col>
      <xdr:colOff>1392681</xdr:colOff>
      <xdr:row>2287</xdr:row>
      <xdr:rowOff>145405</xdr:rowOff>
    </xdr:to>
    <xdr:cxnSp macro="_xll.PtreeEvent_ObjectClick">
      <xdr:nvCxnSpPr>
        <xdr:cNvPr id="4543" name="PTObj_DBranchHLine_1_1132">
          <a:extLst>
            <a:ext uri="{FF2B5EF4-FFF2-40B4-BE49-F238E27FC236}">
              <a16:creationId xmlns:a16="http://schemas.microsoft.com/office/drawing/2014/main" id="{226E0AF2-302A-47BE-B9BE-D0A15EA47FAE}"/>
            </a:ext>
          </a:extLst>
        </xdr:cNvPr>
        <xdr:cNvCxnSpPr/>
      </xdr:nvCxnSpPr>
      <xdr:spPr>
        <a:xfrm>
          <a:off x="17306734" y="414035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2285</xdr:row>
      <xdr:rowOff>140320</xdr:rowOff>
    </xdr:from>
    <xdr:to>
      <xdr:col>9</xdr:col>
      <xdr:colOff>209359</xdr:colOff>
      <xdr:row>2287</xdr:row>
      <xdr:rowOff>145405</xdr:rowOff>
    </xdr:to>
    <xdr:cxnSp macro="_xll.PtreeEvent_ObjectClick">
      <xdr:nvCxnSpPr>
        <xdr:cNvPr id="4542" name="PTObj_DBranchDLine_1_1132">
          <a:extLst>
            <a:ext uri="{FF2B5EF4-FFF2-40B4-BE49-F238E27FC236}">
              <a16:creationId xmlns:a16="http://schemas.microsoft.com/office/drawing/2014/main" id="{EBD62DCA-C689-4232-9F3F-4735415B5513}"/>
            </a:ext>
          </a:extLst>
        </xdr:cNvPr>
        <xdr:cNvCxnSpPr/>
      </xdr:nvCxnSpPr>
      <xdr:spPr>
        <a:xfrm>
          <a:off x="17154334" y="4136681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2285</xdr:row>
      <xdr:rowOff>141610</xdr:rowOff>
    </xdr:from>
    <xdr:to>
      <xdr:col>8</xdr:col>
      <xdr:colOff>1398397</xdr:colOff>
      <xdr:row>2285</xdr:row>
      <xdr:rowOff>141610</xdr:rowOff>
    </xdr:to>
    <xdr:cxnSp macro="_xll.PtreeEvent_ObjectClick">
      <xdr:nvCxnSpPr>
        <xdr:cNvPr id="4539" name="PTObj_DBranchHLine_1_1131">
          <a:extLst>
            <a:ext uri="{FF2B5EF4-FFF2-40B4-BE49-F238E27FC236}">
              <a16:creationId xmlns:a16="http://schemas.microsoft.com/office/drawing/2014/main" id="{6C0DEE06-032B-4F37-A31E-FE3777CE1EE1}"/>
            </a:ext>
          </a:extLst>
        </xdr:cNvPr>
        <xdr:cNvCxnSpPr/>
      </xdr:nvCxnSpPr>
      <xdr:spPr>
        <a:xfrm>
          <a:off x="15884652" y="413669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2285</xdr:row>
      <xdr:rowOff>141610</xdr:rowOff>
    </xdr:from>
    <xdr:to>
      <xdr:col>8</xdr:col>
      <xdr:colOff>216027</xdr:colOff>
      <xdr:row>2293</xdr:row>
      <xdr:rowOff>147017</xdr:rowOff>
    </xdr:to>
    <xdr:cxnSp macro="_xll.PtreeEvent_ObjectClick">
      <xdr:nvCxnSpPr>
        <xdr:cNvPr id="4538" name="PTObj_DBranchDLine_1_1131">
          <a:extLst>
            <a:ext uri="{FF2B5EF4-FFF2-40B4-BE49-F238E27FC236}">
              <a16:creationId xmlns:a16="http://schemas.microsoft.com/office/drawing/2014/main" id="{D3426614-91CB-4FE6-BF5D-D30B71195911}"/>
            </a:ext>
          </a:extLst>
        </xdr:cNvPr>
        <xdr:cNvCxnSpPr/>
      </xdr:nvCxnSpPr>
      <xdr:spPr>
        <a:xfrm flipV="1">
          <a:off x="15732252" y="4136694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2293</xdr:row>
      <xdr:rowOff>156840</xdr:rowOff>
    </xdr:from>
    <xdr:to>
      <xdr:col>7</xdr:col>
      <xdr:colOff>1402207</xdr:colOff>
      <xdr:row>2293</xdr:row>
      <xdr:rowOff>156840</xdr:rowOff>
    </xdr:to>
    <xdr:cxnSp macro="_xll.PtreeEvent_ObjectClick">
      <xdr:nvCxnSpPr>
        <xdr:cNvPr id="4535" name="PTObj_DBranchHLine_1_1135">
          <a:extLst>
            <a:ext uri="{FF2B5EF4-FFF2-40B4-BE49-F238E27FC236}">
              <a16:creationId xmlns:a16="http://schemas.microsoft.com/office/drawing/2014/main" id="{F57C3818-0A43-4635-882A-211D15295DE9}"/>
            </a:ext>
          </a:extLst>
        </xdr:cNvPr>
        <xdr:cNvCxnSpPr/>
      </xdr:nvCxnSpPr>
      <xdr:spPr>
        <a:xfrm>
          <a:off x="14460665" y="415132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2283</xdr:row>
      <xdr:rowOff>136525</xdr:rowOff>
    </xdr:from>
    <xdr:to>
      <xdr:col>7</xdr:col>
      <xdr:colOff>220790</xdr:colOff>
      <xdr:row>2293</xdr:row>
      <xdr:rowOff>156840</xdr:rowOff>
    </xdr:to>
    <xdr:cxnSp macro="_xll.PtreeEvent_ObjectClick">
      <xdr:nvCxnSpPr>
        <xdr:cNvPr id="4534" name="PTObj_DBranchDLine_1_1135">
          <a:extLst>
            <a:ext uri="{FF2B5EF4-FFF2-40B4-BE49-F238E27FC236}">
              <a16:creationId xmlns:a16="http://schemas.microsoft.com/office/drawing/2014/main" id="{53933325-1192-46AC-B21C-ABB8029EC669}"/>
            </a:ext>
          </a:extLst>
        </xdr:cNvPr>
        <xdr:cNvCxnSpPr/>
      </xdr:nvCxnSpPr>
      <xdr:spPr>
        <a:xfrm>
          <a:off x="14308265" y="413302450"/>
          <a:ext cx="152400" cy="18300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2281</xdr:row>
      <xdr:rowOff>133995</xdr:rowOff>
    </xdr:from>
    <xdr:to>
      <xdr:col>11</xdr:col>
      <xdr:colOff>1386015</xdr:colOff>
      <xdr:row>2281</xdr:row>
      <xdr:rowOff>133995</xdr:rowOff>
    </xdr:to>
    <xdr:cxnSp macro="_xll.PtreeEvent_ObjectClick">
      <xdr:nvCxnSpPr>
        <xdr:cNvPr id="4531" name="PTObj_DBranchHLine_1_1129">
          <a:extLst>
            <a:ext uri="{FF2B5EF4-FFF2-40B4-BE49-F238E27FC236}">
              <a16:creationId xmlns:a16="http://schemas.microsoft.com/office/drawing/2014/main" id="{E12B5474-F198-4518-9B52-5DB7CE3F2540}"/>
            </a:ext>
          </a:extLst>
        </xdr:cNvPr>
        <xdr:cNvCxnSpPr/>
      </xdr:nvCxnSpPr>
      <xdr:spPr>
        <a:xfrm>
          <a:off x="20149945" y="412937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2279</xdr:row>
      <xdr:rowOff>125115</xdr:rowOff>
    </xdr:from>
    <xdr:to>
      <xdr:col>11</xdr:col>
      <xdr:colOff>195070</xdr:colOff>
      <xdr:row>2281</xdr:row>
      <xdr:rowOff>133995</xdr:rowOff>
    </xdr:to>
    <xdr:cxnSp macro="_xll.PtreeEvent_ObjectClick">
      <xdr:nvCxnSpPr>
        <xdr:cNvPr id="4530" name="PTObj_DBranchDLine_1_1129">
          <a:extLst>
            <a:ext uri="{FF2B5EF4-FFF2-40B4-BE49-F238E27FC236}">
              <a16:creationId xmlns:a16="http://schemas.microsoft.com/office/drawing/2014/main" id="{D20CE632-024E-4EFE-9D1C-5AC4796A0331}"/>
            </a:ext>
          </a:extLst>
        </xdr:cNvPr>
        <xdr:cNvCxnSpPr/>
      </xdr:nvCxnSpPr>
      <xdr:spPr>
        <a:xfrm>
          <a:off x="19997545" y="412567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2279</xdr:row>
      <xdr:rowOff>130175</xdr:rowOff>
    </xdr:from>
    <xdr:to>
      <xdr:col>10</xdr:col>
      <xdr:colOff>1388870</xdr:colOff>
      <xdr:row>2279</xdr:row>
      <xdr:rowOff>130175</xdr:rowOff>
    </xdr:to>
    <xdr:cxnSp macro="_xll.PtreeEvent_ObjectClick">
      <xdr:nvCxnSpPr>
        <xdr:cNvPr id="4527" name="PTObj_DBranchHLine_1_1128">
          <a:extLst>
            <a:ext uri="{FF2B5EF4-FFF2-40B4-BE49-F238E27FC236}">
              <a16:creationId xmlns:a16="http://schemas.microsoft.com/office/drawing/2014/main" id="{93D6E270-795E-41F6-9C8E-D8FC41684539}"/>
            </a:ext>
          </a:extLst>
        </xdr:cNvPr>
        <xdr:cNvCxnSpPr/>
      </xdr:nvCxnSpPr>
      <xdr:spPr>
        <a:xfrm>
          <a:off x="18730720" y="412572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2277</xdr:row>
      <xdr:rowOff>121295</xdr:rowOff>
    </xdr:from>
    <xdr:to>
      <xdr:col>10</xdr:col>
      <xdr:colOff>204595</xdr:colOff>
      <xdr:row>2279</xdr:row>
      <xdr:rowOff>130175</xdr:rowOff>
    </xdr:to>
    <xdr:cxnSp macro="_xll.PtreeEvent_ObjectClick">
      <xdr:nvCxnSpPr>
        <xdr:cNvPr id="4526" name="PTObj_DBranchDLine_1_1128">
          <a:extLst>
            <a:ext uri="{FF2B5EF4-FFF2-40B4-BE49-F238E27FC236}">
              <a16:creationId xmlns:a16="http://schemas.microsoft.com/office/drawing/2014/main" id="{AD7F4DCB-BA7F-42F9-BE88-136D06912123}"/>
            </a:ext>
          </a:extLst>
        </xdr:cNvPr>
        <xdr:cNvCxnSpPr/>
      </xdr:nvCxnSpPr>
      <xdr:spPr>
        <a:xfrm>
          <a:off x="18578320" y="412201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2277</xdr:row>
      <xdr:rowOff>126355</xdr:rowOff>
    </xdr:from>
    <xdr:to>
      <xdr:col>9</xdr:col>
      <xdr:colOff>1392681</xdr:colOff>
      <xdr:row>2277</xdr:row>
      <xdr:rowOff>126355</xdr:rowOff>
    </xdr:to>
    <xdr:cxnSp macro="_xll.PtreeEvent_ObjectClick">
      <xdr:nvCxnSpPr>
        <xdr:cNvPr id="4523" name="PTObj_DBranchHLine_1_1127">
          <a:extLst>
            <a:ext uri="{FF2B5EF4-FFF2-40B4-BE49-F238E27FC236}">
              <a16:creationId xmlns:a16="http://schemas.microsoft.com/office/drawing/2014/main" id="{FA78D4AD-67C5-4681-A895-86540A504FDD}"/>
            </a:ext>
          </a:extLst>
        </xdr:cNvPr>
        <xdr:cNvCxnSpPr/>
      </xdr:nvCxnSpPr>
      <xdr:spPr>
        <a:xfrm>
          <a:off x="17306734" y="412206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2275</xdr:row>
      <xdr:rowOff>113655</xdr:rowOff>
    </xdr:from>
    <xdr:to>
      <xdr:col>9</xdr:col>
      <xdr:colOff>209359</xdr:colOff>
      <xdr:row>2277</xdr:row>
      <xdr:rowOff>126355</xdr:rowOff>
    </xdr:to>
    <xdr:cxnSp macro="_xll.PtreeEvent_ObjectClick">
      <xdr:nvCxnSpPr>
        <xdr:cNvPr id="4522" name="PTObj_DBranchDLine_1_1127">
          <a:extLst>
            <a:ext uri="{FF2B5EF4-FFF2-40B4-BE49-F238E27FC236}">
              <a16:creationId xmlns:a16="http://schemas.microsoft.com/office/drawing/2014/main" id="{474B2DB4-B972-418B-84A2-96983D325D64}"/>
            </a:ext>
          </a:extLst>
        </xdr:cNvPr>
        <xdr:cNvCxnSpPr/>
      </xdr:nvCxnSpPr>
      <xdr:spPr>
        <a:xfrm>
          <a:off x="17154334" y="411831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2275</xdr:row>
      <xdr:rowOff>122560</xdr:rowOff>
    </xdr:from>
    <xdr:to>
      <xdr:col>8</xdr:col>
      <xdr:colOff>1398397</xdr:colOff>
      <xdr:row>2275</xdr:row>
      <xdr:rowOff>122560</xdr:rowOff>
    </xdr:to>
    <xdr:cxnSp macro="_xll.PtreeEvent_ObjectClick">
      <xdr:nvCxnSpPr>
        <xdr:cNvPr id="4519" name="PTObj_DBranchHLine_1_1126">
          <a:extLst>
            <a:ext uri="{FF2B5EF4-FFF2-40B4-BE49-F238E27FC236}">
              <a16:creationId xmlns:a16="http://schemas.microsoft.com/office/drawing/2014/main" id="{2720D582-CCA1-4C22-80F4-8FB41A30EE82}"/>
            </a:ext>
          </a:extLst>
        </xdr:cNvPr>
        <xdr:cNvCxnSpPr/>
      </xdr:nvCxnSpPr>
      <xdr:spPr>
        <a:xfrm>
          <a:off x="15888463" y="411840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2273</xdr:row>
      <xdr:rowOff>108917</xdr:rowOff>
    </xdr:from>
    <xdr:to>
      <xdr:col>8</xdr:col>
      <xdr:colOff>219838</xdr:colOff>
      <xdr:row>2275</xdr:row>
      <xdr:rowOff>122560</xdr:rowOff>
    </xdr:to>
    <xdr:cxnSp macro="_xll.PtreeEvent_ObjectClick">
      <xdr:nvCxnSpPr>
        <xdr:cNvPr id="4518" name="PTObj_DBranchDLine_1_1126">
          <a:extLst>
            <a:ext uri="{FF2B5EF4-FFF2-40B4-BE49-F238E27FC236}">
              <a16:creationId xmlns:a16="http://schemas.microsoft.com/office/drawing/2014/main" id="{2AE5B0AA-BB40-4709-AE91-79778022B28F}"/>
            </a:ext>
          </a:extLst>
        </xdr:cNvPr>
        <xdr:cNvCxnSpPr/>
      </xdr:nvCxnSpPr>
      <xdr:spPr>
        <a:xfrm>
          <a:off x="15736063" y="4114650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2271</xdr:row>
      <xdr:rowOff>114945</xdr:rowOff>
    </xdr:from>
    <xdr:to>
      <xdr:col>11</xdr:col>
      <xdr:colOff>1386967</xdr:colOff>
      <xdr:row>2271</xdr:row>
      <xdr:rowOff>114945</xdr:rowOff>
    </xdr:to>
    <xdr:cxnSp macro="_xll.PtreeEvent_ObjectClick">
      <xdr:nvCxnSpPr>
        <xdr:cNvPr id="4515" name="PTObj_DBranchHLine_1_1124">
          <a:extLst>
            <a:ext uri="{FF2B5EF4-FFF2-40B4-BE49-F238E27FC236}">
              <a16:creationId xmlns:a16="http://schemas.microsoft.com/office/drawing/2014/main" id="{E2E1A17B-CA9C-4114-87E5-5AC416A06C12}"/>
            </a:ext>
          </a:extLst>
        </xdr:cNvPr>
        <xdr:cNvCxnSpPr/>
      </xdr:nvCxnSpPr>
      <xdr:spPr>
        <a:xfrm>
          <a:off x="20149945" y="411109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2269</xdr:row>
      <xdr:rowOff>102245</xdr:rowOff>
    </xdr:from>
    <xdr:to>
      <xdr:col>11</xdr:col>
      <xdr:colOff>195070</xdr:colOff>
      <xdr:row>2271</xdr:row>
      <xdr:rowOff>114945</xdr:rowOff>
    </xdr:to>
    <xdr:cxnSp macro="_xll.PtreeEvent_ObjectClick">
      <xdr:nvCxnSpPr>
        <xdr:cNvPr id="4514" name="PTObj_DBranchDLine_1_1124">
          <a:extLst>
            <a:ext uri="{FF2B5EF4-FFF2-40B4-BE49-F238E27FC236}">
              <a16:creationId xmlns:a16="http://schemas.microsoft.com/office/drawing/2014/main" id="{CFF478EC-F9AF-4A5C-B916-1F73CA611FC1}"/>
            </a:ext>
          </a:extLst>
        </xdr:cNvPr>
        <xdr:cNvCxnSpPr/>
      </xdr:nvCxnSpPr>
      <xdr:spPr>
        <a:xfrm>
          <a:off x="19997545" y="410734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2269</xdr:row>
      <xdr:rowOff>111125</xdr:rowOff>
    </xdr:from>
    <xdr:to>
      <xdr:col>10</xdr:col>
      <xdr:colOff>1388870</xdr:colOff>
      <xdr:row>2269</xdr:row>
      <xdr:rowOff>111125</xdr:rowOff>
    </xdr:to>
    <xdr:cxnSp macro="_xll.PtreeEvent_ObjectClick">
      <xdr:nvCxnSpPr>
        <xdr:cNvPr id="4511" name="PTObj_DBranchHLine_1_1123">
          <a:extLst>
            <a:ext uri="{FF2B5EF4-FFF2-40B4-BE49-F238E27FC236}">
              <a16:creationId xmlns:a16="http://schemas.microsoft.com/office/drawing/2014/main" id="{F67AB0FC-9652-4C07-88E2-9DA57711116B}"/>
            </a:ext>
          </a:extLst>
        </xdr:cNvPr>
        <xdr:cNvCxnSpPr/>
      </xdr:nvCxnSpPr>
      <xdr:spPr>
        <a:xfrm>
          <a:off x="18730720" y="410743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2267</xdr:row>
      <xdr:rowOff>106065</xdr:rowOff>
    </xdr:from>
    <xdr:to>
      <xdr:col>10</xdr:col>
      <xdr:colOff>204595</xdr:colOff>
      <xdr:row>2269</xdr:row>
      <xdr:rowOff>111125</xdr:rowOff>
    </xdr:to>
    <xdr:cxnSp macro="_xll.PtreeEvent_ObjectClick">
      <xdr:nvCxnSpPr>
        <xdr:cNvPr id="4510" name="PTObj_DBranchDLine_1_1123">
          <a:extLst>
            <a:ext uri="{FF2B5EF4-FFF2-40B4-BE49-F238E27FC236}">
              <a16:creationId xmlns:a16="http://schemas.microsoft.com/office/drawing/2014/main" id="{80176A35-76BB-4B70-82EA-F51884319D8B}"/>
            </a:ext>
          </a:extLst>
        </xdr:cNvPr>
        <xdr:cNvCxnSpPr/>
      </xdr:nvCxnSpPr>
      <xdr:spPr>
        <a:xfrm>
          <a:off x="18578320" y="410376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2267</xdr:row>
      <xdr:rowOff>107305</xdr:rowOff>
    </xdr:from>
    <xdr:to>
      <xdr:col>9</xdr:col>
      <xdr:colOff>1392681</xdr:colOff>
      <xdr:row>2267</xdr:row>
      <xdr:rowOff>107305</xdr:rowOff>
    </xdr:to>
    <xdr:cxnSp macro="_xll.PtreeEvent_ObjectClick">
      <xdr:nvCxnSpPr>
        <xdr:cNvPr id="4507" name="PTObj_DBranchHLine_1_1122">
          <a:extLst>
            <a:ext uri="{FF2B5EF4-FFF2-40B4-BE49-F238E27FC236}">
              <a16:creationId xmlns:a16="http://schemas.microsoft.com/office/drawing/2014/main" id="{F70D499D-8F8C-4734-AE85-F08548AB60FB}"/>
            </a:ext>
          </a:extLst>
        </xdr:cNvPr>
        <xdr:cNvCxnSpPr/>
      </xdr:nvCxnSpPr>
      <xdr:spPr>
        <a:xfrm>
          <a:off x="17306734" y="410377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2265</xdr:row>
      <xdr:rowOff>102220</xdr:rowOff>
    </xdr:from>
    <xdr:to>
      <xdr:col>9</xdr:col>
      <xdr:colOff>209359</xdr:colOff>
      <xdr:row>2267</xdr:row>
      <xdr:rowOff>107305</xdr:rowOff>
    </xdr:to>
    <xdr:cxnSp macro="_xll.PtreeEvent_ObjectClick">
      <xdr:nvCxnSpPr>
        <xdr:cNvPr id="4506" name="PTObj_DBranchDLine_1_1122">
          <a:extLst>
            <a:ext uri="{FF2B5EF4-FFF2-40B4-BE49-F238E27FC236}">
              <a16:creationId xmlns:a16="http://schemas.microsoft.com/office/drawing/2014/main" id="{3998805F-9431-469A-A731-6633E3D4366D}"/>
            </a:ext>
          </a:extLst>
        </xdr:cNvPr>
        <xdr:cNvCxnSpPr/>
      </xdr:nvCxnSpPr>
      <xdr:spPr>
        <a:xfrm>
          <a:off x="17154334" y="4100105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2265</xdr:row>
      <xdr:rowOff>103510</xdr:rowOff>
    </xdr:from>
    <xdr:to>
      <xdr:col>8</xdr:col>
      <xdr:colOff>1398397</xdr:colOff>
      <xdr:row>2265</xdr:row>
      <xdr:rowOff>103510</xdr:rowOff>
    </xdr:to>
    <xdr:cxnSp macro="_xll.PtreeEvent_ObjectClick">
      <xdr:nvCxnSpPr>
        <xdr:cNvPr id="4503" name="PTObj_DBranchHLine_1_1121">
          <a:extLst>
            <a:ext uri="{FF2B5EF4-FFF2-40B4-BE49-F238E27FC236}">
              <a16:creationId xmlns:a16="http://schemas.microsoft.com/office/drawing/2014/main" id="{85965B28-0A3A-413A-9B19-63FC1BA0151B}"/>
            </a:ext>
          </a:extLst>
        </xdr:cNvPr>
        <xdr:cNvCxnSpPr/>
      </xdr:nvCxnSpPr>
      <xdr:spPr>
        <a:xfrm>
          <a:off x="15884652" y="410011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2265</xdr:row>
      <xdr:rowOff>103510</xdr:rowOff>
    </xdr:from>
    <xdr:to>
      <xdr:col>8</xdr:col>
      <xdr:colOff>216027</xdr:colOff>
      <xdr:row>2273</xdr:row>
      <xdr:rowOff>108917</xdr:rowOff>
    </xdr:to>
    <xdr:cxnSp macro="_xll.PtreeEvent_ObjectClick">
      <xdr:nvCxnSpPr>
        <xdr:cNvPr id="4502" name="PTObj_DBranchDLine_1_1121">
          <a:extLst>
            <a:ext uri="{FF2B5EF4-FFF2-40B4-BE49-F238E27FC236}">
              <a16:creationId xmlns:a16="http://schemas.microsoft.com/office/drawing/2014/main" id="{28A0DB01-1039-49CC-9E7A-F828347B6EDA}"/>
            </a:ext>
          </a:extLst>
        </xdr:cNvPr>
        <xdr:cNvCxnSpPr/>
      </xdr:nvCxnSpPr>
      <xdr:spPr>
        <a:xfrm flipV="1">
          <a:off x="15732252" y="4100118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2273</xdr:row>
      <xdr:rowOff>118740</xdr:rowOff>
    </xdr:from>
    <xdr:to>
      <xdr:col>7</xdr:col>
      <xdr:colOff>1402207</xdr:colOff>
      <xdr:row>2273</xdr:row>
      <xdr:rowOff>118740</xdr:rowOff>
    </xdr:to>
    <xdr:cxnSp macro="_xll.PtreeEvent_ObjectClick">
      <xdr:nvCxnSpPr>
        <xdr:cNvPr id="4499" name="PTObj_DBranchHLine_1_1125">
          <a:extLst>
            <a:ext uri="{FF2B5EF4-FFF2-40B4-BE49-F238E27FC236}">
              <a16:creationId xmlns:a16="http://schemas.microsoft.com/office/drawing/2014/main" id="{83E2EAD7-ECB2-4180-B0BD-817703929A84}"/>
            </a:ext>
          </a:extLst>
        </xdr:cNvPr>
        <xdr:cNvCxnSpPr/>
      </xdr:nvCxnSpPr>
      <xdr:spPr>
        <a:xfrm>
          <a:off x="14462570" y="4114749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2273</xdr:row>
      <xdr:rowOff>118740</xdr:rowOff>
    </xdr:from>
    <xdr:to>
      <xdr:col>7</xdr:col>
      <xdr:colOff>222695</xdr:colOff>
      <xdr:row>2283</xdr:row>
      <xdr:rowOff>138410</xdr:rowOff>
    </xdr:to>
    <xdr:cxnSp macro="_xll.PtreeEvent_ObjectClick">
      <xdr:nvCxnSpPr>
        <xdr:cNvPr id="4498" name="PTObj_DBranchDLine_1_1125">
          <a:extLst>
            <a:ext uri="{FF2B5EF4-FFF2-40B4-BE49-F238E27FC236}">
              <a16:creationId xmlns:a16="http://schemas.microsoft.com/office/drawing/2014/main" id="{A5DB9132-6FCD-44BB-A414-E2854B5A3B5F}"/>
            </a:ext>
          </a:extLst>
        </xdr:cNvPr>
        <xdr:cNvCxnSpPr/>
      </xdr:nvCxnSpPr>
      <xdr:spPr>
        <a:xfrm flipV="1">
          <a:off x="14310170" y="411474915"/>
          <a:ext cx="152400" cy="1829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2283</xdr:row>
      <xdr:rowOff>137790</xdr:rowOff>
    </xdr:from>
    <xdr:to>
      <xdr:col>6</xdr:col>
      <xdr:colOff>1407922</xdr:colOff>
      <xdr:row>2283</xdr:row>
      <xdr:rowOff>137790</xdr:rowOff>
    </xdr:to>
    <xdr:cxnSp macro="_xll.PtreeEvent_ObjectClick">
      <xdr:nvCxnSpPr>
        <xdr:cNvPr id="4495" name="PTObj_DBranchHLine_1_1130">
          <a:extLst>
            <a:ext uri="{FF2B5EF4-FFF2-40B4-BE49-F238E27FC236}">
              <a16:creationId xmlns:a16="http://schemas.microsoft.com/office/drawing/2014/main" id="{68F2EBF6-F161-4E5E-9E4F-18C5F21C9AD2}"/>
            </a:ext>
          </a:extLst>
        </xdr:cNvPr>
        <xdr:cNvCxnSpPr/>
      </xdr:nvCxnSpPr>
      <xdr:spPr>
        <a:xfrm>
          <a:off x="13034772" y="4133037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2283</xdr:row>
      <xdr:rowOff>137790</xdr:rowOff>
    </xdr:from>
    <xdr:to>
      <xdr:col>6</xdr:col>
      <xdr:colOff>223647</xdr:colOff>
      <xdr:row>2303</xdr:row>
      <xdr:rowOff>176510</xdr:rowOff>
    </xdr:to>
    <xdr:cxnSp macro="_xll.PtreeEvent_ObjectClick">
      <xdr:nvCxnSpPr>
        <xdr:cNvPr id="4494" name="PTObj_DBranchDLine_1_1130">
          <a:extLst>
            <a:ext uri="{FF2B5EF4-FFF2-40B4-BE49-F238E27FC236}">
              <a16:creationId xmlns:a16="http://schemas.microsoft.com/office/drawing/2014/main" id="{91BB6A30-84FE-43D7-92FE-DE6DCD95A17E}"/>
            </a:ext>
          </a:extLst>
        </xdr:cNvPr>
        <xdr:cNvCxnSpPr/>
      </xdr:nvCxnSpPr>
      <xdr:spPr>
        <a:xfrm flipV="1">
          <a:off x="12882372" y="413303715"/>
          <a:ext cx="152400" cy="3658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2303</xdr:row>
      <xdr:rowOff>175915</xdr:rowOff>
    </xdr:from>
    <xdr:to>
      <xdr:col>5</xdr:col>
      <xdr:colOff>1411732</xdr:colOff>
      <xdr:row>2303</xdr:row>
      <xdr:rowOff>175915</xdr:rowOff>
    </xdr:to>
    <xdr:cxnSp macro="_xll.PtreeEvent_ObjectClick">
      <xdr:nvCxnSpPr>
        <xdr:cNvPr id="4491" name="PTObj_DBranchHLine_1_1140">
          <a:extLst>
            <a:ext uri="{FF2B5EF4-FFF2-40B4-BE49-F238E27FC236}">
              <a16:creationId xmlns:a16="http://schemas.microsoft.com/office/drawing/2014/main" id="{F9F69993-8566-476D-AF30-B9FF9FF4846B}"/>
            </a:ext>
          </a:extLst>
        </xdr:cNvPr>
        <xdr:cNvCxnSpPr/>
      </xdr:nvCxnSpPr>
      <xdr:spPr>
        <a:xfrm>
          <a:off x="11610785" y="41696134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2303</xdr:row>
      <xdr:rowOff>175915</xdr:rowOff>
    </xdr:from>
    <xdr:to>
      <xdr:col>5</xdr:col>
      <xdr:colOff>228410</xdr:colOff>
      <xdr:row>2344</xdr:row>
      <xdr:rowOff>71735</xdr:rowOff>
    </xdr:to>
    <xdr:cxnSp macro="_xll.PtreeEvent_ObjectClick">
      <xdr:nvCxnSpPr>
        <xdr:cNvPr id="4490" name="PTObj_DBranchDLine_1_1140">
          <a:extLst>
            <a:ext uri="{FF2B5EF4-FFF2-40B4-BE49-F238E27FC236}">
              <a16:creationId xmlns:a16="http://schemas.microsoft.com/office/drawing/2014/main" id="{FBFE993F-265A-4B04-8486-26FF075522B1}"/>
            </a:ext>
          </a:extLst>
        </xdr:cNvPr>
        <xdr:cNvCxnSpPr/>
      </xdr:nvCxnSpPr>
      <xdr:spPr>
        <a:xfrm flipV="1">
          <a:off x="11458385" y="416961340"/>
          <a:ext cx="152400" cy="731579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230314</xdr:colOff>
      <xdr:row>2344</xdr:row>
      <xdr:rowOff>71140</xdr:rowOff>
    </xdr:from>
    <xdr:to>
      <xdr:col>4</xdr:col>
      <xdr:colOff>1417447</xdr:colOff>
      <xdr:row>2344</xdr:row>
      <xdr:rowOff>71140</xdr:rowOff>
    </xdr:to>
    <xdr:cxnSp macro="_xll.PtreeEvent_ObjectClick">
      <xdr:nvCxnSpPr>
        <xdr:cNvPr id="4487" name="PTObj_DBranchHLine_1_1160">
          <a:extLst>
            <a:ext uri="{FF2B5EF4-FFF2-40B4-BE49-F238E27FC236}">
              <a16:creationId xmlns:a16="http://schemas.microsoft.com/office/drawing/2014/main" id="{3676E46C-80E2-47A7-8439-F9AC6E8FBA83}"/>
            </a:ext>
          </a:extLst>
        </xdr:cNvPr>
        <xdr:cNvCxnSpPr/>
      </xdr:nvCxnSpPr>
      <xdr:spPr>
        <a:xfrm>
          <a:off x="10183939" y="424276540"/>
          <a:ext cx="118713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77914</xdr:colOff>
      <xdr:row>2344</xdr:row>
      <xdr:rowOff>71140</xdr:rowOff>
    </xdr:from>
    <xdr:to>
      <xdr:col>4</xdr:col>
      <xdr:colOff>230314</xdr:colOff>
      <xdr:row>2425</xdr:row>
      <xdr:rowOff>39340</xdr:rowOff>
    </xdr:to>
    <xdr:cxnSp macro="_xll.PtreeEvent_ObjectClick">
      <xdr:nvCxnSpPr>
        <xdr:cNvPr id="4486" name="PTObj_DBranchDLine_1_1160">
          <a:extLst>
            <a:ext uri="{FF2B5EF4-FFF2-40B4-BE49-F238E27FC236}">
              <a16:creationId xmlns:a16="http://schemas.microsoft.com/office/drawing/2014/main" id="{C04A326C-7B5C-4F71-8079-BC4077F6370F}"/>
            </a:ext>
          </a:extLst>
        </xdr:cNvPr>
        <xdr:cNvCxnSpPr/>
      </xdr:nvCxnSpPr>
      <xdr:spPr>
        <a:xfrm flipV="1">
          <a:off x="10031539" y="424276540"/>
          <a:ext cx="152400" cy="146271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233172</xdr:colOff>
      <xdr:row>2425</xdr:row>
      <xdr:rowOff>42565</xdr:rowOff>
    </xdr:from>
    <xdr:to>
      <xdr:col>3</xdr:col>
      <xdr:colOff>1421257</xdr:colOff>
      <xdr:row>2425</xdr:row>
      <xdr:rowOff>42565</xdr:rowOff>
    </xdr:to>
    <xdr:cxnSp macro="_xll.PtreeEvent_ObjectClick">
      <xdr:nvCxnSpPr>
        <xdr:cNvPr id="4483" name="PTObj_DBranchHLine_1_1200">
          <a:extLst>
            <a:ext uri="{FF2B5EF4-FFF2-40B4-BE49-F238E27FC236}">
              <a16:creationId xmlns:a16="http://schemas.microsoft.com/office/drawing/2014/main" id="{B63FBE2D-9019-4E80-A0BA-62A4EAA89E20}"/>
            </a:ext>
          </a:extLst>
        </xdr:cNvPr>
        <xdr:cNvCxnSpPr/>
      </xdr:nvCxnSpPr>
      <xdr:spPr>
        <a:xfrm>
          <a:off x="8758047" y="438906940"/>
          <a:ext cx="118808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80772</xdr:colOff>
      <xdr:row>2263</xdr:row>
      <xdr:rowOff>100310</xdr:rowOff>
    </xdr:from>
    <xdr:to>
      <xdr:col>3</xdr:col>
      <xdr:colOff>233172</xdr:colOff>
      <xdr:row>2425</xdr:row>
      <xdr:rowOff>42565</xdr:rowOff>
    </xdr:to>
    <xdr:cxnSp macro="_xll.PtreeEvent_ObjectClick">
      <xdr:nvCxnSpPr>
        <xdr:cNvPr id="4482" name="PTObj_DBranchDLine_1_1200">
          <a:extLst>
            <a:ext uri="{FF2B5EF4-FFF2-40B4-BE49-F238E27FC236}">
              <a16:creationId xmlns:a16="http://schemas.microsoft.com/office/drawing/2014/main" id="{441C7D91-E713-4309-9791-0CD229FD58BF}"/>
            </a:ext>
          </a:extLst>
        </xdr:cNvPr>
        <xdr:cNvCxnSpPr/>
      </xdr:nvCxnSpPr>
      <xdr:spPr>
        <a:xfrm>
          <a:off x="8605647" y="409646735"/>
          <a:ext cx="152400" cy="2926020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2261</xdr:row>
      <xdr:rowOff>95895</xdr:rowOff>
    </xdr:from>
    <xdr:to>
      <xdr:col>11</xdr:col>
      <xdr:colOff>1386015</xdr:colOff>
      <xdr:row>2261</xdr:row>
      <xdr:rowOff>95895</xdr:rowOff>
    </xdr:to>
    <xdr:cxnSp macro="_xll.PtreeEvent_ObjectClick">
      <xdr:nvCxnSpPr>
        <xdr:cNvPr id="4479" name="PTObj_DBranchHLine_1_1119">
          <a:extLst>
            <a:ext uri="{FF2B5EF4-FFF2-40B4-BE49-F238E27FC236}">
              <a16:creationId xmlns:a16="http://schemas.microsoft.com/office/drawing/2014/main" id="{0CCAFC01-1BEF-4F7F-807B-91C6088810E3}"/>
            </a:ext>
          </a:extLst>
        </xdr:cNvPr>
        <xdr:cNvCxnSpPr/>
      </xdr:nvCxnSpPr>
      <xdr:spPr>
        <a:xfrm>
          <a:off x="20149945" y="409280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2259</xdr:row>
      <xdr:rowOff>87015</xdr:rowOff>
    </xdr:from>
    <xdr:to>
      <xdr:col>11</xdr:col>
      <xdr:colOff>195070</xdr:colOff>
      <xdr:row>2261</xdr:row>
      <xdr:rowOff>95895</xdr:rowOff>
    </xdr:to>
    <xdr:cxnSp macro="_xll.PtreeEvent_ObjectClick">
      <xdr:nvCxnSpPr>
        <xdr:cNvPr id="4478" name="PTObj_DBranchDLine_1_1119">
          <a:extLst>
            <a:ext uri="{FF2B5EF4-FFF2-40B4-BE49-F238E27FC236}">
              <a16:creationId xmlns:a16="http://schemas.microsoft.com/office/drawing/2014/main" id="{D204A8F6-1A96-4543-B5D4-0FC915CA0084}"/>
            </a:ext>
          </a:extLst>
        </xdr:cNvPr>
        <xdr:cNvCxnSpPr/>
      </xdr:nvCxnSpPr>
      <xdr:spPr>
        <a:xfrm>
          <a:off x="19997545" y="408909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2259</xdr:row>
      <xdr:rowOff>92075</xdr:rowOff>
    </xdr:from>
    <xdr:to>
      <xdr:col>10</xdr:col>
      <xdr:colOff>1388870</xdr:colOff>
      <xdr:row>2259</xdr:row>
      <xdr:rowOff>92075</xdr:rowOff>
    </xdr:to>
    <xdr:cxnSp macro="_xll.PtreeEvent_ObjectClick">
      <xdr:nvCxnSpPr>
        <xdr:cNvPr id="4475" name="PTObj_DBranchHLine_1_1118">
          <a:extLst>
            <a:ext uri="{FF2B5EF4-FFF2-40B4-BE49-F238E27FC236}">
              <a16:creationId xmlns:a16="http://schemas.microsoft.com/office/drawing/2014/main" id="{64E6A123-C147-4476-AB0B-9894CF9C2BCD}"/>
            </a:ext>
          </a:extLst>
        </xdr:cNvPr>
        <xdr:cNvCxnSpPr/>
      </xdr:nvCxnSpPr>
      <xdr:spPr>
        <a:xfrm>
          <a:off x="18730720" y="408914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2257</xdr:row>
      <xdr:rowOff>76547</xdr:rowOff>
    </xdr:from>
    <xdr:to>
      <xdr:col>10</xdr:col>
      <xdr:colOff>204595</xdr:colOff>
      <xdr:row>2259</xdr:row>
      <xdr:rowOff>92075</xdr:rowOff>
    </xdr:to>
    <xdr:cxnSp macro="_xll.PtreeEvent_ObjectClick">
      <xdr:nvCxnSpPr>
        <xdr:cNvPr id="4474" name="PTObj_DBranchDLine_1_1118">
          <a:extLst>
            <a:ext uri="{FF2B5EF4-FFF2-40B4-BE49-F238E27FC236}">
              <a16:creationId xmlns:a16="http://schemas.microsoft.com/office/drawing/2014/main" id="{61BD367B-ABD5-49C7-9DDB-BF3BFD202205}"/>
            </a:ext>
          </a:extLst>
        </xdr:cNvPr>
        <xdr:cNvCxnSpPr/>
      </xdr:nvCxnSpPr>
      <xdr:spPr>
        <a:xfrm>
          <a:off x="18578320" y="4085371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2257</xdr:row>
      <xdr:rowOff>88255</xdr:rowOff>
    </xdr:from>
    <xdr:to>
      <xdr:col>9</xdr:col>
      <xdr:colOff>1392681</xdr:colOff>
      <xdr:row>2257</xdr:row>
      <xdr:rowOff>88255</xdr:rowOff>
    </xdr:to>
    <xdr:cxnSp macro="_xll.PtreeEvent_ObjectClick">
      <xdr:nvCxnSpPr>
        <xdr:cNvPr id="4471" name="PTObj_DBranchHLine_1_1117">
          <a:extLst>
            <a:ext uri="{FF2B5EF4-FFF2-40B4-BE49-F238E27FC236}">
              <a16:creationId xmlns:a16="http://schemas.microsoft.com/office/drawing/2014/main" id="{3D9A340E-7BC7-4909-990A-5E8F3CD2F4F6}"/>
            </a:ext>
          </a:extLst>
        </xdr:cNvPr>
        <xdr:cNvCxnSpPr/>
      </xdr:nvCxnSpPr>
      <xdr:spPr>
        <a:xfrm>
          <a:off x="17306734" y="408548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2255</xdr:row>
      <xdr:rowOff>75555</xdr:rowOff>
    </xdr:from>
    <xdr:to>
      <xdr:col>9</xdr:col>
      <xdr:colOff>209359</xdr:colOff>
      <xdr:row>2257</xdr:row>
      <xdr:rowOff>88255</xdr:rowOff>
    </xdr:to>
    <xdr:cxnSp macro="_xll.PtreeEvent_ObjectClick">
      <xdr:nvCxnSpPr>
        <xdr:cNvPr id="4470" name="PTObj_DBranchDLine_1_1117">
          <a:extLst>
            <a:ext uri="{FF2B5EF4-FFF2-40B4-BE49-F238E27FC236}">
              <a16:creationId xmlns:a16="http://schemas.microsoft.com/office/drawing/2014/main" id="{AC1A73AB-5B7C-4851-86A4-5CBBC8566460}"/>
            </a:ext>
          </a:extLst>
        </xdr:cNvPr>
        <xdr:cNvCxnSpPr/>
      </xdr:nvCxnSpPr>
      <xdr:spPr>
        <a:xfrm>
          <a:off x="17154334" y="408174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2255</xdr:row>
      <xdr:rowOff>84460</xdr:rowOff>
    </xdr:from>
    <xdr:to>
      <xdr:col>8</xdr:col>
      <xdr:colOff>1398397</xdr:colOff>
      <xdr:row>2255</xdr:row>
      <xdr:rowOff>84460</xdr:rowOff>
    </xdr:to>
    <xdr:cxnSp macro="_xll.PtreeEvent_ObjectClick">
      <xdr:nvCxnSpPr>
        <xdr:cNvPr id="4467" name="PTObj_DBranchHLine_1_1116">
          <a:extLst>
            <a:ext uri="{FF2B5EF4-FFF2-40B4-BE49-F238E27FC236}">
              <a16:creationId xmlns:a16="http://schemas.microsoft.com/office/drawing/2014/main" id="{D7B409A6-8A39-4876-8D4D-EA0CAB447A48}"/>
            </a:ext>
          </a:extLst>
        </xdr:cNvPr>
        <xdr:cNvCxnSpPr/>
      </xdr:nvCxnSpPr>
      <xdr:spPr>
        <a:xfrm>
          <a:off x="15888463" y="408183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2253</xdr:row>
      <xdr:rowOff>75580</xdr:rowOff>
    </xdr:from>
    <xdr:to>
      <xdr:col>8</xdr:col>
      <xdr:colOff>219838</xdr:colOff>
      <xdr:row>2255</xdr:row>
      <xdr:rowOff>84460</xdr:rowOff>
    </xdr:to>
    <xdr:cxnSp macro="_xll.PtreeEvent_ObjectClick">
      <xdr:nvCxnSpPr>
        <xdr:cNvPr id="4466" name="PTObj_DBranchDLine_1_1116">
          <a:extLst>
            <a:ext uri="{FF2B5EF4-FFF2-40B4-BE49-F238E27FC236}">
              <a16:creationId xmlns:a16="http://schemas.microsoft.com/office/drawing/2014/main" id="{74C4E487-861A-447A-9BF2-300FE45EC5B9}"/>
            </a:ext>
          </a:extLst>
        </xdr:cNvPr>
        <xdr:cNvCxnSpPr/>
      </xdr:nvCxnSpPr>
      <xdr:spPr>
        <a:xfrm>
          <a:off x="15736063" y="4078122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2251</xdr:row>
      <xdr:rowOff>76845</xdr:rowOff>
    </xdr:from>
    <xdr:to>
      <xdr:col>11</xdr:col>
      <xdr:colOff>1386967</xdr:colOff>
      <xdr:row>2251</xdr:row>
      <xdr:rowOff>76845</xdr:rowOff>
    </xdr:to>
    <xdr:cxnSp macro="_xll.PtreeEvent_ObjectClick">
      <xdr:nvCxnSpPr>
        <xdr:cNvPr id="4463" name="PTObj_DBranchHLine_1_1114">
          <a:extLst>
            <a:ext uri="{FF2B5EF4-FFF2-40B4-BE49-F238E27FC236}">
              <a16:creationId xmlns:a16="http://schemas.microsoft.com/office/drawing/2014/main" id="{EA7EB65D-B272-4AB3-9416-423BDBED58B7}"/>
            </a:ext>
          </a:extLst>
        </xdr:cNvPr>
        <xdr:cNvCxnSpPr/>
      </xdr:nvCxnSpPr>
      <xdr:spPr>
        <a:xfrm>
          <a:off x="20149945" y="407451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2249</xdr:row>
      <xdr:rowOff>70817</xdr:rowOff>
    </xdr:from>
    <xdr:to>
      <xdr:col>11</xdr:col>
      <xdr:colOff>195070</xdr:colOff>
      <xdr:row>2251</xdr:row>
      <xdr:rowOff>76845</xdr:rowOff>
    </xdr:to>
    <xdr:cxnSp macro="_xll.PtreeEvent_ObjectClick">
      <xdr:nvCxnSpPr>
        <xdr:cNvPr id="4462" name="PTObj_DBranchDLine_1_1114">
          <a:extLst>
            <a:ext uri="{FF2B5EF4-FFF2-40B4-BE49-F238E27FC236}">
              <a16:creationId xmlns:a16="http://schemas.microsoft.com/office/drawing/2014/main" id="{C015E791-0019-4E15-B7D8-CCE8BD89FAF4}"/>
            </a:ext>
          </a:extLst>
        </xdr:cNvPr>
        <xdr:cNvCxnSpPr/>
      </xdr:nvCxnSpPr>
      <xdr:spPr>
        <a:xfrm>
          <a:off x="19997545" y="4070835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2249</xdr:row>
      <xdr:rowOff>73025</xdr:rowOff>
    </xdr:from>
    <xdr:to>
      <xdr:col>10</xdr:col>
      <xdr:colOff>1388870</xdr:colOff>
      <xdr:row>2249</xdr:row>
      <xdr:rowOff>73025</xdr:rowOff>
    </xdr:to>
    <xdr:cxnSp macro="_xll.PtreeEvent_ObjectClick">
      <xdr:nvCxnSpPr>
        <xdr:cNvPr id="4459" name="PTObj_DBranchHLine_1_1113">
          <a:extLst>
            <a:ext uri="{FF2B5EF4-FFF2-40B4-BE49-F238E27FC236}">
              <a16:creationId xmlns:a16="http://schemas.microsoft.com/office/drawing/2014/main" id="{C835C3A4-D4DF-4EB8-BA5F-BCF8BC72E390}"/>
            </a:ext>
          </a:extLst>
        </xdr:cNvPr>
        <xdr:cNvCxnSpPr/>
      </xdr:nvCxnSpPr>
      <xdr:spPr>
        <a:xfrm>
          <a:off x="18730720" y="407085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2247</xdr:row>
      <xdr:rowOff>68883</xdr:rowOff>
    </xdr:from>
    <xdr:to>
      <xdr:col>10</xdr:col>
      <xdr:colOff>204595</xdr:colOff>
      <xdr:row>2249</xdr:row>
      <xdr:rowOff>73025</xdr:rowOff>
    </xdr:to>
    <xdr:cxnSp macro="_xll.PtreeEvent_ObjectClick">
      <xdr:nvCxnSpPr>
        <xdr:cNvPr id="4458" name="PTObj_DBranchDLine_1_1113">
          <a:extLst>
            <a:ext uri="{FF2B5EF4-FFF2-40B4-BE49-F238E27FC236}">
              <a16:creationId xmlns:a16="http://schemas.microsoft.com/office/drawing/2014/main" id="{EEEB44E9-8A17-41FD-BD2B-1F13AF5EE173}"/>
            </a:ext>
          </a:extLst>
        </xdr:cNvPr>
        <xdr:cNvCxnSpPr/>
      </xdr:nvCxnSpPr>
      <xdr:spPr>
        <a:xfrm>
          <a:off x="18578320" y="4067197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2247</xdr:row>
      <xdr:rowOff>69205</xdr:rowOff>
    </xdr:from>
    <xdr:to>
      <xdr:col>9</xdr:col>
      <xdr:colOff>1392681</xdr:colOff>
      <xdr:row>2247</xdr:row>
      <xdr:rowOff>69205</xdr:rowOff>
    </xdr:to>
    <xdr:cxnSp macro="_xll.PtreeEvent_ObjectClick">
      <xdr:nvCxnSpPr>
        <xdr:cNvPr id="4455" name="PTObj_DBranchHLine_1_1112">
          <a:extLst>
            <a:ext uri="{FF2B5EF4-FFF2-40B4-BE49-F238E27FC236}">
              <a16:creationId xmlns:a16="http://schemas.microsoft.com/office/drawing/2014/main" id="{E53B59BF-E209-475E-9C82-5F9B16C28A3C}"/>
            </a:ext>
          </a:extLst>
        </xdr:cNvPr>
        <xdr:cNvCxnSpPr/>
      </xdr:nvCxnSpPr>
      <xdr:spPr>
        <a:xfrm>
          <a:off x="17306734" y="406720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2245</xdr:row>
      <xdr:rowOff>63153</xdr:rowOff>
    </xdr:from>
    <xdr:to>
      <xdr:col>9</xdr:col>
      <xdr:colOff>209359</xdr:colOff>
      <xdr:row>2247</xdr:row>
      <xdr:rowOff>69205</xdr:rowOff>
    </xdr:to>
    <xdr:cxnSp macro="_xll.PtreeEvent_ObjectClick">
      <xdr:nvCxnSpPr>
        <xdr:cNvPr id="4454" name="PTObj_DBranchDLine_1_1112">
          <a:extLst>
            <a:ext uri="{FF2B5EF4-FFF2-40B4-BE49-F238E27FC236}">
              <a16:creationId xmlns:a16="http://schemas.microsoft.com/office/drawing/2014/main" id="{CE23198E-8E1A-4DA4-9368-36A4129355F6}"/>
            </a:ext>
          </a:extLst>
        </xdr:cNvPr>
        <xdr:cNvCxnSpPr/>
      </xdr:nvCxnSpPr>
      <xdr:spPr>
        <a:xfrm>
          <a:off x="17154334" y="4063520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2245</xdr:row>
      <xdr:rowOff>65410</xdr:rowOff>
    </xdr:from>
    <xdr:to>
      <xdr:col>8</xdr:col>
      <xdr:colOff>1398397</xdr:colOff>
      <xdr:row>2245</xdr:row>
      <xdr:rowOff>65410</xdr:rowOff>
    </xdr:to>
    <xdr:cxnSp macro="_xll.PtreeEvent_ObjectClick">
      <xdr:nvCxnSpPr>
        <xdr:cNvPr id="4451" name="PTObj_DBranchHLine_1_1111">
          <a:extLst>
            <a:ext uri="{FF2B5EF4-FFF2-40B4-BE49-F238E27FC236}">
              <a16:creationId xmlns:a16="http://schemas.microsoft.com/office/drawing/2014/main" id="{7D3CCE70-1616-402C-98AF-FD3399ED301D}"/>
            </a:ext>
          </a:extLst>
        </xdr:cNvPr>
        <xdr:cNvCxnSpPr/>
      </xdr:nvCxnSpPr>
      <xdr:spPr>
        <a:xfrm>
          <a:off x="15884652" y="406354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2245</xdr:row>
      <xdr:rowOff>65410</xdr:rowOff>
    </xdr:from>
    <xdr:to>
      <xdr:col>8</xdr:col>
      <xdr:colOff>216027</xdr:colOff>
      <xdr:row>2253</xdr:row>
      <xdr:rowOff>75580</xdr:rowOff>
    </xdr:to>
    <xdr:cxnSp macro="_xll.PtreeEvent_ObjectClick">
      <xdr:nvCxnSpPr>
        <xdr:cNvPr id="4450" name="PTObj_DBranchDLine_1_1111">
          <a:extLst>
            <a:ext uri="{FF2B5EF4-FFF2-40B4-BE49-F238E27FC236}">
              <a16:creationId xmlns:a16="http://schemas.microsoft.com/office/drawing/2014/main" id="{A9F78061-7B38-4D75-A773-65279EC664C7}"/>
            </a:ext>
          </a:extLst>
        </xdr:cNvPr>
        <xdr:cNvCxnSpPr/>
      </xdr:nvCxnSpPr>
      <xdr:spPr>
        <a:xfrm flipV="1">
          <a:off x="15732252" y="4063542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2253</xdr:row>
      <xdr:rowOff>80640</xdr:rowOff>
    </xdr:from>
    <xdr:to>
      <xdr:col>7</xdr:col>
      <xdr:colOff>1402207</xdr:colOff>
      <xdr:row>2253</xdr:row>
      <xdr:rowOff>80640</xdr:rowOff>
    </xdr:to>
    <xdr:cxnSp macro="_xll.PtreeEvent_ObjectClick">
      <xdr:nvCxnSpPr>
        <xdr:cNvPr id="4447" name="PTObj_DBranchHLine_1_1115">
          <a:extLst>
            <a:ext uri="{FF2B5EF4-FFF2-40B4-BE49-F238E27FC236}">
              <a16:creationId xmlns:a16="http://schemas.microsoft.com/office/drawing/2014/main" id="{4B24642C-8BBC-416C-90C0-30AF277EE9D3}"/>
            </a:ext>
          </a:extLst>
        </xdr:cNvPr>
        <xdr:cNvCxnSpPr/>
      </xdr:nvCxnSpPr>
      <xdr:spPr>
        <a:xfrm>
          <a:off x="14460665" y="407817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2243</xdr:row>
      <xdr:rowOff>56530</xdr:rowOff>
    </xdr:from>
    <xdr:to>
      <xdr:col>7</xdr:col>
      <xdr:colOff>220790</xdr:colOff>
      <xdr:row>2253</xdr:row>
      <xdr:rowOff>80640</xdr:rowOff>
    </xdr:to>
    <xdr:cxnSp macro="_xll.PtreeEvent_ObjectClick">
      <xdr:nvCxnSpPr>
        <xdr:cNvPr id="4446" name="PTObj_DBranchDLine_1_1115">
          <a:extLst>
            <a:ext uri="{FF2B5EF4-FFF2-40B4-BE49-F238E27FC236}">
              <a16:creationId xmlns:a16="http://schemas.microsoft.com/office/drawing/2014/main" id="{77F10EF1-6291-42FF-825E-B321C1EC9BA8}"/>
            </a:ext>
          </a:extLst>
        </xdr:cNvPr>
        <xdr:cNvCxnSpPr/>
      </xdr:nvCxnSpPr>
      <xdr:spPr>
        <a:xfrm>
          <a:off x="14308265" y="405983455"/>
          <a:ext cx="152400" cy="1833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2241</xdr:row>
      <xdr:rowOff>57795</xdr:rowOff>
    </xdr:from>
    <xdr:to>
      <xdr:col>11</xdr:col>
      <xdr:colOff>1394589</xdr:colOff>
      <xdr:row>2241</xdr:row>
      <xdr:rowOff>57795</xdr:rowOff>
    </xdr:to>
    <xdr:cxnSp macro="_xll.PtreeEvent_ObjectClick">
      <xdr:nvCxnSpPr>
        <xdr:cNvPr id="4443" name="PTObj_DBranchHLine_1_1109">
          <a:extLst>
            <a:ext uri="{FF2B5EF4-FFF2-40B4-BE49-F238E27FC236}">
              <a16:creationId xmlns:a16="http://schemas.microsoft.com/office/drawing/2014/main" id="{E8206819-57C3-427B-BE31-51EA3BFA6179}"/>
            </a:ext>
          </a:extLst>
        </xdr:cNvPr>
        <xdr:cNvCxnSpPr/>
      </xdr:nvCxnSpPr>
      <xdr:spPr>
        <a:xfrm>
          <a:off x="20149945" y="4056227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2239</xdr:row>
      <xdr:rowOff>41300</xdr:rowOff>
    </xdr:from>
    <xdr:to>
      <xdr:col>11</xdr:col>
      <xdr:colOff>195070</xdr:colOff>
      <xdr:row>2241</xdr:row>
      <xdr:rowOff>57795</xdr:rowOff>
    </xdr:to>
    <xdr:cxnSp macro="_xll.PtreeEvent_ObjectClick">
      <xdr:nvCxnSpPr>
        <xdr:cNvPr id="4442" name="PTObj_DBranchDLine_1_1109">
          <a:extLst>
            <a:ext uri="{FF2B5EF4-FFF2-40B4-BE49-F238E27FC236}">
              <a16:creationId xmlns:a16="http://schemas.microsoft.com/office/drawing/2014/main" id="{73A7B567-E514-45BD-98EF-FDB67CB2E2D4}"/>
            </a:ext>
          </a:extLst>
        </xdr:cNvPr>
        <xdr:cNvCxnSpPr/>
      </xdr:nvCxnSpPr>
      <xdr:spPr>
        <a:xfrm>
          <a:off x="19997545" y="4052443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2239</xdr:row>
      <xdr:rowOff>53975</xdr:rowOff>
    </xdr:from>
    <xdr:to>
      <xdr:col>10</xdr:col>
      <xdr:colOff>1388870</xdr:colOff>
      <xdr:row>2239</xdr:row>
      <xdr:rowOff>53975</xdr:rowOff>
    </xdr:to>
    <xdr:cxnSp macro="_xll.PtreeEvent_ObjectClick">
      <xdr:nvCxnSpPr>
        <xdr:cNvPr id="4439" name="PTObj_DBranchHLine_1_1108">
          <a:extLst>
            <a:ext uri="{FF2B5EF4-FFF2-40B4-BE49-F238E27FC236}">
              <a16:creationId xmlns:a16="http://schemas.microsoft.com/office/drawing/2014/main" id="{6AFF8C3E-CAAC-467F-B0FB-9823A59876F2}"/>
            </a:ext>
          </a:extLst>
        </xdr:cNvPr>
        <xdr:cNvCxnSpPr/>
      </xdr:nvCxnSpPr>
      <xdr:spPr>
        <a:xfrm>
          <a:off x="18730720" y="405257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2237</xdr:row>
      <xdr:rowOff>38447</xdr:rowOff>
    </xdr:from>
    <xdr:to>
      <xdr:col>10</xdr:col>
      <xdr:colOff>204595</xdr:colOff>
      <xdr:row>2239</xdr:row>
      <xdr:rowOff>53975</xdr:rowOff>
    </xdr:to>
    <xdr:cxnSp macro="_xll.PtreeEvent_ObjectClick">
      <xdr:nvCxnSpPr>
        <xdr:cNvPr id="4438" name="PTObj_DBranchDLine_1_1108">
          <a:extLst>
            <a:ext uri="{FF2B5EF4-FFF2-40B4-BE49-F238E27FC236}">
              <a16:creationId xmlns:a16="http://schemas.microsoft.com/office/drawing/2014/main" id="{2C29861E-D039-4F97-9FD9-BBBA1C84727F}"/>
            </a:ext>
          </a:extLst>
        </xdr:cNvPr>
        <xdr:cNvCxnSpPr/>
      </xdr:nvCxnSpPr>
      <xdr:spPr>
        <a:xfrm>
          <a:off x="18578320" y="4048795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2237</xdr:row>
      <xdr:rowOff>50155</xdr:rowOff>
    </xdr:from>
    <xdr:to>
      <xdr:col>9</xdr:col>
      <xdr:colOff>1392681</xdr:colOff>
      <xdr:row>2237</xdr:row>
      <xdr:rowOff>50155</xdr:rowOff>
    </xdr:to>
    <xdr:cxnSp macro="_xll.PtreeEvent_ObjectClick">
      <xdr:nvCxnSpPr>
        <xdr:cNvPr id="4435" name="PTObj_DBranchHLine_1_1107">
          <a:extLst>
            <a:ext uri="{FF2B5EF4-FFF2-40B4-BE49-F238E27FC236}">
              <a16:creationId xmlns:a16="http://schemas.microsoft.com/office/drawing/2014/main" id="{F8BE10F4-049B-4AB3-AC57-4373306052A2}"/>
            </a:ext>
          </a:extLst>
        </xdr:cNvPr>
        <xdr:cNvCxnSpPr/>
      </xdr:nvCxnSpPr>
      <xdr:spPr>
        <a:xfrm>
          <a:off x="17306734" y="404891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2235</xdr:row>
      <xdr:rowOff>37455</xdr:rowOff>
    </xdr:from>
    <xdr:to>
      <xdr:col>9</xdr:col>
      <xdr:colOff>209359</xdr:colOff>
      <xdr:row>2237</xdr:row>
      <xdr:rowOff>50155</xdr:rowOff>
    </xdr:to>
    <xdr:cxnSp macro="_xll.PtreeEvent_ObjectClick">
      <xdr:nvCxnSpPr>
        <xdr:cNvPr id="4434" name="PTObj_DBranchDLine_1_1107">
          <a:extLst>
            <a:ext uri="{FF2B5EF4-FFF2-40B4-BE49-F238E27FC236}">
              <a16:creationId xmlns:a16="http://schemas.microsoft.com/office/drawing/2014/main" id="{67A45D8A-0AF2-4642-86F7-6F835390BB42}"/>
            </a:ext>
          </a:extLst>
        </xdr:cNvPr>
        <xdr:cNvCxnSpPr/>
      </xdr:nvCxnSpPr>
      <xdr:spPr>
        <a:xfrm>
          <a:off x="17154334" y="404516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2235</xdr:row>
      <xdr:rowOff>46360</xdr:rowOff>
    </xdr:from>
    <xdr:to>
      <xdr:col>8</xdr:col>
      <xdr:colOff>1398397</xdr:colOff>
      <xdr:row>2235</xdr:row>
      <xdr:rowOff>46360</xdr:rowOff>
    </xdr:to>
    <xdr:cxnSp macro="_xll.PtreeEvent_ObjectClick">
      <xdr:nvCxnSpPr>
        <xdr:cNvPr id="4431" name="PTObj_DBranchHLine_1_1106">
          <a:extLst>
            <a:ext uri="{FF2B5EF4-FFF2-40B4-BE49-F238E27FC236}">
              <a16:creationId xmlns:a16="http://schemas.microsoft.com/office/drawing/2014/main" id="{14619A67-8876-4DDB-B357-A5784F81EF84}"/>
            </a:ext>
          </a:extLst>
        </xdr:cNvPr>
        <xdr:cNvCxnSpPr/>
      </xdr:nvCxnSpPr>
      <xdr:spPr>
        <a:xfrm>
          <a:off x="15888463" y="404525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2233</xdr:row>
      <xdr:rowOff>37480</xdr:rowOff>
    </xdr:from>
    <xdr:to>
      <xdr:col>8</xdr:col>
      <xdr:colOff>219838</xdr:colOff>
      <xdr:row>2235</xdr:row>
      <xdr:rowOff>46360</xdr:rowOff>
    </xdr:to>
    <xdr:cxnSp macro="_xll.PtreeEvent_ObjectClick">
      <xdr:nvCxnSpPr>
        <xdr:cNvPr id="4430" name="PTObj_DBranchDLine_1_1106">
          <a:extLst>
            <a:ext uri="{FF2B5EF4-FFF2-40B4-BE49-F238E27FC236}">
              <a16:creationId xmlns:a16="http://schemas.microsoft.com/office/drawing/2014/main" id="{E8D4C8CE-E59A-4CB1-9814-C3972C5CE5FD}"/>
            </a:ext>
          </a:extLst>
        </xdr:cNvPr>
        <xdr:cNvCxnSpPr/>
      </xdr:nvCxnSpPr>
      <xdr:spPr>
        <a:xfrm>
          <a:off x="15736063" y="4041546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2231</xdr:row>
      <xdr:rowOff>38745</xdr:rowOff>
    </xdr:from>
    <xdr:to>
      <xdr:col>11</xdr:col>
      <xdr:colOff>1386967</xdr:colOff>
      <xdr:row>2231</xdr:row>
      <xdr:rowOff>38745</xdr:rowOff>
    </xdr:to>
    <xdr:cxnSp macro="_xll.PtreeEvent_ObjectClick">
      <xdr:nvCxnSpPr>
        <xdr:cNvPr id="4427" name="PTObj_DBranchHLine_1_1104">
          <a:extLst>
            <a:ext uri="{FF2B5EF4-FFF2-40B4-BE49-F238E27FC236}">
              <a16:creationId xmlns:a16="http://schemas.microsoft.com/office/drawing/2014/main" id="{78E2DB05-868C-4FBE-9073-B066D4142AF8}"/>
            </a:ext>
          </a:extLst>
        </xdr:cNvPr>
        <xdr:cNvCxnSpPr/>
      </xdr:nvCxnSpPr>
      <xdr:spPr>
        <a:xfrm>
          <a:off x="20149945" y="403793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2229</xdr:row>
      <xdr:rowOff>32717</xdr:rowOff>
    </xdr:from>
    <xdr:to>
      <xdr:col>11</xdr:col>
      <xdr:colOff>195070</xdr:colOff>
      <xdr:row>2231</xdr:row>
      <xdr:rowOff>38745</xdr:rowOff>
    </xdr:to>
    <xdr:cxnSp macro="_xll.PtreeEvent_ObjectClick">
      <xdr:nvCxnSpPr>
        <xdr:cNvPr id="4426" name="PTObj_DBranchDLine_1_1104">
          <a:extLst>
            <a:ext uri="{FF2B5EF4-FFF2-40B4-BE49-F238E27FC236}">
              <a16:creationId xmlns:a16="http://schemas.microsoft.com/office/drawing/2014/main" id="{C96AA449-33CD-4062-8E89-E6B1D6E02945}"/>
            </a:ext>
          </a:extLst>
        </xdr:cNvPr>
        <xdr:cNvCxnSpPr/>
      </xdr:nvCxnSpPr>
      <xdr:spPr>
        <a:xfrm>
          <a:off x="19997545" y="4034259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2229</xdr:row>
      <xdr:rowOff>34925</xdr:rowOff>
    </xdr:from>
    <xdr:to>
      <xdr:col>10</xdr:col>
      <xdr:colOff>1388870</xdr:colOff>
      <xdr:row>2229</xdr:row>
      <xdr:rowOff>34925</xdr:rowOff>
    </xdr:to>
    <xdr:cxnSp macro="_xll.PtreeEvent_ObjectClick">
      <xdr:nvCxnSpPr>
        <xdr:cNvPr id="4423" name="PTObj_DBranchHLine_1_1103">
          <a:extLst>
            <a:ext uri="{FF2B5EF4-FFF2-40B4-BE49-F238E27FC236}">
              <a16:creationId xmlns:a16="http://schemas.microsoft.com/office/drawing/2014/main" id="{3D93D7B3-A654-4083-8ADF-95187632487B}"/>
            </a:ext>
          </a:extLst>
        </xdr:cNvPr>
        <xdr:cNvCxnSpPr/>
      </xdr:nvCxnSpPr>
      <xdr:spPr>
        <a:xfrm>
          <a:off x="18730720" y="403428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2227</xdr:row>
      <xdr:rowOff>30783</xdr:rowOff>
    </xdr:from>
    <xdr:to>
      <xdr:col>10</xdr:col>
      <xdr:colOff>204595</xdr:colOff>
      <xdr:row>2229</xdr:row>
      <xdr:rowOff>34925</xdr:rowOff>
    </xdr:to>
    <xdr:cxnSp macro="_xll.PtreeEvent_ObjectClick">
      <xdr:nvCxnSpPr>
        <xdr:cNvPr id="4422" name="PTObj_DBranchDLine_1_1103">
          <a:extLst>
            <a:ext uri="{FF2B5EF4-FFF2-40B4-BE49-F238E27FC236}">
              <a16:creationId xmlns:a16="http://schemas.microsoft.com/office/drawing/2014/main" id="{40900A4D-E94D-4A37-9B73-30565C7859D5}"/>
            </a:ext>
          </a:extLst>
        </xdr:cNvPr>
        <xdr:cNvCxnSpPr/>
      </xdr:nvCxnSpPr>
      <xdr:spPr>
        <a:xfrm>
          <a:off x="18578320" y="4030621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2227</xdr:row>
      <xdr:rowOff>31105</xdr:rowOff>
    </xdr:from>
    <xdr:to>
      <xdr:col>9</xdr:col>
      <xdr:colOff>1392681</xdr:colOff>
      <xdr:row>2227</xdr:row>
      <xdr:rowOff>31105</xdr:rowOff>
    </xdr:to>
    <xdr:cxnSp macro="_xll.PtreeEvent_ObjectClick">
      <xdr:nvCxnSpPr>
        <xdr:cNvPr id="4419" name="PTObj_DBranchHLine_1_1102">
          <a:extLst>
            <a:ext uri="{FF2B5EF4-FFF2-40B4-BE49-F238E27FC236}">
              <a16:creationId xmlns:a16="http://schemas.microsoft.com/office/drawing/2014/main" id="{4ACBB6A3-4563-450A-A947-B88FEB13B6CD}"/>
            </a:ext>
          </a:extLst>
        </xdr:cNvPr>
        <xdr:cNvCxnSpPr/>
      </xdr:nvCxnSpPr>
      <xdr:spPr>
        <a:xfrm>
          <a:off x="17306734" y="403062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2225</xdr:row>
      <xdr:rowOff>25053</xdr:rowOff>
    </xdr:from>
    <xdr:to>
      <xdr:col>9</xdr:col>
      <xdr:colOff>209359</xdr:colOff>
      <xdr:row>2227</xdr:row>
      <xdr:rowOff>31105</xdr:rowOff>
    </xdr:to>
    <xdr:cxnSp macro="_xll.PtreeEvent_ObjectClick">
      <xdr:nvCxnSpPr>
        <xdr:cNvPr id="4418" name="PTObj_DBranchDLine_1_1102">
          <a:extLst>
            <a:ext uri="{FF2B5EF4-FFF2-40B4-BE49-F238E27FC236}">
              <a16:creationId xmlns:a16="http://schemas.microsoft.com/office/drawing/2014/main" id="{C513BD27-EC3E-48CA-9B59-9006F206AE2E}"/>
            </a:ext>
          </a:extLst>
        </xdr:cNvPr>
        <xdr:cNvCxnSpPr/>
      </xdr:nvCxnSpPr>
      <xdr:spPr>
        <a:xfrm>
          <a:off x="17154334" y="4026944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2225</xdr:row>
      <xdr:rowOff>27310</xdr:rowOff>
    </xdr:from>
    <xdr:to>
      <xdr:col>8</xdr:col>
      <xdr:colOff>1398397</xdr:colOff>
      <xdr:row>2225</xdr:row>
      <xdr:rowOff>27310</xdr:rowOff>
    </xdr:to>
    <xdr:cxnSp macro="_xll.PtreeEvent_ObjectClick">
      <xdr:nvCxnSpPr>
        <xdr:cNvPr id="4415" name="PTObj_DBranchHLine_1_1101">
          <a:extLst>
            <a:ext uri="{FF2B5EF4-FFF2-40B4-BE49-F238E27FC236}">
              <a16:creationId xmlns:a16="http://schemas.microsoft.com/office/drawing/2014/main" id="{BD50FED9-1E8A-49B6-82E9-83D59AF0A283}"/>
            </a:ext>
          </a:extLst>
        </xdr:cNvPr>
        <xdr:cNvCxnSpPr/>
      </xdr:nvCxnSpPr>
      <xdr:spPr>
        <a:xfrm>
          <a:off x="15884652" y="402696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2225</xdr:row>
      <xdr:rowOff>27310</xdr:rowOff>
    </xdr:from>
    <xdr:to>
      <xdr:col>8</xdr:col>
      <xdr:colOff>216027</xdr:colOff>
      <xdr:row>2233</xdr:row>
      <xdr:rowOff>37480</xdr:rowOff>
    </xdr:to>
    <xdr:cxnSp macro="_xll.PtreeEvent_ObjectClick">
      <xdr:nvCxnSpPr>
        <xdr:cNvPr id="4414" name="PTObj_DBranchDLine_1_1101">
          <a:extLst>
            <a:ext uri="{FF2B5EF4-FFF2-40B4-BE49-F238E27FC236}">
              <a16:creationId xmlns:a16="http://schemas.microsoft.com/office/drawing/2014/main" id="{0B9363FB-3D95-4D41-9735-7D4AFEEC7CCA}"/>
            </a:ext>
          </a:extLst>
        </xdr:cNvPr>
        <xdr:cNvCxnSpPr/>
      </xdr:nvCxnSpPr>
      <xdr:spPr>
        <a:xfrm flipV="1">
          <a:off x="15732252" y="4026966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2233</xdr:row>
      <xdr:rowOff>42540</xdr:rowOff>
    </xdr:from>
    <xdr:to>
      <xdr:col>7</xdr:col>
      <xdr:colOff>1402207</xdr:colOff>
      <xdr:row>2233</xdr:row>
      <xdr:rowOff>42540</xdr:rowOff>
    </xdr:to>
    <xdr:cxnSp macro="_xll.PtreeEvent_ObjectClick">
      <xdr:nvCxnSpPr>
        <xdr:cNvPr id="4411" name="PTObj_DBranchHLine_1_1105">
          <a:extLst>
            <a:ext uri="{FF2B5EF4-FFF2-40B4-BE49-F238E27FC236}">
              <a16:creationId xmlns:a16="http://schemas.microsoft.com/office/drawing/2014/main" id="{A58C87D8-FC71-4777-9906-1855445018C3}"/>
            </a:ext>
          </a:extLst>
        </xdr:cNvPr>
        <xdr:cNvCxnSpPr/>
      </xdr:nvCxnSpPr>
      <xdr:spPr>
        <a:xfrm>
          <a:off x="14462570" y="4041597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2233</xdr:row>
      <xdr:rowOff>42540</xdr:rowOff>
    </xdr:from>
    <xdr:to>
      <xdr:col>7</xdr:col>
      <xdr:colOff>222695</xdr:colOff>
      <xdr:row>2243</xdr:row>
      <xdr:rowOff>56530</xdr:rowOff>
    </xdr:to>
    <xdr:cxnSp macro="_xll.PtreeEvent_ObjectClick">
      <xdr:nvCxnSpPr>
        <xdr:cNvPr id="4410" name="PTObj_DBranchDLine_1_1105">
          <a:extLst>
            <a:ext uri="{FF2B5EF4-FFF2-40B4-BE49-F238E27FC236}">
              <a16:creationId xmlns:a16="http://schemas.microsoft.com/office/drawing/2014/main" id="{B0A0BB51-8C42-4F2F-A278-8BDAE1E461BF}"/>
            </a:ext>
          </a:extLst>
        </xdr:cNvPr>
        <xdr:cNvCxnSpPr/>
      </xdr:nvCxnSpPr>
      <xdr:spPr>
        <a:xfrm flipV="1">
          <a:off x="14310170" y="4041597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2243</xdr:row>
      <xdr:rowOff>61590</xdr:rowOff>
    </xdr:from>
    <xdr:to>
      <xdr:col>6</xdr:col>
      <xdr:colOff>1407922</xdr:colOff>
      <xdr:row>2243</xdr:row>
      <xdr:rowOff>61590</xdr:rowOff>
    </xdr:to>
    <xdr:cxnSp macro="_xll.PtreeEvent_ObjectClick">
      <xdr:nvCxnSpPr>
        <xdr:cNvPr id="4407" name="PTObj_DBranchHLine_1_1110">
          <a:extLst>
            <a:ext uri="{FF2B5EF4-FFF2-40B4-BE49-F238E27FC236}">
              <a16:creationId xmlns:a16="http://schemas.microsoft.com/office/drawing/2014/main" id="{3E468CEC-FC92-4E8A-A247-2B7672CCE793}"/>
            </a:ext>
          </a:extLst>
        </xdr:cNvPr>
        <xdr:cNvCxnSpPr/>
      </xdr:nvCxnSpPr>
      <xdr:spPr>
        <a:xfrm>
          <a:off x="13036677" y="405988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2223</xdr:row>
      <xdr:rowOff>18430</xdr:rowOff>
    </xdr:from>
    <xdr:to>
      <xdr:col>6</xdr:col>
      <xdr:colOff>225552</xdr:colOff>
      <xdr:row>2243</xdr:row>
      <xdr:rowOff>61590</xdr:rowOff>
    </xdr:to>
    <xdr:cxnSp macro="_xll.PtreeEvent_ObjectClick">
      <xdr:nvCxnSpPr>
        <xdr:cNvPr id="4406" name="PTObj_DBranchDLine_1_1110">
          <a:extLst>
            <a:ext uri="{FF2B5EF4-FFF2-40B4-BE49-F238E27FC236}">
              <a16:creationId xmlns:a16="http://schemas.microsoft.com/office/drawing/2014/main" id="{267755F4-DB6D-4789-AFCE-532810ABC075}"/>
            </a:ext>
          </a:extLst>
        </xdr:cNvPr>
        <xdr:cNvCxnSpPr/>
      </xdr:nvCxnSpPr>
      <xdr:spPr>
        <a:xfrm>
          <a:off x="12884276" y="402325855"/>
          <a:ext cx="152401" cy="36626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2221</xdr:row>
      <xdr:rowOff>19695</xdr:rowOff>
    </xdr:from>
    <xdr:to>
      <xdr:col>11</xdr:col>
      <xdr:colOff>1394589</xdr:colOff>
      <xdr:row>2221</xdr:row>
      <xdr:rowOff>19695</xdr:rowOff>
    </xdr:to>
    <xdr:cxnSp macro="_xll.PtreeEvent_ObjectClick">
      <xdr:nvCxnSpPr>
        <xdr:cNvPr id="4403" name="PTObj_DBranchHLine_1_1099">
          <a:extLst>
            <a:ext uri="{FF2B5EF4-FFF2-40B4-BE49-F238E27FC236}">
              <a16:creationId xmlns:a16="http://schemas.microsoft.com/office/drawing/2014/main" id="{6D8D596F-47A9-450B-8204-782055CCC499}"/>
            </a:ext>
          </a:extLst>
        </xdr:cNvPr>
        <xdr:cNvCxnSpPr/>
      </xdr:nvCxnSpPr>
      <xdr:spPr>
        <a:xfrm>
          <a:off x="20149945" y="4019651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2219</xdr:row>
      <xdr:rowOff>3200</xdr:rowOff>
    </xdr:from>
    <xdr:to>
      <xdr:col>11</xdr:col>
      <xdr:colOff>195070</xdr:colOff>
      <xdr:row>2221</xdr:row>
      <xdr:rowOff>19695</xdr:rowOff>
    </xdr:to>
    <xdr:cxnSp macro="_xll.PtreeEvent_ObjectClick">
      <xdr:nvCxnSpPr>
        <xdr:cNvPr id="4402" name="PTObj_DBranchDLine_1_1099">
          <a:extLst>
            <a:ext uri="{FF2B5EF4-FFF2-40B4-BE49-F238E27FC236}">
              <a16:creationId xmlns:a16="http://schemas.microsoft.com/office/drawing/2014/main" id="{66D03711-5BA6-4CCD-9DB7-5632AB772E5C}"/>
            </a:ext>
          </a:extLst>
        </xdr:cNvPr>
        <xdr:cNvCxnSpPr/>
      </xdr:nvCxnSpPr>
      <xdr:spPr>
        <a:xfrm>
          <a:off x="19997545" y="4015867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2219</xdr:row>
      <xdr:rowOff>15875</xdr:rowOff>
    </xdr:from>
    <xdr:to>
      <xdr:col>10</xdr:col>
      <xdr:colOff>1388870</xdr:colOff>
      <xdr:row>2219</xdr:row>
      <xdr:rowOff>15875</xdr:rowOff>
    </xdr:to>
    <xdr:cxnSp macro="_xll.PtreeEvent_ObjectClick">
      <xdr:nvCxnSpPr>
        <xdr:cNvPr id="4399" name="PTObj_DBranchHLine_1_1098">
          <a:extLst>
            <a:ext uri="{FF2B5EF4-FFF2-40B4-BE49-F238E27FC236}">
              <a16:creationId xmlns:a16="http://schemas.microsoft.com/office/drawing/2014/main" id="{888D8DAD-A9B1-475F-AB9B-FB150FE4923F}"/>
            </a:ext>
          </a:extLst>
        </xdr:cNvPr>
        <xdr:cNvCxnSpPr/>
      </xdr:nvCxnSpPr>
      <xdr:spPr>
        <a:xfrm>
          <a:off x="18730720" y="401599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2217</xdr:row>
      <xdr:rowOff>347</xdr:rowOff>
    </xdr:from>
    <xdr:to>
      <xdr:col>10</xdr:col>
      <xdr:colOff>204595</xdr:colOff>
      <xdr:row>2219</xdr:row>
      <xdr:rowOff>15875</xdr:rowOff>
    </xdr:to>
    <xdr:cxnSp macro="_xll.PtreeEvent_ObjectClick">
      <xdr:nvCxnSpPr>
        <xdr:cNvPr id="4398" name="PTObj_DBranchDLine_1_1098">
          <a:extLst>
            <a:ext uri="{FF2B5EF4-FFF2-40B4-BE49-F238E27FC236}">
              <a16:creationId xmlns:a16="http://schemas.microsoft.com/office/drawing/2014/main" id="{9FA910AA-8694-46C2-8096-5B97F7449E3E}"/>
            </a:ext>
          </a:extLst>
        </xdr:cNvPr>
        <xdr:cNvCxnSpPr/>
      </xdr:nvCxnSpPr>
      <xdr:spPr>
        <a:xfrm>
          <a:off x="18578320" y="4012219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2217</xdr:row>
      <xdr:rowOff>12055</xdr:rowOff>
    </xdr:from>
    <xdr:to>
      <xdr:col>9</xdr:col>
      <xdr:colOff>1392681</xdr:colOff>
      <xdr:row>2217</xdr:row>
      <xdr:rowOff>12055</xdr:rowOff>
    </xdr:to>
    <xdr:cxnSp macro="_xll.PtreeEvent_ObjectClick">
      <xdr:nvCxnSpPr>
        <xdr:cNvPr id="4395" name="PTObj_DBranchHLine_1_1097">
          <a:extLst>
            <a:ext uri="{FF2B5EF4-FFF2-40B4-BE49-F238E27FC236}">
              <a16:creationId xmlns:a16="http://schemas.microsoft.com/office/drawing/2014/main" id="{0E2E4E8E-2CC8-44C9-B199-24F1AD5F272E}"/>
            </a:ext>
          </a:extLst>
        </xdr:cNvPr>
        <xdr:cNvCxnSpPr/>
      </xdr:nvCxnSpPr>
      <xdr:spPr>
        <a:xfrm>
          <a:off x="17306734" y="401233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2214</xdr:row>
      <xdr:rowOff>180330</xdr:rowOff>
    </xdr:from>
    <xdr:to>
      <xdr:col>9</xdr:col>
      <xdr:colOff>209359</xdr:colOff>
      <xdr:row>2217</xdr:row>
      <xdr:rowOff>12055</xdr:rowOff>
    </xdr:to>
    <xdr:cxnSp macro="_xll.PtreeEvent_ObjectClick">
      <xdr:nvCxnSpPr>
        <xdr:cNvPr id="4394" name="PTObj_DBranchDLine_1_1097">
          <a:extLst>
            <a:ext uri="{FF2B5EF4-FFF2-40B4-BE49-F238E27FC236}">
              <a16:creationId xmlns:a16="http://schemas.microsoft.com/office/drawing/2014/main" id="{F7DD19BE-9561-47FA-AE69-5E67B4426189}"/>
            </a:ext>
          </a:extLst>
        </xdr:cNvPr>
        <xdr:cNvCxnSpPr/>
      </xdr:nvCxnSpPr>
      <xdr:spPr>
        <a:xfrm>
          <a:off x="17154334" y="400858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2215</xdr:row>
      <xdr:rowOff>8260</xdr:rowOff>
    </xdr:from>
    <xdr:to>
      <xdr:col>8</xdr:col>
      <xdr:colOff>1398397</xdr:colOff>
      <xdr:row>2215</xdr:row>
      <xdr:rowOff>8260</xdr:rowOff>
    </xdr:to>
    <xdr:cxnSp macro="_xll.PtreeEvent_ObjectClick">
      <xdr:nvCxnSpPr>
        <xdr:cNvPr id="4391" name="PTObj_DBranchHLine_1_1096">
          <a:extLst>
            <a:ext uri="{FF2B5EF4-FFF2-40B4-BE49-F238E27FC236}">
              <a16:creationId xmlns:a16="http://schemas.microsoft.com/office/drawing/2014/main" id="{7320BA8D-0ED1-4CC9-8F7D-27E42F09FA89}"/>
            </a:ext>
          </a:extLst>
        </xdr:cNvPr>
        <xdr:cNvCxnSpPr/>
      </xdr:nvCxnSpPr>
      <xdr:spPr>
        <a:xfrm>
          <a:off x="15888463" y="400867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2212</xdr:row>
      <xdr:rowOff>180355</xdr:rowOff>
    </xdr:from>
    <xdr:to>
      <xdr:col>8</xdr:col>
      <xdr:colOff>219838</xdr:colOff>
      <xdr:row>2215</xdr:row>
      <xdr:rowOff>8260</xdr:rowOff>
    </xdr:to>
    <xdr:cxnSp macro="_xll.PtreeEvent_ObjectClick">
      <xdr:nvCxnSpPr>
        <xdr:cNvPr id="4390" name="PTObj_DBranchDLine_1_1096">
          <a:extLst>
            <a:ext uri="{FF2B5EF4-FFF2-40B4-BE49-F238E27FC236}">
              <a16:creationId xmlns:a16="http://schemas.microsoft.com/office/drawing/2014/main" id="{68432138-C549-41B7-BC7B-3188B489B5EA}"/>
            </a:ext>
          </a:extLst>
        </xdr:cNvPr>
        <xdr:cNvCxnSpPr/>
      </xdr:nvCxnSpPr>
      <xdr:spPr>
        <a:xfrm>
          <a:off x="15736063" y="4004970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2211</xdr:row>
      <xdr:rowOff>645</xdr:rowOff>
    </xdr:from>
    <xdr:to>
      <xdr:col>11</xdr:col>
      <xdr:colOff>1386967</xdr:colOff>
      <xdr:row>2211</xdr:row>
      <xdr:rowOff>645</xdr:rowOff>
    </xdr:to>
    <xdr:cxnSp macro="_xll.PtreeEvent_ObjectClick">
      <xdr:nvCxnSpPr>
        <xdr:cNvPr id="4387" name="PTObj_DBranchHLine_1_1094">
          <a:extLst>
            <a:ext uri="{FF2B5EF4-FFF2-40B4-BE49-F238E27FC236}">
              <a16:creationId xmlns:a16="http://schemas.microsoft.com/office/drawing/2014/main" id="{6C21A6EC-8029-4CE8-AAE3-FAB80EE95114}"/>
            </a:ext>
          </a:extLst>
        </xdr:cNvPr>
        <xdr:cNvCxnSpPr/>
      </xdr:nvCxnSpPr>
      <xdr:spPr>
        <a:xfrm>
          <a:off x="20149945" y="400136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2208</xdr:row>
      <xdr:rowOff>175592</xdr:rowOff>
    </xdr:from>
    <xdr:to>
      <xdr:col>11</xdr:col>
      <xdr:colOff>195070</xdr:colOff>
      <xdr:row>2211</xdr:row>
      <xdr:rowOff>645</xdr:rowOff>
    </xdr:to>
    <xdr:cxnSp macro="_xll.PtreeEvent_ObjectClick">
      <xdr:nvCxnSpPr>
        <xdr:cNvPr id="4386" name="PTObj_DBranchDLine_1_1094">
          <a:extLst>
            <a:ext uri="{FF2B5EF4-FFF2-40B4-BE49-F238E27FC236}">
              <a16:creationId xmlns:a16="http://schemas.microsoft.com/office/drawing/2014/main" id="{B08191C9-CE43-4A0C-A813-55CF6EB060FF}"/>
            </a:ext>
          </a:extLst>
        </xdr:cNvPr>
        <xdr:cNvCxnSpPr/>
      </xdr:nvCxnSpPr>
      <xdr:spPr>
        <a:xfrm>
          <a:off x="19997545" y="3997683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2208</xdr:row>
      <xdr:rowOff>177800</xdr:rowOff>
    </xdr:from>
    <xdr:to>
      <xdr:col>10</xdr:col>
      <xdr:colOff>1388870</xdr:colOff>
      <xdr:row>2208</xdr:row>
      <xdr:rowOff>177800</xdr:rowOff>
    </xdr:to>
    <xdr:cxnSp macro="_xll.PtreeEvent_ObjectClick">
      <xdr:nvCxnSpPr>
        <xdr:cNvPr id="4383" name="PTObj_DBranchHLine_1_1093">
          <a:extLst>
            <a:ext uri="{FF2B5EF4-FFF2-40B4-BE49-F238E27FC236}">
              <a16:creationId xmlns:a16="http://schemas.microsoft.com/office/drawing/2014/main" id="{C3E13B48-7936-490F-A6CD-8DF7AE7237D0}"/>
            </a:ext>
          </a:extLst>
        </xdr:cNvPr>
        <xdr:cNvCxnSpPr/>
      </xdr:nvCxnSpPr>
      <xdr:spPr>
        <a:xfrm>
          <a:off x="18730720" y="399770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2206</xdr:row>
      <xdr:rowOff>173658</xdr:rowOff>
    </xdr:from>
    <xdr:to>
      <xdr:col>10</xdr:col>
      <xdr:colOff>204595</xdr:colOff>
      <xdr:row>2208</xdr:row>
      <xdr:rowOff>177800</xdr:rowOff>
    </xdr:to>
    <xdr:cxnSp macro="_xll.PtreeEvent_ObjectClick">
      <xdr:nvCxnSpPr>
        <xdr:cNvPr id="4382" name="PTObj_DBranchDLine_1_1093">
          <a:extLst>
            <a:ext uri="{FF2B5EF4-FFF2-40B4-BE49-F238E27FC236}">
              <a16:creationId xmlns:a16="http://schemas.microsoft.com/office/drawing/2014/main" id="{EA1BC313-5A74-4176-847A-337C53DB9309}"/>
            </a:ext>
          </a:extLst>
        </xdr:cNvPr>
        <xdr:cNvCxnSpPr/>
      </xdr:nvCxnSpPr>
      <xdr:spPr>
        <a:xfrm>
          <a:off x="18578320" y="3994045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2206</xdr:row>
      <xdr:rowOff>173980</xdr:rowOff>
    </xdr:from>
    <xdr:to>
      <xdr:col>9</xdr:col>
      <xdr:colOff>1392681</xdr:colOff>
      <xdr:row>2206</xdr:row>
      <xdr:rowOff>173980</xdr:rowOff>
    </xdr:to>
    <xdr:cxnSp macro="_xll.PtreeEvent_ObjectClick">
      <xdr:nvCxnSpPr>
        <xdr:cNvPr id="4379" name="PTObj_DBranchHLine_1_1092">
          <a:extLst>
            <a:ext uri="{FF2B5EF4-FFF2-40B4-BE49-F238E27FC236}">
              <a16:creationId xmlns:a16="http://schemas.microsoft.com/office/drawing/2014/main" id="{A0C9F40F-D3B4-48DB-8D9A-4640407E7357}"/>
            </a:ext>
          </a:extLst>
        </xdr:cNvPr>
        <xdr:cNvCxnSpPr/>
      </xdr:nvCxnSpPr>
      <xdr:spPr>
        <a:xfrm>
          <a:off x="17306734" y="399404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2204</xdr:row>
      <xdr:rowOff>167928</xdr:rowOff>
    </xdr:from>
    <xdr:to>
      <xdr:col>9</xdr:col>
      <xdr:colOff>209359</xdr:colOff>
      <xdr:row>2206</xdr:row>
      <xdr:rowOff>173980</xdr:rowOff>
    </xdr:to>
    <xdr:cxnSp macro="_xll.PtreeEvent_ObjectClick">
      <xdr:nvCxnSpPr>
        <xdr:cNvPr id="4378" name="PTObj_DBranchDLine_1_1092">
          <a:extLst>
            <a:ext uri="{FF2B5EF4-FFF2-40B4-BE49-F238E27FC236}">
              <a16:creationId xmlns:a16="http://schemas.microsoft.com/office/drawing/2014/main" id="{8099A2CB-413C-457F-9D05-F6503407E391}"/>
            </a:ext>
          </a:extLst>
        </xdr:cNvPr>
        <xdr:cNvCxnSpPr/>
      </xdr:nvCxnSpPr>
      <xdr:spPr>
        <a:xfrm>
          <a:off x="17154334" y="3990368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2204</xdr:row>
      <xdr:rowOff>170185</xdr:rowOff>
    </xdr:from>
    <xdr:to>
      <xdr:col>8</xdr:col>
      <xdr:colOff>1398397</xdr:colOff>
      <xdr:row>2204</xdr:row>
      <xdr:rowOff>170185</xdr:rowOff>
    </xdr:to>
    <xdr:cxnSp macro="_xll.PtreeEvent_ObjectClick">
      <xdr:nvCxnSpPr>
        <xdr:cNvPr id="4375" name="PTObj_DBranchHLine_1_1091">
          <a:extLst>
            <a:ext uri="{FF2B5EF4-FFF2-40B4-BE49-F238E27FC236}">
              <a16:creationId xmlns:a16="http://schemas.microsoft.com/office/drawing/2014/main" id="{74F654CC-0F4B-4EDE-A923-7B31D067EAF8}"/>
            </a:ext>
          </a:extLst>
        </xdr:cNvPr>
        <xdr:cNvCxnSpPr/>
      </xdr:nvCxnSpPr>
      <xdr:spPr>
        <a:xfrm>
          <a:off x="15884652" y="399039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2204</xdr:row>
      <xdr:rowOff>170185</xdr:rowOff>
    </xdr:from>
    <xdr:to>
      <xdr:col>8</xdr:col>
      <xdr:colOff>216027</xdr:colOff>
      <xdr:row>2212</xdr:row>
      <xdr:rowOff>180355</xdr:rowOff>
    </xdr:to>
    <xdr:cxnSp macro="_xll.PtreeEvent_ObjectClick">
      <xdr:nvCxnSpPr>
        <xdr:cNvPr id="4374" name="PTObj_DBranchDLine_1_1091">
          <a:extLst>
            <a:ext uri="{FF2B5EF4-FFF2-40B4-BE49-F238E27FC236}">
              <a16:creationId xmlns:a16="http://schemas.microsoft.com/office/drawing/2014/main" id="{FEAE73F0-97AC-454A-BC61-D7F1021A980E}"/>
            </a:ext>
          </a:extLst>
        </xdr:cNvPr>
        <xdr:cNvCxnSpPr/>
      </xdr:nvCxnSpPr>
      <xdr:spPr>
        <a:xfrm flipV="1">
          <a:off x="15732252" y="3990390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2213</xdr:row>
      <xdr:rowOff>4440</xdr:rowOff>
    </xdr:from>
    <xdr:to>
      <xdr:col>7</xdr:col>
      <xdr:colOff>1402207</xdr:colOff>
      <xdr:row>2213</xdr:row>
      <xdr:rowOff>4440</xdr:rowOff>
    </xdr:to>
    <xdr:cxnSp macro="_xll.PtreeEvent_ObjectClick">
      <xdr:nvCxnSpPr>
        <xdr:cNvPr id="4371" name="PTObj_DBranchHLine_1_1095">
          <a:extLst>
            <a:ext uri="{FF2B5EF4-FFF2-40B4-BE49-F238E27FC236}">
              <a16:creationId xmlns:a16="http://schemas.microsoft.com/office/drawing/2014/main" id="{52984842-0390-44C3-BA5B-937F1B32FD5A}"/>
            </a:ext>
          </a:extLst>
        </xdr:cNvPr>
        <xdr:cNvCxnSpPr/>
      </xdr:nvCxnSpPr>
      <xdr:spPr>
        <a:xfrm>
          <a:off x="14460665" y="4005021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2202</xdr:row>
      <xdr:rowOff>161305</xdr:rowOff>
    </xdr:from>
    <xdr:to>
      <xdr:col>7</xdr:col>
      <xdr:colOff>220790</xdr:colOff>
      <xdr:row>2213</xdr:row>
      <xdr:rowOff>4440</xdr:rowOff>
    </xdr:to>
    <xdr:cxnSp macro="_xll.PtreeEvent_ObjectClick">
      <xdr:nvCxnSpPr>
        <xdr:cNvPr id="4370" name="PTObj_DBranchDLine_1_1095">
          <a:extLst>
            <a:ext uri="{FF2B5EF4-FFF2-40B4-BE49-F238E27FC236}">
              <a16:creationId xmlns:a16="http://schemas.microsoft.com/office/drawing/2014/main" id="{25045FB5-1D5B-47F8-B3DD-58C90D682255}"/>
            </a:ext>
          </a:extLst>
        </xdr:cNvPr>
        <xdr:cNvCxnSpPr/>
      </xdr:nvCxnSpPr>
      <xdr:spPr>
        <a:xfrm>
          <a:off x="14308265" y="398668255"/>
          <a:ext cx="152400" cy="1833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2200</xdr:row>
      <xdr:rowOff>162570</xdr:rowOff>
    </xdr:from>
    <xdr:to>
      <xdr:col>11</xdr:col>
      <xdr:colOff>1394589</xdr:colOff>
      <xdr:row>2200</xdr:row>
      <xdr:rowOff>162570</xdr:rowOff>
    </xdr:to>
    <xdr:cxnSp macro="_xll.PtreeEvent_ObjectClick">
      <xdr:nvCxnSpPr>
        <xdr:cNvPr id="4367" name="PTObj_DBranchHLine_1_1089">
          <a:extLst>
            <a:ext uri="{FF2B5EF4-FFF2-40B4-BE49-F238E27FC236}">
              <a16:creationId xmlns:a16="http://schemas.microsoft.com/office/drawing/2014/main" id="{C1AEF1AE-9840-4A38-B251-8DD101FACBD8}"/>
            </a:ext>
          </a:extLst>
        </xdr:cNvPr>
        <xdr:cNvCxnSpPr/>
      </xdr:nvCxnSpPr>
      <xdr:spPr>
        <a:xfrm>
          <a:off x="20149945" y="3983075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2198</xdr:row>
      <xdr:rowOff>146075</xdr:rowOff>
    </xdr:from>
    <xdr:to>
      <xdr:col>11</xdr:col>
      <xdr:colOff>195070</xdr:colOff>
      <xdr:row>2200</xdr:row>
      <xdr:rowOff>162570</xdr:rowOff>
    </xdr:to>
    <xdr:cxnSp macro="_xll.PtreeEvent_ObjectClick">
      <xdr:nvCxnSpPr>
        <xdr:cNvPr id="4366" name="PTObj_DBranchDLine_1_1089">
          <a:extLst>
            <a:ext uri="{FF2B5EF4-FFF2-40B4-BE49-F238E27FC236}">
              <a16:creationId xmlns:a16="http://schemas.microsoft.com/office/drawing/2014/main" id="{CA2C3FF2-138E-45A5-8C81-BC1F71D32DFD}"/>
            </a:ext>
          </a:extLst>
        </xdr:cNvPr>
        <xdr:cNvCxnSpPr/>
      </xdr:nvCxnSpPr>
      <xdr:spPr>
        <a:xfrm>
          <a:off x="19997545" y="3979291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2198</xdr:row>
      <xdr:rowOff>158750</xdr:rowOff>
    </xdr:from>
    <xdr:to>
      <xdr:col>10</xdr:col>
      <xdr:colOff>1388870</xdr:colOff>
      <xdr:row>2198</xdr:row>
      <xdr:rowOff>158750</xdr:rowOff>
    </xdr:to>
    <xdr:cxnSp macro="_xll.PtreeEvent_ObjectClick">
      <xdr:nvCxnSpPr>
        <xdr:cNvPr id="4363" name="PTObj_DBranchHLine_1_1088">
          <a:extLst>
            <a:ext uri="{FF2B5EF4-FFF2-40B4-BE49-F238E27FC236}">
              <a16:creationId xmlns:a16="http://schemas.microsoft.com/office/drawing/2014/main" id="{B0291E05-9F46-454B-BE92-370C0DBE5DC1}"/>
            </a:ext>
          </a:extLst>
        </xdr:cNvPr>
        <xdr:cNvCxnSpPr/>
      </xdr:nvCxnSpPr>
      <xdr:spPr>
        <a:xfrm>
          <a:off x="18730720" y="397941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2196</xdr:row>
      <xdr:rowOff>143222</xdr:rowOff>
    </xdr:from>
    <xdr:to>
      <xdr:col>10</xdr:col>
      <xdr:colOff>204595</xdr:colOff>
      <xdr:row>2198</xdr:row>
      <xdr:rowOff>158750</xdr:rowOff>
    </xdr:to>
    <xdr:cxnSp macro="_xll.PtreeEvent_ObjectClick">
      <xdr:nvCxnSpPr>
        <xdr:cNvPr id="4362" name="PTObj_DBranchDLine_1_1088">
          <a:extLst>
            <a:ext uri="{FF2B5EF4-FFF2-40B4-BE49-F238E27FC236}">
              <a16:creationId xmlns:a16="http://schemas.microsoft.com/office/drawing/2014/main" id="{8CC58306-F7C8-496B-8171-83D8B499EDBC}"/>
            </a:ext>
          </a:extLst>
        </xdr:cNvPr>
        <xdr:cNvCxnSpPr/>
      </xdr:nvCxnSpPr>
      <xdr:spPr>
        <a:xfrm>
          <a:off x="18578320" y="3975643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2196</xdr:row>
      <xdr:rowOff>154930</xdr:rowOff>
    </xdr:from>
    <xdr:to>
      <xdr:col>9</xdr:col>
      <xdr:colOff>1392681</xdr:colOff>
      <xdr:row>2196</xdr:row>
      <xdr:rowOff>154930</xdr:rowOff>
    </xdr:to>
    <xdr:cxnSp macro="_xll.PtreeEvent_ObjectClick">
      <xdr:nvCxnSpPr>
        <xdr:cNvPr id="4359" name="PTObj_DBranchHLine_1_1087">
          <a:extLst>
            <a:ext uri="{FF2B5EF4-FFF2-40B4-BE49-F238E27FC236}">
              <a16:creationId xmlns:a16="http://schemas.microsoft.com/office/drawing/2014/main" id="{E4D3CBCB-DE96-4FFA-AA91-D3F378A773C9}"/>
            </a:ext>
          </a:extLst>
        </xdr:cNvPr>
        <xdr:cNvCxnSpPr/>
      </xdr:nvCxnSpPr>
      <xdr:spPr>
        <a:xfrm>
          <a:off x="17306734" y="397576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2194</xdr:row>
      <xdr:rowOff>142230</xdr:rowOff>
    </xdr:from>
    <xdr:to>
      <xdr:col>9</xdr:col>
      <xdr:colOff>209359</xdr:colOff>
      <xdr:row>2196</xdr:row>
      <xdr:rowOff>154930</xdr:rowOff>
    </xdr:to>
    <xdr:cxnSp macro="_xll.PtreeEvent_ObjectClick">
      <xdr:nvCxnSpPr>
        <xdr:cNvPr id="4358" name="PTObj_DBranchDLine_1_1087">
          <a:extLst>
            <a:ext uri="{FF2B5EF4-FFF2-40B4-BE49-F238E27FC236}">
              <a16:creationId xmlns:a16="http://schemas.microsoft.com/office/drawing/2014/main" id="{8E10E528-0F72-4300-A3C1-203D079FE7A9}"/>
            </a:ext>
          </a:extLst>
        </xdr:cNvPr>
        <xdr:cNvCxnSpPr/>
      </xdr:nvCxnSpPr>
      <xdr:spPr>
        <a:xfrm>
          <a:off x="17154334" y="397201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2194</xdr:row>
      <xdr:rowOff>151135</xdr:rowOff>
    </xdr:from>
    <xdr:to>
      <xdr:col>8</xdr:col>
      <xdr:colOff>1398397</xdr:colOff>
      <xdr:row>2194</xdr:row>
      <xdr:rowOff>151135</xdr:rowOff>
    </xdr:to>
    <xdr:cxnSp macro="_xll.PtreeEvent_ObjectClick">
      <xdr:nvCxnSpPr>
        <xdr:cNvPr id="4355" name="PTObj_DBranchHLine_1_1086">
          <a:extLst>
            <a:ext uri="{FF2B5EF4-FFF2-40B4-BE49-F238E27FC236}">
              <a16:creationId xmlns:a16="http://schemas.microsoft.com/office/drawing/2014/main" id="{B8723ED3-5DEF-41D9-AA40-BF3ADFD2EE4D}"/>
            </a:ext>
          </a:extLst>
        </xdr:cNvPr>
        <xdr:cNvCxnSpPr/>
      </xdr:nvCxnSpPr>
      <xdr:spPr>
        <a:xfrm>
          <a:off x="15888463" y="397210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2192</xdr:row>
      <xdr:rowOff>142255</xdr:rowOff>
    </xdr:from>
    <xdr:to>
      <xdr:col>8</xdr:col>
      <xdr:colOff>219838</xdr:colOff>
      <xdr:row>2194</xdr:row>
      <xdr:rowOff>151135</xdr:rowOff>
    </xdr:to>
    <xdr:cxnSp macro="_xll.PtreeEvent_ObjectClick">
      <xdr:nvCxnSpPr>
        <xdr:cNvPr id="4354" name="PTObj_DBranchDLine_1_1086">
          <a:extLst>
            <a:ext uri="{FF2B5EF4-FFF2-40B4-BE49-F238E27FC236}">
              <a16:creationId xmlns:a16="http://schemas.microsoft.com/office/drawing/2014/main" id="{8883C455-C663-492E-8D7A-83CD86E82150}"/>
            </a:ext>
          </a:extLst>
        </xdr:cNvPr>
        <xdr:cNvCxnSpPr/>
      </xdr:nvCxnSpPr>
      <xdr:spPr>
        <a:xfrm>
          <a:off x="15736063" y="3968394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2190</xdr:row>
      <xdr:rowOff>143520</xdr:rowOff>
    </xdr:from>
    <xdr:to>
      <xdr:col>11</xdr:col>
      <xdr:colOff>1386967</xdr:colOff>
      <xdr:row>2190</xdr:row>
      <xdr:rowOff>143520</xdr:rowOff>
    </xdr:to>
    <xdr:cxnSp macro="_xll.PtreeEvent_ObjectClick">
      <xdr:nvCxnSpPr>
        <xdr:cNvPr id="4351" name="PTObj_DBranchHLine_1_1084">
          <a:extLst>
            <a:ext uri="{FF2B5EF4-FFF2-40B4-BE49-F238E27FC236}">
              <a16:creationId xmlns:a16="http://schemas.microsoft.com/office/drawing/2014/main" id="{32535C8C-64FD-4F53-8929-EEE8941F4E0A}"/>
            </a:ext>
          </a:extLst>
        </xdr:cNvPr>
        <xdr:cNvCxnSpPr/>
      </xdr:nvCxnSpPr>
      <xdr:spPr>
        <a:xfrm>
          <a:off x="20149945" y="396478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2188</xdr:row>
      <xdr:rowOff>137492</xdr:rowOff>
    </xdr:from>
    <xdr:to>
      <xdr:col>11</xdr:col>
      <xdr:colOff>195070</xdr:colOff>
      <xdr:row>2190</xdr:row>
      <xdr:rowOff>143520</xdr:rowOff>
    </xdr:to>
    <xdr:cxnSp macro="_xll.PtreeEvent_ObjectClick">
      <xdr:nvCxnSpPr>
        <xdr:cNvPr id="4350" name="PTObj_DBranchDLine_1_1084">
          <a:extLst>
            <a:ext uri="{FF2B5EF4-FFF2-40B4-BE49-F238E27FC236}">
              <a16:creationId xmlns:a16="http://schemas.microsoft.com/office/drawing/2014/main" id="{557D3101-7CF6-4938-B9BA-AB6EACB4B4A7}"/>
            </a:ext>
          </a:extLst>
        </xdr:cNvPr>
        <xdr:cNvCxnSpPr/>
      </xdr:nvCxnSpPr>
      <xdr:spPr>
        <a:xfrm>
          <a:off x="19997545" y="3961107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2188</xdr:row>
      <xdr:rowOff>139700</xdr:rowOff>
    </xdr:from>
    <xdr:to>
      <xdr:col>10</xdr:col>
      <xdr:colOff>1388870</xdr:colOff>
      <xdr:row>2188</xdr:row>
      <xdr:rowOff>139700</xdr:rowOff>
    </xdr:to>
    <xdr:cxnSp macro="_xll.PtreeEvent_ObjectClick">
      <xdr:nvCxnSpPr>
        <xdr:cNvPr id="4347" name="PTObj_DBranchHLine_1_1083">
          <a:extLst>
            <a:ext uri="{FF2B5EF4-FFF2-40B4-BE49-F238E27FC236}">
              <a16:creationId xmlns:a16="http://schemas.microsoft.com/office/drawing/2014/main" id="{1119DB05-D3F9-4FDF-B996-6B69AEE6025F}"/>
            </a:ext>
          </a:extLst>
        </xdr:cNvPr>
        <xdr:cNvCxnSpPr/>
      </xdr:nvCxnSpPr>
      <xdr:spPr>
        <a:xfrm>
          <a:off x="18730720" y="396113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2186</xdr:row>
      <xdr:rowOff>135558</xdr:rowOff>
    </xdr:from>
    <xdr:to>
      <xdr:col>10</xdr:col>
      <xdr:colOff>204595</xdr:colOff>
      <xdr:row>2188</xdr:row>
      <xdr:rowOff>139700</xdr:rowOff>
    </xdr:to>
    <xdr:cxnSp macro="_xll.PtreeEvent_ObjectClick">
      <xdr:nvCxnSpPr>
        <xdr:cNvPr id="4346" name="PTObj_DBranchDLine_1_1083">
          <a:extLst>
            <a:ext uri="{FF2B5EF4-FFF2-40B4-BE49-F238E27FC236}">
              <a16:creationId xmlns:a16="http://schemas.microsoft.com/office/drawing/2014/main" id="{C981AAC0-6375-42E2-8EA5-1E3E0F32602B}"/>
            </a:ext>
          </a:extLst>
        </xdr:cNvPr>
        <xdr:cNvCxnSpPr/>
      </xdr:nvCxnSpPr>
      <xdr:spPr>
        <a:xfrm>
          <a:off x="18578320" y="3957469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2186</xdr:row>
      <xdr:rowOff>135880</xdr:rowOff>
    </xdr:from>
    <xdr:to>
      <xdr:col>9</xdr:col>
      <xdr:colOff>1392681</xdr:colOff>
      <xdr:row>2186</xdr:row>
      <xdr:rowOff>135880</xdr:rowOff>
    </xdr:to>
    <xdr:cxnSp macro="_xll.PtreeEvent_ObjectClick">
      <xdr:nvCxnSpPr>
        <xdr:cNvPr id="4343" name="PTObj_DBranchHLine_1_1082">
          <a:extLst>
            <a:ext uri="{FF2B5EF4-FFF2-40B4-BE49-F238E27FC236}">
              <a16:creationId xmlns:a16="http://schemas.microsoft.com/office/drawing/2014/main" id="{84C8F1D0-123A-4CBD-B333-1C96A6BA7404}"/>
            </a:ext>
          </a:extLst>
        </xdr:cNvPr>
        <xdr:cNvCxnSpPr/>
      </xdr:nvCxnSpPr>
      <xdr:spPr>
        <a:xfrm>
          <a:off x="17306734" y="395747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2184</xdr:row>
      <xdr:rowOff>129828</xdr:rowOff>
    </xdr:from>
    <xdr:to>
      <xdr:col>9</xdr:col>
      <xdr:colOff>209359</xdr:colOff>
      <xdr:row>2186</xdr:row>
      <xdr:rowOff>135880</xdr:rowOff>
    </xdr:to>
    <xdr:cxnSp macro="_xll.PtreeEvent_ObjectClick">
      <xdr:nvCxnSpPr>
        <xdr:cNvPr id="4342" name="PTObj_DBranchDLine_1_1082">
          <a:extLst>
            <a:ext uri="{FF2B5EF4-FFF2-40B4-BE49-F238E27FC236}">
              <a16:creationId xmlns:a16="http://schemas.microsoft.com/office/drawing/2014/main" id="{3D037F16-B194-4BA5-99C8-9129D782DF47}"/>
            </a:ext>
          </a:extLst>
        </xdr:cNvPr>
        <xdr:cNvCxnSpPr/>
      </xdr:nvCxnSpPr>
      <xdr:spPr>
        <a:xfrm>
          <a:off x="17154334" y="3953792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2184</xdr:row>
      <xdr:rowOff>132085</xdr:rowOff>
    </xdr:from>
    <xdr:to>
      <xdr:col>8</xdr:col>
      <xdr:colOff>1398397</xdr:colOff>
      <xdr:row>2184</xdr:row>
      <xdr:rowOff>132085</xdr:rowOff>
    </xdr:to>
    <xdr:cxnSp macro="_xll.PtreeEvent_ObjectClick">
      <xdr:nvCxnSpPr>
        <xdr:cNvPr id="4339" name="PTObj_DBranchHLine_1_1081">
          <a:extLst>
            <a:ext uri="{FF2B5EF4-FFF2-40B4-BE49-F238E27FC236}">
              <a16:creationId xmlns:a16="http://schemas.microsoft.com/office/drawing/2014/main" id="{F2CB7881-A0F6-4A74-834C-2385160C8E67}"/>
            </a:ext>
          </a:extLst>
        </xdr:cNvPr>
        <xdr:cNvCxnSpPr/>
      </xdr:nvCxnSpPr>
      <xdr:spPr>
        <a:xfrm>
          <a:off x="15884652" y="395381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2184</xdr:row>
      <xdr:rowOff>132085</xdr:rowOff>
    </xdr:from>
    <xdr:to>
      <xdr:col>8</xdr:col>
      <xdr:colOff>216027</xdr:colOff>
      <xdr:row>2192</xdr:row>
      <xdr:rowOff>142255</xdr:rowOff>
    </xdr:to>
    <xdr:cxnSp macro="_xll.PtreeEvent_ObjectClick">
      <xdr:nvCxnSpPr>
        <xdr:cNvPr id="4338" name="PTObj_DBranchDLine_1_1081">
          <a:extLst>
            <a:ext uri="{FF2B5EF4-FFF2-40B4-BE49-F238E27FC236}">
              <a16:creationId xmlns:a16="http://schemas.microsoft.com/office/drawing/2014/main" id="{C6A212AF-038E-4D16-9D91-662919A929F0}"/>
            </a:ext>
          </a:extLst>
        </xdr:cNvPr>
        <xdr:cNvCxnSpPr/>
      </xdr:nvCxnSpPr>
      <xdr:spPr>
        <a:xfrm flipV="1">
          <a:off x="15732252" y="3953814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2192</xdr:row>
      <xdr:rowOff>147315</xdr:rowOff>
    </xdr:from>
    <xdr:to>
      <xdr:col>7</xdr:col>
      <xdr:colOff>1402207</xdr:colOff>
      <xdr:row>2192</xdr:row>
      <xdr:rowOff>147315</xdr:rowOff>
    </xdr:to>
    <xdr:cxnSp macro="_xll.PtreeEvent_ObjectClick">
      <xdr:nvCxnSpPr>
        <xdr:cNvPr id="4335" name="PTObj_DBranchHLine_1_1085">
          <a:extLst>
            <a:ext uri="{FF2B5EF4-FFF2-40B4-BE49-F238E27FC236}">
              <a16:creationId xmlns:a16="http://schemas.microsoft.com/office/drawing/2014/main" id="{3740ADC9-EFEC-4067-A230-4A2E98AA5B38}"/>
            </a:ext>
          </a:extLst>
        </xdr:cNvPr>
        <xdr:cNvCxnSpPr/>
      </xdr:nvCxnSpPr>
      <xdr:spPr>
        <a:xfrm>
          <a:off x="14462570" y="3968445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2192</xdr:row>
      <xdr:rowOff>147315</xdr:rowOff>
    </xdr:from>
    <xdr:to>
      <xdr:col>7</xdr:col>
      <xdr:colOff>222695</xdr:colOff>
      <xdr:row>2202</xdr:row>
      <xdr:rowOff>161305</xdr:rowOff>
    </xdr:to>
    <xdr:cxnSp macro="_xll.PtreeEvent_ObjectClick">
      <xdr:nvCxnSpPr>
        <xdr:cNvPr id="4334" name="PTObj_DBranchDLine_1_1085">
          <a:extLst>
            <a:ext uri="{FF2B5EF4-FFF2-40B4-BE49-F238E27FC236}">
              <a16:creationId xmlns:a16="http://schemas.microsoft.com/office/drawing/2014/main" id="{9FD56068-C596-4912-AFF6-C68958242F83}"/>
            </a:ext>
          </a:extLst>
        </xdr:cNvPr>
        <xdr:cNvCxnSpPr/>
      </xdr:nvCxnSpPr>
      <xdr:spPr>
        <a:xfrm flipV="1">
          <a:off x="14310170" y="3968445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2202</xdr:row>
      <xdr:rowOff>166365</xdr:rowOff>
    </xdr:from>
    <xdr:to>
      <xdr:col>6</xdr:col>
      <xdr:colOff>1407922</xdr:colOff>
      <xdr:row>2202</xdr:row>
      <xdr:rowOff>166365</xdr:rowOff>
    </xdr:to>
    <xdr:cxnSp macro="_xll.PtreeEvent_ObjectClick">
      <xdr:nvCxnSpPr>
        <xdr:cNvPr id="4331" name="PTObj_DBranchHLine_1_1090">
          <a:extLst>
            <a:ext uri="{FF2B5EF4-FFF2-40B4-BE49-F238E27FC236}">
              <a16:creationId xmlns:a16="http://schemas.microsoft.com/office/drawing/2014/main" id="{A618EFB5-5DA1-4215-A5F9-1D7C956AB8CC}"/>
            </a:ext>
          </a:extLst>
        </xdr:cNvPr>
        <xdr:cNvCxnSpPr/>
      </xdr:nvCxnSpPr>
      <xdr:spPr>
        <a:xfrm>
          <a:off x="13034772" y="3986733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2202</xdr:row>
      <xdr:rowOff>166365</xdr:rowOff>
    </xdr:from>
    <xdr:to>
      <xdr:col>6</xdr:col>
      <xdr:colOff>223647</xdr:colOff>
      <xdr:row>2223</xdr:row>
      <xdr:rowOff>18430</xdr:rowOff>
    </xdr:to>
    <xdr:cxnSp macro="_xll.PtreeEvent_ObjectClick">
      <xdr:nvCxnSpPr>
        <xdr:cNvPr id="4330" name="PTObj_DBranchDLine_1_1090">
          <a:extLst>
            <a:ext uri="{FF2B5EF4-FFF2-40B4-BE49-F238E27FC236}">
              <a16:creationId xmlns:a16="http://schemas.microsoft.com/office/drawing/2014/main" id="{AAF72EC6-0F09-4BEA-828C-025EE01900A9}"/>
            </a:ext>
          </a:extLst>
        </xdr:cNvPr>
        <xdr:cNvCxnSpPr/>
      </xdr:nvCxnSpPr>
      <xdr:spPr>
        <a:xfrm flipV="1">
          <a:off x="12882372" y="3986733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2223</xdr:row>
      <xdr:rowOff>23490</xdr:rowOff>
    </xdr:from>
    <xdr:to>
      <xdr:col>5</xdr:col>
      <xdr:colOff>1411732</xdr:colOff>
      <xdr:row>2223</xdr:row>
      <xdr:rowOff>23490</xdr:rowOff>
    </xdr:to>
    <xdr:cxnSp macro="_xll.PtreeEvent_ObjectClick">
      <xdr:nvCxnSpPr>
        <xdr:cNvPr id="4327" name="PTObj_DBranchHLine_1_1100">
          <a:extLst>
            <a:ext uri="{FF2B5EF4-FFF2-40B4-BE49-F238E27FC236}">
              <a16:creationId xmlns:a16="http://schemas.microsoft.com/office/drawing/2014/main" id="{5B81A7E4-E06B-4CF7-8D2F-892C4D15A7B0}"/>
            </a:ext>
          </a:extLst>
        </xdr:cNvPr>
        <xdr:cNvCxnSpPr/>
      </xdr:nvCxnSpPr>
      <xdr:spPr>
        <a:xfrm>
          <a:off x="11608880" y="4023309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2182</xdr:row>
      <xdr:rowOff>123205</xdr:rowOff>
    </xdr:from>
    <xdr:to>
      <xdr:col>5</xdr:col>
      <xdr:colOff>226505</xdr:colOff>
      <xdr:row>2223</xdr:row>
      <xdr:rowOff>23490</xdr:rowOff>
    </xdr:to>
    <xdr:cxnSp macro="_xll.PtreeEvent_ObjectClick">
      <xdr:nvCxnSpPr>
        <xdr:cNvPr id="4326" name="PTObj_DBranchDLine_1_1100">
          <a:extLst>
            <a:ext uri="{FF2B5EF4-FFF2-40B4-BE49-F238E27FC236}">
              <a16:creationId xmlns:a16="http://schemas.microsoft.com/office/drawing/2014/main" id="{ED33F1F5-A8D3-46B8-8DBD-1BE46E3C3888}"/>
            </a:ext>
          </a:extLst>
        </xdr:cNvPr>
        <xdr:cNvCxnSpPr/>
      </xdr:nvCxnSpPr>
      <xdr:spPr>
        <a:xfrm>
          <a:off x="11456480" y="395010655"/>
          <a:ext cx="152400" cy="73202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2180</xdr:row>
      <xdr:rowOff>124470</xdr:rowOff>
    </xdr:from>
    <xdr:to>
      <xdr:col>11</xdr:col>
      <xdr:colOff>1394589</xdr:colOff>
      <xdr:row>2180</xdr:row>
      <xdr:rowOff>124470</xdr:rowOff>
    </xdr:to>
    <xdr:cxnSp macro="_xll.PtreeEvent_ObjectClick">
      <xdr:nvCxnSpPr>
        <xdr:cNvPr id="4323" name="PTObj_DBranchHLine_1_1079">
          <a:extLst>
            <a:ext uri="{FF2B5EF4-FFF2-40B4-BE49-F238E27FC236}">
              <a16:creationId xmlns:a16="http://schemas.microsoft.com/office/drawing/2014/main" id="{11E037F5-02B9-4D76-A74B-933E1235BD7C}"/>
            </a:ext>
          </a:extLst>
        </xdr:cNvPr>
        <xdr:cNvCxnSpPr/>
      </xdr:nvCxnSpPr>
      <xdr:spPr>
        <a:xfrm>
          <a:off x="20149945" y="3946499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2178</xdr:row>
      <xdr:rowOff>107975</xdr:rowOff>
    </xdr:from>
    <xdr:to>
      <xdr:col>11</xdr:col>
      <xdr:colOff>195070</xdr:colOff>
      <xdr:row>2180</xdr:row>
      <xdr:rowOff>124470</xdr:rowOff>
    </xdr:to>
    <xdr:cxnSp macro="_xll.PtreeEvent_ObjectClick">
      <xdr:nvCxnSpPr>
        <xdr:cNvPr id="4322" name="PTObj_DBranchDLine_1_1079">
          <a:extLst>
            <a:ext uri="{FF2B5EF4-FFF2-40B4-BE49-F238E27FC236}">
              <a16:creationId xmlns:a16="http://schemas.microsoft.com/office/drawing/2014/main" id="{16546A72-7F2D-4ABF-9CE0-56CFB1B5DE83}"/>
            </a:ext>
          </a:extLst>
        </xdr:cNvPr>
        <xdr:cNvCxnSpPr/>
      </xdr:nvCxnSpPr>
      <xdr:spPr>
        <a:xfrm>
          <a:off x="19997545" y="3942715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2178</xdr:row>
      <xdr:rowOff>120650</xdr:rowOff>
    </xdr:from>
    <xdr:to>
      <xdr:col>10</xdr:col>
      <xdr:colOff>1388870</xdr:colOff>
      <xdr:row>2178</xdr:row>
      <xdr:rowOff>120650</xdr:rowOff>
    </xdr:to>
    <xdr:cxnSp macro="_xll.PtreeEvent_ObjectClick">
      <xdr:nvCxnSpPr>
        <xdr:cNvPr id="4319" name="PTObj_DBranchHLine_1_1078">
          <a:extLst>
            <a:ext uri="{FF2B5EF4-FFF2-40B4-BE49-F238E27FC236}">
              <a16:creationId xmlns:a16="http://schemas.microsoft.com/office/drawing/2014/main" id="{29800F74-12C9-42B9-918E-E88BFC9BD7CC}"/>
            </a:ext>
          </a:extLst>
        </xdr:cNvPr>
        <xdr:cNvCxnSpPr/>
      </xdr:nvCxnSpPr>
      <xdr:spPr>
        <a:xfrm>
          <a:off x="18730720" y="394284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2176</xdr:row>
      <xdr:rowOff>105122</xdr:rowOff>
    </xdr:from>
    <xdr:to>
      <xdr:col>10</xdr:col>
      <xdr:colOff>204595</xdr:colOff>
      <xdr:row>2178</xdr:row>
      <xdr:rowOff>120650</xdr:rowOff>
    </xdr:to>
    <xdr:cxnSp macro="_xll.PtreeEvent_ObjectClick">
      <xdr:nvCxnSpPr>
        <xdr:cNvPr id="4318" name="PTObj_DBranchDLine_1_1078">
          <a:extLst>
            <a:ext uri="{FF2B5EF4-FFF2-40B4-BE49-F238E27FC236}">
              <a16:creationId xmlns:a16="http://schemas.microsoft.com/office/drawing/2014/main" id="{D7C5F14A-EC14-4DAA-8BBD-DA34BBC4B9B1}"/>
            </a:ext>
          </a:extLst>
        </xdr:cNvPr>
        <xdr:cNvCxnSpPr/>
      </xdr:nvCxnSpPr>
      <xdr:spPr>
        <a:xfrm>
          <a:off x="18578320" y="3939067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2176</xdr:row>
      <xdr:rowOff>116830</xdr:rowOff>
    </xdr:from>
    <xdr:to>
      <xdr:col>9</xdr:col>
      <xdr:colOff>1392681</xdr:colOff>
      <xdr:row>2176</xdr:row>
      <xdr:rowOff>116830</xdr:rowOff>
    </xdr:to>
    <xdr:cxnSp macro="_xll.PtreeEvent_ObjectClick">
      <xdr:nvCxnSpPr>
        <xdr:cNvPr id="4315" name="PTObj_DBranchHLine_1_1077">
          <a:extLst>
            <a:ext uri="{FF2B5EF4-FFF2-40B4-BE49-F238E27FC236}">
              <a16:creationId xmlns:a16="http://schemas.microsoft.com/office/drawing/2014/main" id="{B4845DC9-5870-4552-93A1-E9921BF3934E}"/>
            </a:ext>
          </a:extLst>
        </xdr:cNvPr>
        <xdr:cNvCxnSpPr/>
      </xdr:nvCxnSpPr>
      <xdr:spPr>
        <a:xfrm>
          <a:off x="17306734" y="393918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2174</xdr:row>
      <xdr:rowOff>104130</xdr:rowOff>
    </xdr:from>
    <xdr:to>
      <xdr:col>9</xdr:col>
      <xdr:colOff>209359</xdr:colOff>
      <xdr:row>2176</xdr:row>
      <xdr:rowOff>116830</xdr:rowOff>
    </xdr:to>
    <xdr:cxnSp macro="_xll.PtreeEvent_ObjectClick">
      <xdr:nvCxnSpPr>
        <xdr:cNvPr id="4314" name="PTObj_DBranchDLine_1_1077">
          <a:extLst>
            <a:ext uri="{FF2B5EF4-FFF2-40B4-BE49-F238E27FC236}">
              <a16:creationId xmlns:a16="http://schemas.microsoft.com/office/drawing/2014/main" id="{7F15DB41-F383-4ED0-9359-2E02CB30432E}"/>
            </a:ext>
          </a:extLst>
        </xdr:cNvPr>
        <xdr:cNvCxnSpPr/>
      </xdr:nvCxnSpPr>
      <xdr:spPr>
        <a:xfrm>
          <a:off x="17154334" y="393543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2174</xdr:row>
      <xdr:rowOff>113035</xdr:rowOff>
    </xdr:from>
    <xdr:to>
      <xdr:col>8</xdr:col>
      <xdr:colOff>1398397</xdr:colOff>
      <xdr:row>2174</xdr:row>
      <xdr:rowOff>113035</xdr:rowOff>
    </xdr:to>
    <xdr:cxnSp macro="_xll.PtreeEvent_ObjectClick">
      <xdr:nvCxnSpPr>
        <xdr:cNvPr id="4311" name="PTObj_DBranchHLine_1_1076">
          <a:extLst>
            <a:ext uri="{FF2B5EF4-FFF2-40B4-BE49-F238E27FC236}">
              <a16:creationId xmlns:a16="http://schemas.microsoft.com/office/drawing/2014/main" id="{B2CA1856-4F75-46D5-AFC1-68E2447B4ACF}"/>
            </a:ext>
          </a:extLst>
        </xdr:cNvPr>
        <xdr:cNvCxnSpPr/>
      </xdr:nvCxnSpPr>
      <xdr:spPr>
        <a:xfrm>
          <a:off x="15888463" y="393552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2172</xdr:row>
      <xdr:rowOff>104155</xdr:rowOff>
    </xdr:from>
    <xdr:to>
      <xdr:col>8</xdr:col>
      <xdr:colOff>219838</xdr:colOff>
      <xdr:row>2174</xdr:row>
      <xdr:rowOff>113035</xdr:rowOff>
    </xdr:to>
    <xdr:cxnSp macro="_xll.PtreeEvent_ObjectClick">
      <xdr:nvCxnSpPr>
        <xdr:cNvPr id="4310" name="PTObj_DBranchDLine_1_1076">
          <a:extLst>
            <a:ext uri="{FF2B5EF4-FFF2-40B4-BE49-F238E27FC236}">
              <a16:creationId xmlns:a16="http://schemas.microsoft.com/office/drawing/2014/main" id="{A25A8567-327E-44CA-B6B4-E3D1BB002817}"/>
            </a:ext>
          </a:extLst>
        </xdr:cNvPr>
        <xdr:cNvCxnSpPr/>
      </xdr:nvCxnSpPr>
      <xdr:spPr>
        <a:xfrm>
          <a:off x="15736063" y="3931818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2170</xdr:row>
      <xdr:rowOff>105420</xdr:rowOff>
    </xdr:from>
    <xdr:to>
      <xdr:col>11</xdr:col>
      <xdr:colOff>1386967</xdr:colOff>
      <xdr:row>2170</xdr:row>
      <xdr:rowOff>105420</xdr:rowOff>
    </xdr:to>
    <xdr:cxnSp macro="_xll.PtreeEvent_ObjectClick">
      <xdr:nvCxnSpPr>
        <xdr:cNvPr id="4307" name="PTObj_DBranchHLine_1_1074">
          <a:extLst>
            <a:ext uri="{FF2B5EF4-FFF2-40B4-BE49-F238E27FC236}">
              <a16:creationId xmlns:a16="http://schemas.microsoft.com/office/drawing/2014/main" id="{67D66AA7-9163-4142-930D-B0A64CCECE52}"/>
            </a:ext>
          </a:extLst>
        </xdr:cNvPr>
        <xdr:cNvCxnSpPr/>
      </xdr:nvCxnSpPr>
      <xdr:spPr>
        <a:xfrm>
          <a:off x="20149945" y="392821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2168</xdr:row>
      <xdr:rowOff>99392</xdr:rowOff>
    </xdr:from>
    <xdr:to>
      <xdr:col>11</xdr:col>
      <xdr:colOff>195070</xdr:colOff>
      <xdr:row>2170</xdr:row>
      <xdr:rowOff>105420</xdr:rowOff>
    </xdr:to>
    <xdr:cxnSp macro="_xll.PtreeEvent_ObjectClick">
      <xdr:nvCxnSpPr>
        <xdr:cNvPr id="4306" name="PTObj_DBranchDLine_1_1074">
          <a:extLst>
            <a:ext uri="{FF2B5EF4-FFF2-40B4-BE49-F238E27FC236}">
              <a16:creationId xmlns:a16="http://schemas.microsoft.com/office/drawing/2014/main" id="{ADAD71E5-41EE-4D2F-9DE8-B2D79B7662E6}"/>
            </a:ext>
          </a:extLst>
        </xdr:cNvPr>
        <xdr:cNvCxnSpPr/>
      </xdr:nvCxnSpPr>
      <xdr:spPr>
        <a:xfrm>
          <a:off x="19997545" y="3924531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2168</xdr:row>
      <xdr:rowOff>101600</xdr:rowOff>
    </xdr:from>
    <xdr:to>
      <xdr:col>10</xdr:col>
      <xdr:colOff>1388870</xdr:colOff>
      <xdr:row>2168</xdr:row>
      <xdr:rowOff>101600</xdr:rowOff>
    </xdr:to>
    <xdr:cxnSp macro="_xll.PtreeEvent_ObjectClick">
      <xdr:nvCxnSpPr>
        <xdr:cNvPr id="4303" name="PTObj_DBranchHLine_1_1073">
          <a:extLst>
            <a:ext uri="{FF2B5EF4-FFF2-40B4-BE49-F238E27FC236}">
              <a16:creationId xmlns:a16="http://schemas.microsoft.com/office/drawing/2014/main" id="{9C47EA4D-1AA5-4281-B000-E3AE3B148637}"/>
            </a:ext>
          </a:extLst>
        </xdr:cNvPr>
        <xdr:cNvCxnSpPr/>
      </xdr:nvCxnSpPr>
      <xdr:spPr>
        <a:xfrm>
          <a:off x="18730720" y="392455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2166</xdr:row>
      <xdr:rowOff>97458</xdr:rowOff>
    </xdr:from>
    <xdr:to>
      <xdr:col>10</xdr:col>
      <xdr:colOff>204595</xdr:colOff>
      <xdr:row>2168</xdr:row>
      <xdr:rowOff>101600</xdr:rowOff>
    </xdr:to>
    <xdr:cxnSp macro="_xll.PtreeEvent_ObjectClick">
      <xdr:nvCxnSpPr>
        <xdr:cNvPr id="4302" name="PTObj_DBranchDLine_1_1073">
          <a:extLst>
            <a:ext uri="{FF2B5EF4-FFF2-40B4-BE49-F238E27FC236}">
              <a16:creationId xmlns:a16="http://schemas.microsoft.com/office/drawing/2014/main" id="{6F291C53-72DF-4DB3-B39E-60C4E49AB05C}"/>
            </a:ext>
          </a:extLst>
        </xdr:cNvPr>
        <xdr:cNvCxnSpPr/>
      </xdr:nvCxnSpPr>
      <xdr:spPr>
        <a:xfrm>
          <a:off x="18578320" y="3920893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2166</xdr:row>
      <xdr:rowOff>97780</xdr:rowOff>
    </xdr:from>
    <xdr:to>
      <xdr:col>9</xdr:col>
      <xdr:colOff>1392681</xdr:colOff>
      <xdr:row>2166</xdr:row>
      <xdr:rowOff>97780</xdr:rowOff>
    </xdr:to>
    <xdr:cxnSp macro="_xll.PtreeEvent_ObjectClick">
      <xdr:nvCxnSpPr>
        <xdr:cNvPr id="4299" name="PTObj_DBranchHLine_1_1072">
          <a:extLst>
            <a:ext uri="{FF2B5EF4-FFF2-40B4-BE49-F238E27FC236}">
              <a16:creationId xmlns:a16="http://schemas.microsoft.com/office/drawing/2014/main" id="{997C9F40-ACF9-44BE-AA1B-75556F5D944D}"/>
            </a:ext>
          </a:extLst>
        </xdr:cNvPr>
        <xdr:cNvCxnSpPr/>
      </xdr:nvCxnSpPr>
      <xdr:spPr>
        <a:xfrm>
          <a:off x="17306734" y="392089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2164</xdr:row>
      <xdr:rowOff>91728</xdr:rowOff>
    </xdr:from>
    <xdr:to>
      <xdr:col>9</xdr:col>
      <xdr:colOff>209359</xdr:colOff>
      <xdr:row>2166</xdr:row>
      <xdr:rowOff>97780</xdr:rowOff>
    </xdr:to>
    <xdr:cxnSp macro="_xll.PtreeEvent_ObjectClick">
      <xdr:nvCxnSpPr>
        <xdr:cNvPr id="4298" name="PTObj_DBranchDLine_1_1072">
          <a:extLst>
            <a:ext uri="{FF2B5EF4-FFF2-40B4-BE49-F238E27FC236}">
              <a16:creationId xmlns:a16="http://schemas.microsoft.com/office/drawing/2014/main" id="{4E7D83BD-AB85-4BE5-81D0-8EB4480B4EBF}"/>
            </a:ext>
          </a:extLst>
        </xdr:cNvPr>
        <xdr:cNvCxnSpPr/>
      </xdr:nvCxnSpPr>
      <xdr:spPr>
        <a:xfrm>
          <a:off x="17154334" y="3917216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2164</xdr:row>
      <xdr:rowOff>93985</xdr:rowOff>
    </xdr:from>
    <xdr:to>
      <xdr:col>8</xdr:col>
      <xdr:colOff>1398397</xdr:colOff>
      <xdr:row>2164</xdr:row>
      <xdr:rowOff>93985</xdr:rowOff>
    </xdr:to>
    <xdr:cxnSp macro="_xll.PtreeEvent_ObjectClick">
      <xdr:nvCxnSpPr>
        <xdr:cNvPr id="4295" name="PTObj_DBranchHLine_1_1071">
          <a:extLst>
            <a:ext uri="{FF2B5EF4-FFF2-40B4-BE49-F238E27FC236}">
              <a16:creationId xmlns:a16="http://schemas.microsoft.com/office/drawing/2014/main" id="{05608051-3179-427F-BDE4-7677F169C646}"/>
            </a:ext>
          </a:extLst>
        </xdr:cNvPr>
        <xdr:cNvCxnSpPr/>
      </xdr:nvCxnSpPr>
      <xdr:spPr>
        <a:xfrm>
          <a:off x="15884652" y="391723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2164</xdr:row>
      <xdr:rowOff>93985</xdr:rowOff>
    </xdr:from>
    <xdr:to>
      <xdr:col>8</xdr:col>
      <xdr:colOff>216027</xdr:colOff>
      <xdr:row>2172</xdr:row>
      <xdr:rowOff>104155</xdr:rowOff>
    </xdr:to>
    <xdr:cxnSp macro="_xll.PtreeEvent_ObjectClick">
      <xdr:nvCxnSpPr>
        <xdr:cNvPr id="4294" name="PTObj_DBranchDLine_1_1071">
          <a:extLst>
            <a:ext uri="{FF2B5EF4-FFF2-40B4-BE49-F238E27FC236}">
              <a16:creationId xmlns:a16="http://schemas.microsoft.com/office/drawing/2014/main" id="{4DC68C0C-7C55-4105-BDD8-EFA5C46E440D}"/>
            </a:ext>
          </a:extLst>
        </xdr:cNvPr>
        <xdr:cNvCxnSpPr/>
      </xdr:nvCxnSpPr>
      <xdr:spPr>
        <a:xfrm flipV="1">
          <a:off x="15732252" y="3917238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2172</xdr:row>
      <xdr:rowOff>109215</xdr:rowOff>
    </xdr:from>
    <xdr:to>
      <xdr:col>7</xdr:col>
      <xdr:colOff>1402207</xdr:colOff>
      <xdr:row>2172</xdr:row>
      <xdr:rowOff>109215</xdr:rowOff>
    </xdr:to>
    <xdr:cxnSp macro="_xll.PtreeEvent_ObjectClick">
      <xdr:nvCxnSpPr>
        <xdr:cNvPr id="4291" name="PTObj_DBranchHLine_1_1075">
          <a:extLst>
            <a:ext uri="{FF2B5EF4-FFF2-40B4-BE49-F238E27FC236}">
              <a16:creationId xmlns:a16="http://schemas.microsoft.com/office/drawing/2014/main" id="{D358C0D7-CE69-4720-A050-ED1731EB0D02}"/>
            </a:ext>
          </a:extLst>
        </xdr:cNvPr>
        <xdr:cNvCxnSpPr/>
      </xdr:nvCxnSpPr>
      <xdr:spPr>
        <a:xfrm>
          <a:off x="14460665" y="393186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2162</xdr:row>
      <xdr:rowOff>84138</xdr:rowOff>
    </xdr:from>
    <xdr:to>
      <xdr:col>7</xdr:col>
      <xdr:colOff>220790</xdr:colOff>
      <xdr:row>2172</xdr:row>
      <xdr:rowOff>109215</xdr:rowOff>
    </xdr:to>
    <xdr:cxnSp macro="_xll.PtreeEvent_ObjectClick">
      <xdr:nvCxnSpPr>
        <xdr:cNvPr id="4290" name="PTObj_DBranchDLine_1_1075">
          <a:extLst>
            <a:ext uri="{FF2B5EF4-FFF2-40B4-BE49-F238E27FC236}">
              <a16:creationId xmlns:a16="http://schemas.microsoft.com/office/drawing/2014/main" id="{01221BE2-ACAB-49FD-9166-DC55F456DD54}"/>
            </a:ext>
          </a:extLst>
        </xdr:cNvPr>
        <xdr:cNvCxnSpPr/>
      </xdr:nvCxnSpPr>
      <xdr:spPr>
        <a:xfrm>
          <a:off x="14308265" y="391352088"/>
          <a:ext cx="152400" cy="18348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2160</xdr:row>
      <xdr:rowOff>86370</xdr:rowOff>
    </xdr:from>
    <xdr:to>
      <xdr:col>11</xdr:col>
      <xdr:colOff>1386967</xdr:colOff>
      <xdr:row>2160</xdr:row>
      <xdr:rowOff>86370</xdr:rowOff>
    </xdr:to>
    <xdr:cxnSp macro="_xll.PtreeEvent_ObjectClick">
      <xdr:nvCxnSpPr>
        <xdr:cNvPr id="4287" name="PTObj_DBranchHLine_1_1069">
          <a:extLst>
            <a:ext uri="{FF2B5EF4-FFF2-40B4-BE49-F238E27FC236}">
              <a16:creationId xmlns:a16="http://schemas.microsoft.com/office/drawing/2014/main" id="{0F041ADD-0B5A-4C72-A150-F1126ADF5BBA}"/>
            </a:ext>
          </a:extLst>
        </xdr:cNvPr>
        <xdr:cNvCxnSpPr/>
      </xdr:nvCxnSpPr>
      <xdr:spPr>
        <a:xfrm>
          <a:off x="20149945" y="390992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2158</xdr:row>
      <xdr:rowOff>73670</xdr:rowOff>
    </xdr:from>
    <xdr:to>
      <xdr:col>11</xdr:col>
      <xdr:colOff>195070</xdr:colOff>
      <xdr:row>2160</xdr:row>
      <xdr:rowOff>86370</xdr:rowOff>
    </xdr:to>
    <xdr:cxnSp macro="_xll.PtreeEvent_ObjectClick">
      <xdr:nvCxnSpPr>
        <xdr:cNvPr id="4286" name="PTObj_DBranchDLine_1_1069">
          <a:extLst>
            <a:ext uri="{FF2B5EF4-FFF2-40B4-BE49-F238E27FC236}">
              <a16:creationId xmlns:a16="http://schemas.microsoft.com/office/drawing/2014/main" id="{3DC5A28D-E49D-4C3C-BB30-FB4B3B0B6B52}"/>
            </a:ext>
          </a:extLst>
        </xdr:cNvPr>
        <xdr:cNvCxnSpPr/>
      </xdr:nvCxnSpPr>
      <xdr:spPr>
        <a:xfrm>
          <a:off x="19997545" y="390617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2158</xdr:row>
      <xdr:rowOff>82550</xdr:rowOff>
    </xdr:from>
    <xdr:to>
      <xdr:col>10</xdr:col>
      <xdr:colOff>1388870</xdr:colOff>
      <xdr:row>2158</xdr:row>
      <xdr:rowOff>82550</xdr:rowOff>
    </xdr:to>
    <xdr:cxnSp macro="_xll.PtreeEvent_ObjectClick">
      <xdr:nvCxnSpPr>
        <xdr:cNvPr id="4283" name="PTObj_DBranchHLine_1_1068">
          <a:extLst>
            <a:ext uri="{FF2B5EF4-FFF2-40B4-BE49-F238E27FC236}">
              <a16:creationId xmlns:a16="http://schemas.microsoft.com/office/drawing/2014/main" id="{69691839-48AC-4FD4-8205-2FD305C23EEF}"/>
            </a:ext>
          </a:extLst>
        </xdr:cNvPr>
        <xdr:cNvCxnSpPr/>
      </xdr:nvCxnSpPr>
      <xdr:spPr>
        <a:xfrm>
          <a:off x="18730720" y="390626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2156</xdr:row>
      <xdr:rowOff>77490</xdr:rowOff>
    </xdr:from>
    <xdr:to>
      <xdr:col>10</xdr:col>
      <xdr:colOff>204595</xdr:colOff>
      <xdr:row>2158</xdr:row>
      <xdr:rowOff>82550</xdr:rowOff>
    </xdr:to>
    <xdr:cxnSp macro="_xll.PtreeEvent_ObjectClick">
      <xdr:nvCxnSpPr>
        <xdr:cNvPr id="4282" name="PTObj_DBranchDLine_1_1068">
          <a:extLst>
            <a:ext uri="{FF2B5EF4-FFF2-40B4-BE49-F238E27FC236}">
              <a16:creationId xmlns:a16="http://schemas.microsoft.com/office/drawing/2014/main" id="{0B2D819B-E9B8-4A28-BE75-DC33D5A44AEC}"/>
            </a:ext>
          </a:extLst>
        </xdr:cNvPr>
        <xdr:cNvCxnSpPr/>
      </xdr:nvCxnSpPr>
      <xdr:spPr>
        <a:xfrm>
          <a:off x="18578320" y="390259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2156</xdr:row>
      <xdr:rowOff>78730</xdr:rowOff>
    </xdr:from>
    <xdr:to>
      <xdr:col>9</xdr:col>
      <xdr:colOff>1392681</xdr:colOff>
      <xdr:row>2156</xdr:row>
      <xdr:rowOff>78730</xdr:rowOff>
    </xdr:to>
    <xdr:cxnSp macro="_xll.PtreeEvent_ObjectClick">
      <xdr:nvCxnSpPr>
        <xdr:cNvPr id="4279" name="PTObj_DBranchHLine_1_1067">
          <a:extLst>
            <a:ext uri="{FF2B5EF4-FFF2-40B4-BE49-F238E27FC236}">
              <a16:creationId xmlns:a16="http://schemas.microsoft.com/office/drawing/2014/main" id="{9FB79C14-FF5B-497E-9A78-CF38485DBFCD}"/>
            </a:ext>
          </a:extLst>
        </xdr:cNvPr>
        <xdr:cNvCxnSpPr/>
      </xdr:nvCxnSpPr>
      <xdr:spPr>
        <a:xfrm>
          <a:off x="17306734" y="390260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2154</xdr:row>
      <xdr:rowOff>73645</xdr:rowOff>
    </xdr:from>
    <xdr:to>
      <xdr:col>9</xdr:col>
      <xdr:colOff>209359</xdr:colOff>
      <xdr:row>2156</xdr:row>
      <xdr:rowOff>78730</xdr:rowOff>
    </xdr:to>
    <xdr:cxnSp macro="_xll.PtreeEvent_ObjectClick">
      <xdr:nvCxnSpPr>
        <xdr:cNvPr id="4278" name="PTObj_DBranchDLine_1_1067">
          <a:extLst>
            <a:ext uri="{FF2B5EF4-FFF2-40B4-BE49-F238E27FC236}">
              <a16:creationId xmlns:a16="http://schemas.microsoft.com/office/drawing/2014/main" id="{31EB52CA-E9A7-4C32-B52B-F1305F852DDB}"/>
            </a:ext>
          </a:extLst>
        </xdr:cNvPr>
        <xdr:cNvCxnSpPr/>
      </xdr:nvCxnSpPr>
      <xdr:spPr>
        <a:xfrm>
          <a:off x="17154334" y="3898937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2154</xdr:row>
      <xdr:rowOff>74935</xdr:rowOff>
    </xdr:from>
    <xdr:to>
      <xdr:col>8</xdr:col>
      <xdr:colOff>1398397</xdr:colOff>
      <xdr:row>2154</xdr:row>
      <xdr:rowOff>74935</xdr:rowOff>
    </xdr:to>
    <xdr:cxnSp macro="_xll.PtreeEvent_ObjectClick">
      <xdr:nvCxnSpPr>
        <xdr:cNvPr id="4275" name="PTObj_DBranchHLine_1_1066">
          <a:extLst>
            <a:ext uri="{FF2B5EF4-FFF2-40B4-BE49-F238E27FC236}">
              <a16:creationId xmlns:a16="http://schemas.microsoft.com/office/drawing/2014/main" id="{0804856D-AA5B-4629-9025-4399DF08B351}"/>
            </a:ext>
          </a:extLst>
        </xdr:cNvPr>
        <xdr:cNvCxnSpPr/>
      </xdr:nvCxnSpPr>
      <xdr:spPr>
        <a:xfrm>
          <a:off x="15888463" y="389895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2152</xdr:row>
      <xdr:rowOff>71735</xdr:rowOff>
    </xdr:from>
    <xdr:to>
      <xdr:col>8</xdr:col>
      <xdr:colOff>219838</xdr:colOff>
      <xdr:row>2154</xdr:row>
      <xdr:rowOff>74935</xdr:rowOff>
    </xdr:to>
    <xdr:cxnSp macro="_xll.PtreeEvent_ObjectClick">
      <xdr:nvCxnSpPr>
        <xdr:cNvPr id="4274" name="PTObj_DBranchDLine_1_1066">
          <a:extLst>
            <a:ext uri="{FF2B5EF4-FFF2-40B4-BE49-F238E27FC236}">
              <a16:creationId xmlns:a16="http://schemas.microsoft.com/office/drawing/2014/main" id="{0BCABE69-B20F-4BD5-9369-AA21DDC2CB06}"/>
            </a:ext>
          </a:extLst>
        </xdr:cNvPr>
        <xdr:cNvCxnSpPr/>
      </xdr:nvCxnSpPr>
      <xdr:spPr>
        <a:xfrm>
          <a:off x="15736063" y="3895299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2150</xdr:row>
      <xdr:rowOff>67320</xdr:rowOff>
    </xdr:from>
    <xdr:to>
      <xdr:col>11</xdr:col>
      <xdr:colOff>1386015</xdr:colOff>
      <xdr:row>2150</xdr:row>
      <xdr:rowOff>67320</xdr:rowOff>
    </xdr:to>
    <xdr:cxnSp macro="_xll.PtreeEvent_ObjectClick">
      <xdr:nvCxnSpPr>
        <xdr:cNvPr id="4271" name="PTObj_DBranchHLine_1_1064">
          <a:extLst>
            <a:ext uri="{FF2B5EF4-FFF2-40B4-BE49-F238E27FC236}">
              <a16:creationId xmlns:a16="http://schemas.microsoft.com/office/drawing/2014/main" id="{B0A28187-E07D-4B95-87FC-B3F10B38715B}"/>
            </a:ext>
          </a:extLst>
        </xdr:cNvPr>
        <xdr:cNvCxnSpPr/>
      </xdr:nvCxnSpPr>
      <xdr:spPr>
        <a:xfrm>
          <a:off x="20149945" y="389163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2148</xdr:row>
      <xdr:rowOff>58440</xdr:rowOff>
    </xdr:from>
    <xdr:to>
      <xdr:col>11</xdr:col>
      <xdr:colOff>195070</xdr:colOff>
      <xdr:row>2150</xdr:row>
      <xdr:rowOff>67320</xdr:rowOff>
    </xdr:to>
    <xdr:cxnSp macro="_xll.PtreeEvent_ObjectClick">
      <xdr:nvCxnSpPr>
        <xdr:cNvPr id="4270" name="PTObj_DBranchDLine_1_1064">
          <a:extLst>
            <a:ext uri="{FF2B5EF4-FFF2-40B4-BE49-F238E27FC236}">
              <a16:creationId xmlns:a16="http://schemas.microsoft.com/office/drawing/2014/main" id="{055BF728-8BD4-4D2C-A9E0-75D10C18BE86}"/>
            </a:ext>
          </a:extLst>
        </xdr:cNvPr>
        <xdr:cNvCxnSpPr/>
      </xdr:nvCxnSpPr>
      <xdr:spPr>
        <a:xfrm>
          <a:off x="19997545" y="388792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2148</xdr:row>
      <xdr:rowOff>63500</xdr:rowOff>
    </xdr:from>
    <xdr:to>
      <xdr:col>10</xdr:col>
      <xdr:colOff>1388870</xdr:colOff>
      <xdr:row>2148</xdr:row>
      <xdr:rowOff>63500</xdr:rowOff>
    </xdr:to>
    <xdr:cxnSp macro="_xll.PtreeEvent_ObjectClick">
      <xdr:nvCxnSpPr>
        <xdr:cNvPr id="4267" name="PTObj_DBranchHLine_1_1063">
          <a:extLst>
            <a:ext uri="{FF2B5EF4-FFF2-40B4-BE49-F238E27FC236}">
              <a16:creationId xmlns:a16="http://schemas.microsoft.com/office/drawing/2014/main" id="{50CB4923-5FF1-4A42-8F3C-2AE7997C34ED}"/>
            </a:ext>
          </a:extLst>
        </xdr:cNvPr>
        <xdr:cNvCxnSpPr/>
      </xdr:nvCxnSpPr>
      <xdr:spPr>
        <a:xfrm>
          <a:off x="18730720" y="388797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2146</xdr:row>
      <xdr:rowOff>54620</xdr:rowOff>
    </xdr:from>
    <xdr:to>
      <xdr:col>10</xdr:col>
      <xdr:colOff>204595</xdr:colOff>
      <xdr:row>2148</xdr:row>
      <xdr:rowOff>63500</xdr:rowOff>
    </xdr:to>
    <xdr:cxnSp macro="_xll.PtreeEvent_ObjectClick">
      <xdr:nvCxnSpPr>
        <xdr:cNvPr id="4266" name="PTObj_DBranchDLine_1_1063">
          <a:extLst>
            <a:ext uri="{FF2B5EF4-FFF2-40B4-BE49-F238E27FC236}">
              <a16:creationId xmlns:a16="http://schemas.microsoft.com/office/drawing/2014/main" id="{3A55C955-8FB3-4BD2-B524-01C898223FA5}"/>
            </a:ext>
          </a:extLst>
        </xdr:cNvPr>
        <xdr:cNvCxnSpPr/>
      </xdr:nvCxnSpPr>
      <xdr:spPr>
        <a:xfrm>
          <a:off x="18578320" y="388426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2146</xdr:row>
      <xdr:rowOff>59680</xdr:rowOff>
    </xdr:from>
    <xdr:to>
      <xdr:col>9</xdr:col>
      <xdr:colOff>1392681</xdr:colOff>
      <xdr:row>2146</xdr:row>
      <xdr:rowOff>59680</xdr:rowOff>
    </xdr:to>
    <xdr:cxnSp macro="_xll.PtreeEvent_ObjectClick">
      <xdr:nvCxnSpPr>
        <xdr:cNvPr id="4263" name="PTObj_DBranchHLine_1_1062">
          <a:extLst>
            <a:ext uri="{FF2B5EF4-FFF2-40B4-BE49-F238E27FC236}">
              <a16:creationId xmlns:a16="http://schemas.microsoft.com/office/drawing/2014/main" id="{EEE3D945-78EF-4A5B-AB4D-87B1197D6469}"/>
            </a:ext>
          </a:extLst>
        </xdr:cNvPr>
        <xdr:cNvCxnSpPr/>
      </xdr:nvCxnSpPr>
      <xdr:spPr>
        <a:xfrm>
          <a:off x="17306734" y="388432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2144</xdr:row>
      <xdr:rowOff>46980</xdr:rowOff>
    </xdr:from>
    <xdr:to>
      <xdr:col>9</xdr:col>
      <xdr:colOff>209359</xdr:colOff>
      <xdr:row>2146</xdr:row>
      <xdr:rowOff>59680</xdr:rowOff>
    </xdr:to>
    <xdr:cxnSp macro="_xll.PtreeEvent_ObjectClick">
      <xdr:nvCxnSpPr>
        <xdr:cNvPr id="4262" name="PTObj_DBranchDLine_1_1062">
          <a:extLst>
            <a:ext uri="{FF2B5EF4-FFF2-40B4-BE49-F238E27FC236}">
              <a16:creationId xmlns:a16="http://schemas.microsoft.com/office/drawing/2014/main" id="{9310AAB7-1215-4E03-8457-A22EC845E6FC}"/>
            </a:ext>
          </a:extLst>
        </xdr:cNvPr>
        <xdr:cNvCxnSpPr/>
      </xdr:nvCxnSpPr>
      <xdr:spPr>
        <a:xfrm>
          <a:off x="17154334" y="388057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2144</xdr:row>
      <xdr:rowOff>55885</xdr:rowOff>
    </xdr:from>
    <xdr:to>
      <xdr:col>8</xdr:col>
      <xdr:colOff>1398397</xdr:colOff>
      <xdr:row>2144</xdr:row>
      <xdr:rowOff>55885</xdr:rowOff>
    </xdr:to>
    <xdr:cxnSp macro="_xll.PtreeEvent_ObjectClick">
      <xdr:nvCxnSpPr>
        <xdr:cNvPr id="4259" name="PTObj_DBranchHLine_1_1061">
          <a:extLst>
            <a:ext uri="{FF2B5EF4-FFF2-40B4-BE49-F238E27FC236}">
              <a16:creationId xmlns:a16="http://schemas.microsoft.com/office/drawing/2014/main" id="{0C2E696E-A35B-4F3E-A349-3AB460A125EA}"/>
            </a:ext>
          </a:extLst>
        </xdr:cNvPr>
        <xdr:cNvCxnSpPr/>
      </xdr:nvCxnSpPr>
      <xdr:spPr>
        <a:xfrm>
          <a:off x="15884652" y="388066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2144</xdr:row>
      <xdr:rowOff>55885</xdr:rowOff>
    </xdr:from>
    <xdr:to>
      <xdr:col>8</xdr:col>
      <xdr:colOff>216027</xdr:colOff>
      <xdr:row>2152</xdr:row>
      <xdr:rowOff>71735</xdr:rowOff>
    </xdr:to>
    <xdr:cxnSp macro="_xll.PtreeEvent_ObjectClick">
      <xdr:nvCxnSpPr>
        <xdr:cNvPr id="4258" name="PTObj_DBranchDLine_1_1061">
          <a:extLst>
            <a:ext uri="{FF2B5EF4-FFF2-40B4-BE49-F238E27FC236}">
              <a16:creationId xmlns:a16="http://schemas.microsoft.com/office/drawing/2014/main" id="{51F55AC7-1BFD-40D3-9ACB-072D5E956021}"/>
            </a:ext>
          </a:extLst>
        </xdr:cNvPr>
        <xdr:cNvCxnSpPr/>
      </xdr:nvCxnSpPr>
      <xdr:spPr>
        <a:xfrm flipV="1">
          <a:off x="15732252" y="3880662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2152</xdr:row>
      <xdr:rowOff>71115</xdr:rowOff>
    </xdr:from>
    <xdr:to>
      <xdr:col>7</xdr:col>
      <xdr:colOff>1402207</xdr:colOff>
      <xdr:row>2152</xdr:row>
      <xdr:rowOff>71115</xdr:rowOff>
    </xdr:to>
    <xdr:cxnSp macro="_xll.PtreeEvent_ObjectClick">
      <xdr:nvCxnSpPr>
        <xdr:cNvPr id="4255" name="PTObj_DBranchHLine_1_1065">
          <a:extLst>
            <a:ext uri="{FF2B5EF4-FFF2-40B4-BE49-F238E27FC236}">
              <a16:creationId xmlns:a16="http://schemas.microsoft.com/office/drawing/2014/main" id="{0E75D073-78CA-4D8A-9FD0-586A5F2CDB32}"/>
            </a:ext>
          </a:extLst>
        </xdr:cNvPr>
        <xdr:cNvCxnSpPr/>
      </xdr:nvCxnSpPr>
      <xdr:spPr>
        <a:xfrm>
          <a:off x="14462570" y="3895293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2152</xdr:row>
      <xdr:rowOff>71115</xdr:rowOff>
    </xdr:from>
    <xdr:to>
      <xdr:col>7</xdr:col>
      <xdr:colOff>222695</xdr:colOff>
      <xdr:row>2162</xdr:row>
      <xdr:rowOff>84138</xdr:rowOff>
    </xdr:to>
    <xdr:cxnSp macro="_xll.PtreeEvent_ObjectClick">
      <xdr:nvCxnSpPr>
        <xdr:cNvPr id="4254" name="PTObj_DBranchDLine_1_1065">
          <a:extLst>
            <a:ext uri="{FF2B5EF4-FFF2-40B4-BE49-F238E27FC236}">
              <a16:creationId xmlns:a16="http://schemas.microsoft.com/office/drawing/2014/main" id="{EAD14800-A23B-47F0-A076-7C07440EA4FE}"/>
            </a:ext>
          </a:extLst>
        </xdr:cNvPr>
        <xdr:cNvCxnSpPr/>
      </xdr:nvCxnSpPr>
      <xdr:spPr>
        <a:xfrm flipV="1">
          <a:off x="14310170" y="389529315"/>
          <a:ext cx="152400" cy="18227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2162</xdr:row>
      <xdr:rowOff>90165</xdr:rowOff>
    </xdr:from>
    <xdr:to>
      <xdr:col>6</xdr:col>
      <xdr:colOff>1407922</xdr:colOff>
      <xdr:row>2162</xdr:row>
      <xdr:rowOff>90165</xdr:rowOff>
    </xdr:to>
    <xdr:cxnSp macro="_xll.PtreeEvent_ObjectClick">
      <xdr:nvCxnSpPr>
        <xdr:cNvPr id="4251" name="PTObj_DBranchHLine_1_1070">
          <a:extLst>
            <a:ext uri="{FF2B5EF4-FFF2-40B4-BE49-F238E27FC236}">
              <a16:creationId xmlns:a16="http://schemas.microsoft.com/office/drawing/2014/main" id="{CF3300A7-1403-475A-B3D8-3A6E452BEE46}"/>
            </a:ext>
          </a:extLst>
        </xdr:cNvPr>
        <xdr:cNvCxnSpPr/>
      </xdr:nvCxnSpPr>
      <xdr:spPr>
        <a:xfrm>
          <a:off x="13036677" y="3913581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2142</xdr:row>
      <xdr:rowOff>40332</xdr:rowOff>
    </xdr:from>
    <xdr:to>
      <xdr:col>6</xdr:col>
      <xdr:colOff>225552</xdr:colOff>
      <xdr:row>2162</xdr:row>
      <xdr:rowOff>90165</xdr:rowOff>
    </xdr:to>
    <xdr:cxnSp macro="_xll.PtreeEvent_ObjectClick">
      <xdr:nvCxnSpPr>
        <xdr:cNvPr id="4250" name="PTObj_DBranchDLine_1_1070">
          <a:extLst>
            <a:ext uri="{FF2B5EF4-FFF2-40B4-BE49-F238E27FC236}">
              <a16:creationId xmlns:a16="http://schemas.microsoft.com/office/drawing/2014/main" id="{E6D55EB7-9455-45CB-B82D-9430BD873B85}"/>
            </a:ext>
          </a:extLst>
        </xdr:cNvPr>
        <xdr:cNvCxnSpPr/>
      </xdr:nvCxnSpPr>
      <xdr:spPr>
        <a:xfrm>
          <a:off x="12884276" y="387688782"/>
          <a:ext cx="152401" cy="36693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2140</xdr:row>
      <xdr:rowOff>48270</xdr:rowOff>
    </xdr:from>
    <xdr:to>
      <xdr:col>11</xdr:col>
      <xdr:colOff>1386967</xdr:colOff>
      <xdr:row>2140</xdr:row>
      <xdr:rowOff>48270</xdr:rowOff>
    </xdr:to>
    <xdr:cxnSp macro="_xll.PtreeEvent_ObjectClick">
      <xdr:nvCxnSpPr>
        <xdr:cNvPr id="4247" name="PTObj_DBranchHLine_1_1059">
          <a:extLst>
            <a:ext uri="{FF2B5EF4-FFF2-40B4-BE49-F238E27FC236}">
              <a16:creationId xmlns:a16="http://schemas.microsoft.com/office/drawing/2014/main" id="{9C646E70-8BBE-4D0D-93FA-4DFFF9C1B214}"/>
            </a:ext>
          </a:extLst>
        </xdr:cNvPr>
        <xdr:cNvCxnSpPr/>
      </xdr:nvCxnSpPr>
      <xdr:spPr>
        <a:xfrm>
          <a:off x="20149945" y="387334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2138</xdr:row>
      <xdr:rowOff>35570</xdr:rowOff>
    </xdr:from>
    <xdr:to>
      <xdr:col>11</xdr:col>
      <xdr:colOff>195070</xdr:colOff>
      <xdr:row>2140</xdr:row>
      <xdr:rowOff>48270</xdr:rowOff>
    </xdr:to>
    <xdr:cxnSp macro="_xll.PtreeEvent_ObjectClick">
      <xdr:nvCxnSpPr>
        <xdr:cNvPr id="4246" name="PTObj_DBranchDLine_1_1059">
          <a:extLst>
            <a:ext uri="{FF2B5EF4-FFF2-40B4-BE49-F238E27FC236}">
              <a16:creationId xmlns:a16="http://schemas.microsoft.com/office/drawing/2014/main" id="{88ABACCF-684D-4E6B-A175-6CCDD61EFA3D}"/>
            </a:ext>
          </a:extLst>
        </xdr:cNvPr>
        <xdr:cNvCxnSpPr/>
      </xdr:nvCxnSpPr>
      <xdr:spPr>
        <a:xfrm>
          <a:off x="19997545" y="386960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2138</xdr:row>
      <xdr:rowOff>44450</xdr:rowOff>
    </xdr:from>
    <xdr:to>
      <xdr:col>10</xdr:col>
      <xdr:colOff>1388870</xdr:colOff>
      <xdr:row>2138</xdr:row>
      <xdr:rowOff>44450</xdr:rowOff>
    </xdr:to>
    <xdr:cxnSp macro="_xll.PtreeEvent_ObjectClick">
      <xdr:nvCxnSpPr>
        <xdr:cNvPr id="4243" name="PTObj_DBranchHLine_1_1058">
          <a:extLst>
            <a:ext uri="{FF2B5EF4-FFF2-40B4-BE49-F238E27FC236}">
              <a16:creationId xmlns:a16="http://schemas.microsoft.com/office/drawing/2014/main" id="{3A427BF7-C176-4A98-A61C-194E59541AF4}"/>
            </a:ext>
          </a:extLst>
        </xdr:cNvPr>
        <xdr:cNvCxnSpPr/>
      </xdr:nvCxnSpPr>
      <xdr:spPr>
        <a:xfrm>
          <a:off x="18730720" y="386969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2136</xdr:row>
      <xdr:rowOff>39390</xdr:rowOff>
    </xdr:from>
    <xdr:to>
      <xdr:col>10</xdr:col>
      <xdr:colOff>204595</xdr:colOff>
      <xdr:row>2138</xdr:row>
      <xdr:rowOff>44450</xdr:rowOff>
    </xdr:to>
    <xdr:cxnSp macro="_xll.PtreeEvent_ObjectClick">
      <xdr:nvCxnSpPr>
        <xdr:cNvPr id="4242" name="PTObj_DBranchDLine_1_1058">
          <a:extLst>
            <a:ext uri="{FF2B5EF4-FFF2-40B4-BE49-F238E27FC236}">
              <a16:creationId xmlns:a16="http://schemas.microsoft.com/office/drawing/2014/main" id="{9BEE8108-4354-49C4-82EE-21CC74166167}"/>
            </a:ext>
          </a:extLst>
        </xdr:cNvPr>
        <xdr:cNvCxnSpPr/>
      </xdr:nvCxnSpPr>
      <xdr:spPr>
        <a:xfrm>
          <a:off x="18578320" y="386601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2136</xdr:row>
      <xdr:rowOff>40630</xdr:rowOff>
    </xdr:from>
    <xdr:to>
      <xdr:col>9</xdr:col>
      <xdr:colOff>1392681</xdr:colOff>
      <xdr:row>2136</xdr:row>
      <xdr:rowOff>40630</xdr:rowOff>
    </xdr:to>
    <xdr:cxnSp macro="_xll.PtreeEvent_ObjectClick">
      <xdr:nvCxnSpPr>
        <xdr:cNvPr id="4239" name="PTObj_DBranchHLine_1_1057">
          <a:extLst>
            <a:ext uri="{FF2B5EF4-FFF2-40B4-BE49-F238E27FC236}">
              <a16:creationId xmlns:a16="http://schemas.microsoft.com/office/drawing/2014/main" id="{8B299C20-18DB-4C81-BE98-DDECC664265E}"/>
            </a:ext>
          </a:extLst>
        </xdr:cNvPr>
        <xdr:cNvCxnSpPr/>
      </xdr:nvCxnSpPr>
      <xdr:spPr>
        <a:xfrm>
          <a:off x="17306734" y="386603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2134</xdr:row>
      <xdr:rowOff>35545</xdr:rowOff>
    </xdr:from>
    <xdr:to>
      <xdr:col>9</xdr:col>
      <xdr:colOff>209359</xdr:colOff>
      <xdr:row>2136</xdr:row>
      <xdr:rowOff>40630</xdr:rowOff>
    </xdr:to>
    <xdr:cxnSp macro="_xll.PtreeEvent_ObjectClick">
      <xdr:nvCxnSpPr>
        <xdr:cNvPr id="4238" name="PTObj_DBranchDLine_1_1057">
          <a:extLst>
            <a:ext uri="{FF2B5EF4-FFF2-40B4-BE49-F238E27FC236}">
              <a16:creationId xmlns:a16="http://schemas.microsoft.com/office/drawing/2014/main" id="{21728A68-C7DD-43F7-B0F8-21A3C84758D0}"/>
            </a:ext>
          </a:extLst>
        </xdr:cNvPr>
        <xdr:cNvCxnSpPr/>
      </xdr:nvCxnSpPr>
      <xdr:spPr>
        <a:xfrm>
          <a:off x="17154334" y="3862361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2134</xdr:row>
      <xdr:rowOff>36835</xdr:rowOff>
    </xdr:from>
    <xdr:to>
      <xdr:col>8</xdr:col>
      <xdr:colOff>1398397</xdr:colOff>
      <xdr:row>2134</xdr:row>
      <xdr:rowOff>36835</xdr:rowOff>
    </xdr:to>
    <xdr:cxnSp macro="_xll.PtreeEvent_ObjectClick">
      <xdr:nvCxnSpPr>
        <xdr:cNvPr id="4235" name="PTObj_DBranchHLine_1_1056">
          <a:extLst>
            <a:ext uri="{FF2B5EF4-FFF2-40B4-BE49-F238E27FC236}">
              <a16:creationId xmlns:a16="http://schemas.microsoft.com/office/drawing/2014/main" id="{2A7CDE18-B17D-46A1-8576-EDED5C381FCA}"/>
            </a:ext>
          </a:extLst>
        </xdr:cNvPr>
        <xdr:cNvCxnSpPr/>
      </xdr:nvCxnSpPr>
      <xdr:spPr>
        <a:xfrm>
          <a:off x="15888463" y="386237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2132</xdr:row>
      <xdr:rowOff>33635</xdr:rowOff>
    </xdr:from>
    <xdr:to>
      <xdr:col>8</xdr:col>
      <xdr:colOff>219838</xdr:colOff>
      <xdr:row>2134</xdr:row>
      <xdr:rowOff>36835</xdr:rowOff>
    </xdr:to>
    <xdr:cxnSp macro="_xll.PtreeEvent_ObjectClick">
      <xdr:nvCxnSpPr>
        <xdr:cNvPr id="4234" name="PTObj_DBranchDLine_1_1056">
          <a:extLst>
            <a:ext uri="{FF2B5EF4-FFF2-40B4-BE49-F238E27FC236}">
              <a16:creationId xmlns:a16="http://schemas.microsoft.com/office/drawing/2014/main" id="{03FDD552-B307-402B-9510-6AA3496B4FA7}"/>
            </a:ext>
          </a:extLst>
        </xdr:cNvPr>
        <xdr:cNvCxnSpPr/>
      </xdr:nvCxnSpPr>
      <xdr:spPr>
        <a:xfrm>
          <a:off x="15736063" y="3858723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2130</xdr:row>
      <xdr:rowOff>29220</xdr:rowOff>
    </xdr:from>
    <xdr:to>
      <xdr:col>11</xdr:col>
      <xdr:colOff>1386015</xdr:colOff>
      <xdr:row>2130</xdr:row>
      <xdr:rowOff>29220</xdr:rowOff>
    </xdr:to>
    <xdr:cxnSp macro="_xll.PtreeEvent_ObjectClick">
      <xdr:nvCxnSpPr>
        <xdr:cNvPr id="4231" name="PTObj_DBranchHLine_1_1054">
          <a:extLst>
            <a:ext uri="{FF2B5EF4-FFF2-40B4-BE49-F238E27FC236}">
              <a16:creationId xmlns:a16="http://schemas.microsoft.com/office/drawing/2014/main" id="{52BF1223-A3E8-477E-81B8-5B09085F498F}"/>
            </a:ext>
          </a:extLst>
        </xdr:cNvPr>
        <xdr:cNvCxnSpPr/>
      </xdr:nvCxnSpPr>
      <xdr:spPr>
        <a:xfrm>
          <a:off x="20149945" y="385505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2128</xdr:row>
      <xdr:rowOff>20340</xdr:rowOff>
    </xdr:from>
    <xdr:to>
      <xdr:col>11</xdr:col>
      <xdr:colOff>195070</xdr:colOff>
      <xdr:row>2130</xdr:row>
      <xdr:rowOff>29220</xdr:rowOff>
    </xdr:to>
    <xdr:cxnSp macro="_xll.PtreeEvent_ObjectClick">
      <xdr:nvCxnSpPr>
        <xdr:cNvPr id="4230" name="PTObj_DBranchDLine_1_1054">
          <a:extLst>
            <a:ext uri="{FF2B5EF4-FFF2-40B4-BE49-F238E27FC236}">
              <a16:creationId xmlns:a16="http://schemas.microsoft.com/office/drawing/2014/main" id="{00FCB129-1CA1-4D6A-879D-281BD9903DDD}"/>
            </a:ext>
          </a:extLst>
        </xdr:cNvPr>
        <xdr:cNvCxnSpPr/>
      </xdr:nvCxnSpPr>
      <xdr:spPr>
        <a:xfrm>
          <a:off x="19997545" y="385135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2128</xdr:row>
      <xdr:rowOff>25400</xdr:rowOff>
    </xdr:from>
    <xdr:to>
      <xdr:col>10</xdr:col>
      <xdr:colOff>1388870</xdr:colOff>
      <xdr:row>2128</xdr:row>
      <xdr:rowOff>25400</xdr:rowOff>
    </xdr:to>
    <xdr:cxnSp macro="_xll.PtreeEvent_ObjectClick">
      <xdr:nvCxnSpPr>
        <xdr:cNvPr id="4227" name="PTObj_DBranchHLine_1_1053">
          <a:extLst>
            <a:ext uri="{FF2B5EF4-FFF2-40B4-BE49-F238E27FC236}">
              <a16:creationId xmlns:a16="http://schemas.microsoft.com/office/drawing/2014/main" id="{0741BEBE-6D9D-4698-9CA6-D618221366AB}"/>
            </a:ext>
          </a:extLst>
        </xdr:cNvPr>
        <xdr:cNvCxnSpPr/>
      </xdr:nvCxnSpPr>
      <xdr:spPr>
        <a:xfrm>
          <a:off x="18730720" y="385140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2126</xdr:row>
      <xdr:rowOff>16520</xdr:rowOff>
    </xdr:from>
    <xdr:to>
      <xdr:col>10</xdr:col>
      <xdr:colOff>204595</xdr:colOff>
      <xdr:row>2128</xdr:row>
      <xdr:rowOff>25400</xdr:rowOff>
    </xdr:to>
    <xdr:cxnSp macro="_xll.PtreeEvent_ObjectClick">
      <xdr:nvCxnSpPr>
        <xdr:cNvPr id="4226" name="PTObj_DBranchDLine_1_1053">
          <a:extLst>
            <a:ext uri="{FF2B5EF4-FFF2-40B4-BE49-F238E27FC236}">
              <a16:creationId xmlns:a16="http://schemas.microsoft.com/office/drawing/2014/main" id="{2B0BCF91-38FE-40D5-8970-014D1B841ED2}"/>
            </a:ext>
          </a:extLst>
        </xdr:cNvPr>
        <xdr:cNvCxnSpPr/>
      </xdr:nvCxnSpPr>
      <xdr:spPr>
        <a:xfrm>
          <a:off x="18578320" y="384769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2126</xdr:row>
      <xdr:rowOff>21580</xdr:rowOff>
    </xdr:from>
    <xdr:to>
      <xdr:col>9</xdr:col>
      <xdr:colOff>1392681</xdr:colOff>
      <xdr:row>2126</xdr:row>
      <xdr:rowOff>21580</xdr:rowOff>
    </xdr:to>
    <xdr:cxnSp macro="_xll.PtreeEvent_ObjectClick">
      <xdr:nvCxnSpPr>
        <xdr:cNvPr id="4223" name="PTObj_DBranchHLine_1_1052">
          <a:extLst>
            <a:ext uri="{FF2B5EF4-FFF2-40B4-BE49-F238E27FC236}">
              <a16:creationId xmlns:a16="http://schemas.microsoft.com/office/drawing/2014/main" id="{5A53D7B7-2D69-471E-BD55-642C27ACAE6D}"/>
            </a:ext>
          </a:extLst>
        </xdr:cNvPr>
        <xdr:cNvCxnSpPr/>
      </xdr:nvCxnSpPr>
      <xdr:spPr>
        <a:xfrm>
          <a:off x="17306734" y="384774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2124</xdr:row>
      <xdr:rowOff>8880</xdr:rowOff>
    </xdr:from>
    <xdr:to>
      <xdr:col>9</xdr:col>
      <xdr:colOff>209359</xdr:colOff>
      <xdr:row>2126</xdr:row>
      <xdr:rowOff>21580</xdr:rowOff>
    </xdr:to>
    <xdr:cxnSp macro="_xll.PtreeEvent_ObjectClick">
      <xdr:nvCxnSpPr>
        <xdr:cNvPr id="4222" name="PTObj_DBranchDLine_1_1052">
          <a:extLst>
            <a:ext uri="{FF2B5EF4-FFF2-40B4-BE49-F238E27FC236}">
              <a16:creationId xmlns:a16="http://schemas.microsoft.com/office/drawing/2014/main" id="{7E813722-3C77-43C7-9563-BD1BDBE3E6C3}"/>
            </a:ext>
          </a:extLst>
        </xdr:cNvPr>
        <xdr:cNvCxnSpPr/>
      </xdr:nvCxnSpPr>
      <xdr:spPr>
        <a:xfrm>
          <a:off x="17154334" y="384399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2124</xdr:row>
      <xdr:rowOff>17785</xdr:rowOff>
    </xdr:from>
    <xdr:to>
      <xdr:col>8</xdr:col>
      <xdr:colOff>1398397</xdr:colOff>
      <xdr:row>2124</xdr:row>
      <xdr:rowOff>17785</xdr:rowOff>
    </xdr:to>
    <xdr:cxnSp macro="_xll.PtreeEvent_ObjectClick">
      <xdr:nvCxnSpPr>
        <xdr:cNvPr id="4219" name="PTObj_DBranchHLine_1_1051">
          <a:extLst>
            <a:ext uri="{FF2B5EF4-FFF2-40B4-BE49-F238E27FC236}">
              <a16:creationId xmlns:a16="http://schemas.microsoft.com/office/drawing/2014/main" id="{A6B23C7B-30C5-40DF-9BE4-5C557A9C0527}"/>
            </a:ext>
          </a:extLst>
        </xdr:cNvPr>
        <xdr:cNvCxnSpPr/>
      </xdr:nvCxnSpPr>
      <xdr:spPr>
        <a:xfrm>
          <a:off x="15884652" y="384408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2124</xdr:row>
      <xdr:rowOff>17785</xdr:rowOff>
    </xdr:from>
    <xdr:to>
      <xdr:col>8</xdr:col>
      <xdr:colOff>216027</xdr:colOff>
      <xdr:row>2132</xdr:row>
      <xdr:rowOff>33635</xdr:rowOff>
    </xdr:to>
    <xdr:cxnSp macro="_xll.PtreeEvent_ObjectClick">
      <xdr:nvCxnSpPr>
        <xdr:cNvPr id="4218" name="PTObj_DBranchDLine_1_1051">
          <a:extLst>
            <a:ext uri="{FF2B5EF4-FFF2-40B4-BE49-F238E27FC236}">
              <a16:creationId xmlns:a16="http://schemas.microsoft.com/office/drawing/2014/main" id="{7D9DCF77-5486-4AD4-823A-93F49EC861EE}"/>
            </a:ext>
          </a:extLst>
        </xdr:cNvPr>
        <xdr:cNvCxnSpPr/>
      </xdr:nvCxnSpPr>
      <xdr:spPr>
        <a:xfrm flipV="1">
          <a:off x="15732252" y="3844086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2132</xdr:row>
      <xdr:rowOff>33015</xdr:rowOff>
    </xdr:from>
    <xdr:to>
      <xdr:col>7</xdr:col>
      <xdr:colOff>1402207</xdr:colOff>
      <xdr:row>2132</xdr:row>
      <xdr:rowOff>33015</xdr:rowOff>
    </xdr:to>
    <xdr:cxnSp macro="_xll.PtreeEvent_ObjectClick">
      <xdr:nvCxnSpPr>
        <xdr:cNvPr id="4215" name="PTObj_DBranchHLine_1_1055">
          <a:extLst>
            <a:ext uri="{FF2B5EF4-FFF2-40B4-BE49-F238E27FC236}">
              <a16:creationId xmlns:a16="http://schemas.microsoft.com/office/drawing/2014/main" id="{7A59B889-E59E-4AFA-BD8E-5DC10B729628}"/>
            </a:ext>
          </a:extLst>
        </xdr:cNvPr>
        <xdr:cNvCxnSpPr/>
      </xdr:nvCxnSpPr>
      <xdr:spPr>
        <a:xfrm>
          <a:off x="14460665" y="385871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2122</xdr:row>
      <xdr:rowOff>2232</xdr:rowOff>
    </xdr:from>
    <xdr:to>
      <xdr:col>7</xdr:col>
      <xdr:colOff>220790</xdr:colOff>
      <xdr:row>2132</xdr:row>
      <xdr:rowOff>33015</xdr:rowOff>
    </xdr:to>
    <xdr:cxnSp macro="_xll.PtreeEvent_ObjectClick">
      <xdr:nvCxnSpPr>
        <xdr:cNvPr id="4214" name="PTObj_DBranchDLine_1_1055">
          <a:extLst>
            <a:ext uri="{FF2B5EF4-FFF2-40B4-BE49-F238E27FC236}">
              <a16:creationId xmlns:a16="http://schemas.microsoft.com/office/drawing/2014/main" id="{E8E66947-86FE-48FB-83A0-C4AA990ABBAB}"/>
            </a:ext>
          </a:extLst>
        </xdr:cNvPr>
        <xdr:cNvCxnSpPr/>
      </xdr:nvCxnSpPr>
      <xdr:spPr>
        <a:xfrm>
          <a:off x="14308265" y="3840311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2120</xdr:row>
      <xdr:rowOff>10170</xdr:rowOff>
    </xdr:from>
    <xdr:to>
      <xdr:col>11</xdr:col>
      <xdr:colOff>1386967</xdr:colOff>
      <xdr:row>2120</xdr:row>
      <xdr:rowOff>10170</xdr:rowOff>
    </xdr:to>
    <xdr:cxnSp macro="_xll.PtreeEvent_ObjectClick">
      <xdr:nvCxnSpPr>
        <xdr:cNvPr id="4211" name="PTObj_DBranchHLine_1_1049">
          <a:extLst>
            <a:ext uri="{FF2B5EF4-FFF2-40B4-BE49-F238E27FC236}">
              <a16:creationId xmlns:a16="http://schemas.microsoft.com/office/drawing/2014/main" id="{5C3045E5-7677-4650-802D-C15CA135026F}"/>
            </a:ext>
          </a:extLst>
        </xdr:cNvPr>
        <xdr:cNvCxnSpPr/>
      </xdr:nvCxnSpPr>
      <xdr:spPr>
        <a:xfrm>
          <a:off x="20149945" y="383677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2117</xdr:row>
      <xdr:rowOff>178445</xdr:rowOff>
    </xdr:from>
    <xdr:to>
      <xdr:col>11</xdr:col>
      <xdr:colOff>195070</xdr:colOff>
      <xdr:row>2120</xdr:row>
      <xdr:rowOff>10170</xdr:rowOff>
    </xdr:to>
    <xdr:cxnSp macro="_xll.PtreeEvent_ObjectClick">
      <xdr:nvCxnSpPr>
        <xdr:cNvPr id="4210" name="PTObj_DBranchDLine_1_1049">
          <a:extLst>
            <a:ext uri="{FF2B5EF4-FFF2-40B4-BE49-F238E27FC236}">
              <a16:creationId xmlns:a16="http://schemas.microsoft.com/office/drawing/2014/main" id="{71B458BF-7011-4BAB-8F4F-B96CAE790EE9}"/>
            </a:ext>
          </a:extLst>
        </xdr:cNvPr>
        <xdr:cNvCxnSpPr/>
      </xdr:nvCxnSpPr>
      <xdr:spPr>
        <a:xfrm>
          <a:off x="19997545" y="383302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2118</xdr:row>
      <xdr:rowOff>6350</xdr:rowOff>
    </xdr:from>
    <xdr:to>
      <xdr:col>10</xdr:col>
      <xdr:colOff>1388870</xdr:colOff>
      <xdr:row>2118</xdr:row>
      <xdr:rowOff>6350</xdr:rowOff>
    </xdr:to>
    <xdr:cxnSp macro="_xll.PtreeEvent_ObjectClick">
      <xdr:nvCxnSpPr>
        <xdr:cNvPr id="4207" name="PTObj_DBranchHLine_1_1048">
          <a:extLst>
            <a:ext uri="{FF2B5EF4-FFF2-40B4-BE49-F238E27FC236}">
              <a16:creationId xmlns:a16="http://schemas.microsoft.com/office/drawing/2014/main" id="{557EDD20-D73D-4B40-A366-CFBB3B55E83A}"/>
            </a:ext>
          </a:extLst>
        </xdr:cNvPr>
        <xdr:cNvCxnSpPr/>
      </xdr:nvCxnSpPr>
      <xdr:spPr>
        <a:xfrm>
          <a:off x="18730720" y="383311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2116</xdr:row>
      <xdr:rowOff>1290</xdr:rowOff>
    </xdr:from>
    <xdr:to>
      <xdr:col>10</xdr:col>
      <xdr:colOff>204595</xdr:colOff>
      <xdr:row>2118</xdr:row>
      <xdr:rowOff>6350</xdr:rowOff>
    </xdr:to>
    <xdr:cxnSp macro="_xll.PtreeEvent_ObjectClick">
      <xdr:nvCxnSpPr>
        <xdr:cNvPr id="4206" name="PTObj_DBranchDLine_1_1048">
          <a:extLst>
            <a:ext uri="{FF2B5EF4-FFF2-40B4-BE49-F238E27FC236}">
              <a16:creationId xmlns:a16="http://schemas.microsoft.com/office/drawing/2014/main" id="{70553CC5-F2B6-4978-886D-EE0C920424FF}"/>
            </a:ext>
          </a:extLst>
        </xdr:cNvPr>
        <xdr:cNvCxnSpPr/>
      </xdr:nvCxnSpPr>
      <xdr:spPr>
        <a:xfrm>
          <a:off x="18578320" y="382944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2116</xdr:row>
      <xdr:rowOff>2530</xdr:rowOff>
    </xdr:from>
    <xdr:to>
      <xdr:col>9</xdr:col>
      <xdr:colOff>1392681</xdr:colOff>
      <xdr:row>2116</xdr:row>
      <xdr:rowOff>2530</xdr:rowOff>
    </xdr:to>
    <xdr:cxnSp macro="_xll.PtreeEvent_ObjectClick">
      <xdr:nvCxnSpPr>
        <xdr:cNvPr id="4203" name="PTObj_DBranchHLine_1_1047">
          <a:extLst>
            <a:ext uri="{FF2B5EF4-FFF2-40B4-BE49-F238E27FC236}">
              <a16:creationId xmlns:a16="http://schemas.microsoft.com/office/drawing/2014/main" id="{CA421A8F-660A-47F1-AAAA-5FE4E612BEBB}"/>
            </a:ext>
          </a:extLst>
        </xdr:cNvPr>
        <xdr:cNvCxnSpPr/>
      </xdr:nvCxnSpPr>
      <xdr:spPr>
        <a:xfrm>
          <a:off x="17306734" y="382945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2113</xdr:row>
      <xdr:rowOff>178420</xdr:rowOff>
    </xdr:from>
    <xdr:to>
      <xdr:col>9</xdr:col>
      <xdr:colOff>209359</xdr:colOff>
      <xdr:row>2116</xdr:row>
      <xdr:rowOff>2530</xdr:rowOff>
    </xdr:to>
    <xdr:cxnSp macro="_xll.PtreeEvent_ObjectClick">
      <xdr:nvCxnSpPr>
        <xdr:cNvPr id="4202" name="PTObj_DBranchDLine_1_1047">
          <a:extLst>
            <a:ext uri="{FF2B5EF4-FFF2-40B4-BE49-F238E27FC236}">
              <a16:creationId xmlns:a16="http://schemas.microsoft.com/office/drawing/2014/main" id="{A273F464-2D52-4B44-8F75-6B54547943B2}"/>
            </a:ext>
          </a:extLst>
        </xdr:cNvPr>
        <xdr:cNvCxnSpPr/>
      </xdr:nvCxnSpPr>
      <xdr:spPr>
        <a:xfrm>
          <a:off x="17154334" y="3825785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2113</xdr:row>
      <xdr:rowOff>179710</xdr:rowOff>
    </xdr:from>
    <xdr:to>
      <xdr:col>8</xdr:col>
      <xdr:colOff>1398397</xdr:colOff>
      <xdr:row>2113</xdr:row>
      <xdr:rowOff>179710</xdr:rowOff>
    </xdr:to>
    <xdr:cxnSp macro="_xll.PtreeEvent_ObjectClick">
      <xdr:nvCxnSpPr>
        <xdr:cNvPr id="4199" name="PTObj_DBranchHLine_1_1046">
          <a:extLst>
            <a:ext uri="{FF2B5EF4-FFF2-40B4-BE49-F238E27FC236}">
              <a16:creationId xmlns:a16="http://schemas.microsoft.com/office/drawing/2014/main" id="{1FDE4093-3615-4268-9227-514330704758}"/>
            </a:ext>
          </a:extLst>
        </xdr:cNvPr>
        <xdr:cNvCxnSpPr/>
      </xdr:nvCxnSpPr>
      <xdr:spPr>
        <a:xfrm>
          <a:off x="15888463" y="382579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2111</xdr:row>
      <xdr:rowOff>176510</xdr:rowOff>
    </xdr:from>
    <xdr:to>
      <xdr:col>8</xdr:col>
      <xdr:colOff>219838</xdr:colOff>
      <xdr:row>2113</xdr:row>
      <xdr:rowOff>179710</xdr:rowOff>
    </xdr:to>
    <xdr:cxnSp macro="_xll.PtreeEvent_ObjectClick">
      <xdr:nvCxnSpPr>
        <xdr:cNvPr id="4198" name="PTObj_DBranchDLine_1_1046">
          <a:extLst>
            <a:ext uri="{FF2B5EF4-FFF2-40B4-BE49-F238E27FC236}">
              <a16:creationId xmlns:a16="http://schemas.microsoft.com/office/drawing/2014/main" id="{3B8A9183-C487-4D23-B27A-AC938A6295C0}"/>
            </a:ext>
          </a:extLst>
        </xdr:cNvPr>
        <xdr:cNvCxnSpPr/>
      </xdr:nvCxnSpPr>
      <xdr:spPr>
        <a:xfrm>
          <a:off x="15736063" y="3822147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2109</xdr:row>
      <xdr:rowOff>172095</xdr:rowOff>
    </xdr:from>
    <xdr:to>
      <xdr:col>11</xdr:col>
      <xdr:colOff>1386015</xdr:colOff>
      <xdr:row>2109</xdr:row>
      <xdr:rowOff>172095</xdr:rowOff>
    </xdr:to>
    <xdr:cxnSp macro="_xll.PtreeEvent_ObjectClick">
      <xdr:nvCxnSpPr>
        <xdr:cNvPr id="4195" name="PTObj_DBranchHLine_1_1044">
          <a:extLst>
            <a:ext uri="{FF2B5EF4-FFF2-40B4-BE49-F238E27FC236}">
              <a16:creationId xmlns:a16="http://schemas.microsoft.com/office/drawing/2014/main" id="{A6086D80-0ECB-4355-BA0F-3438B3408861}"/>
            </a:ext>
          </a:extLst>
        </xdr:cNvPr>
        <xdr:cNvCxnSpPr/>
      </xdr:nvCxnSpPr>
      <xdr:spPr>
        <a:xfrm>
          <a:off x="20149945" y="381848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2107</xdr:row>
      <xdr:rowOff>163215</xdr:rowOff>
    </xdr:from>
    <xdr:to>
      <xdr:col>11</xdr:col>
      <xdr:colOff>195070</xdr:colOff>
      <xdr:row>2109</xdr:row>
      <xdr:rowOff>172095</xdr:rowOff>
    </xdr:to>
    <xdr:cxnSp macro="_xll.PtreeEvent_ObjectClick">
      <xdr:nvCxnSpPr>
        <xdr:cNvPr id="4194" name="PTObj_DBranchDLine_1_1044">
          <a:extLst>
            <a:ext uri="{FF2B5EF4-FFF2-40B4-BE49-F238E27FC236}">
              <a16:creationId xmlns:a16="http://schemas.microsoft.com/office/drawing/2014/main" id="{1B078594-1771-435F-A405-9FD97D0951F2}"/>
            </a:ext>
          </a:extLst>
        </xdr:cNvPr>
        <xdr:cNvCxnSpPr/>
      </xdr:nvCxnSpPr>
      <xdr:spPr>
        <a:xfrm>
          <a:off x="19997545" y="381477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2107</xdr:row>
      <xdr:rowOff>168275</xdr:rowOff>
    </xdr:from>
    <xdr:to>
      <xdr:col>10</xdr:col>
      <xdr:colOff>1388870</xdr:colOff>
      <xdr:row>2107</xdr:row>
      <xdr:rowOff>168275</xdr:rowOff>
    </xdr:to>
    <xdr:cxnSp macro="_xll.PtreeEvent_ObjectClick">
      <xdr:nvCxnSpPr>
        <xdr:cNvPr id="4191" name="PTObj_DBranchHLine_1_1043">
          <a:extLst>
            <a:ext uri="{FF2B5EF4-FFF2-40B4-BE49-F238E27FC236}">
              <a16:creationId xmlns:a16="http://schemas.microsoft.com/office/drawing/2014/main" id="{85452DE1-15C9-48B5-B25C-7EFD7394E975}"/>
            </a:ext>
          </a:extLst>
        </xdr:cNvPr>
        <xdr:cNvCxnSpPr/>
      </xdr:nvCxnSpPr>
      <xdr:spPr>
        <a:xfrm>
          <a:off x="18730720" y="381482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2105</xdr:row>
      <xdr:rowOff>159395</xdr:rowOff>
    </xdr:from>
    <xdr:to>
      <xdr:col>10</xdr:col>
      <xdr:colOff>204595</xdr:colOff>
      <xdr:row>2107</xdr:row>
      <xdr:rowOff>168275</xdr:rowOff>
    </xdr:to>
    <xdr:cxnSp macro="_xll.PtreeEvent_ObjectClick">
      <xdr:nvCxnSpPr>
        <xdr:cNvPr id="4190" name="PTObj_DBranchDLine_1_1043">
          <a:extLst>
            <a:ext uri="{FF2B5EF4-FFF2-40B4-BE49-F238E27FC236}">
              <a16:creationId xmlns:a16="http://schemas.microsoft.com/office/drawing/2014/main" id="{A7551A17-00D9-446C-9A66-CA1821B99F8E}"/>
            </a:ext>
          </a:extLst>
        </xdr:cNvPr>
        <xdr:cNvCxnSpPr/>
      </xdr:nvCxnSpPr>
      <xdr:spPr>
        <a:xfrm>
          <a:off x="18578320" y="381111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2105</xdr:row>
      <xdr:rowOff>164455</xdr:rowOff>
    </xdr:from>
    <xdr:to>
      <xdr:col>9</xdr:col>
      <xdr:colOff>1392681</xdr:colOff>
      <xdr:row>2105</xdr:row>
      <xdr:rowOff>164455</xdr:rowOff>
    </xdr:to>
    <xdr:cxnSp macro="_xll.PtreeEvent_ObjectClick">
      <xdr:nvCxnSpPr>
        <xdr:cNvPr id="4187" name="PTObj_DBranchHLine_1_1042">
          <a:extLst>
            <a:ext uri="{FF2B5EF4-FFF2-40B4-BE49-F238E27FC236}">
              <a16:creationId xmlns:a16="http://schemas.microsoft.com/office/drawing/2014/main" id="{F6FE7BEF-7ED2-4FF7-8BE4-5B683D90D77E}"/>
            </a:ext>
          </a:extLst>
        </xdr:cNvPr>
        <xdr:cNvCxnSpPr/>
      </xdr:nvCxnSpPr>
      <xdr:spPr>
        <a:xfrm>
          <a:off x="17306734" y="381116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2103</xdr:row>
      <xdr:rowOff>151755</xdr:rowOff>
    </xdr:from>
    <xdr:to>
      <xdr:col>9</xdr:col>
      <xdr:colOff>209359</xdr:colOff>
      <xdr:row>2105</xdr:row>
      <xdr:rowOff>164455</xdr:rowOff>
    </xdr:to>
    <xdr:cxnSp macro="_xll.PtreeEvent_ObjectClick">
      <xdr:nvCxnSpPr>
        <xdr:cNvPr id="4186" name="PTObj_DBranchDLine_1_1042">
          <a:extLst>
            <a:ext uri="{FF2B5EF4-FFF2-40B4-BE49-F238E27FC236}">
              <a16:creationId xmlns:a16="http://schemas.microsoft.com/office/drawing/2014/main" id="{D3A93F0D-22B0-43C0-8113-5EA960A712FD}"/>
            </a:ext>
          </a:extLst>
        </xdr:cNvPr>
        <xdr:cNvCxnSpPr/>
      </xdr:nvCxnSpPr>
      <xdr:spPr>
        <a:xfrm>
          <a:off x="17154334" y="380742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2103</xdr:row>
      <xdr:rowOff>160660</xdr:rowOff>
    </xdr:from>
    <xdr:to>
      <xdr:col>8</xdr:col>
      <xdr:colOff>1398397</xdr:colOff>
      <xdr:row>2103</xdr:row>
      <xdr:rowOff>160660</xdr:rowOff>
    </xdr:to>
    <xdr:cxnSp macro="_xll.PtreeEvent_ObjectClick">
      <xdr:nvCxnSpPr>
        <xdr:cNvPr id="4183" name="PTObj_DBranchHLine_1_1041">
          <a:extLst>
            <a:ext uri="{FF2B5EF4-FFF2-40B4-BE49-F238E27FC236}">
              <a16:creationId xmlns:a16="http://schemas.microsoft.com/office/drawing/2014/main" id="{99FA972B-EAFB-412F-988A-54B59A430524}"/>
            </a:ext>
          </a:extLst>
        </xdr:cNvPr>
        <xdr:cNvCxnSpPr/>
      </xdr:nvCxnSpPr>
      <xdr:spPr>
        <a:xfrm>
          <a:off x="15884652" y="380751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2103</xdr:row>
      <xdr:rowOff>160660</xdr:rowOff>
    </xdr:from>
    <xdr:to>
      <xdr:col>8</xdr:col>
      <xdr:colOff>216027</xdr:colOff>
      <xdr:row>2111</xdr:row>
      <xdr:rowOff>176510</xdr:rowOff>
    </xdr:to>
    <xdr:cxnSp macro="_xll.PtreeEvent_ObjectClick">
      <xdr:nvCxnSpPr>
        <xdr:cNvPr id="4182" name="PTObj_DBranchDLine_1_1041">
          <a:extLst>
            <a:ext uri="{FF2B5EF4-FFF2-40B4-BE49-F238E27FC236}">
              <a16:creationId xmlns:a16="http://schemas.microsoft.com/office/drawing/2014/main" id="{EF89812D-54E9-45A5-A87E-C3E44F6FA2B0}"/>
            </a:ext>
          </a:extLst>
        </xdr:cNvPr>
        <xdr:cNvCxnSpPr/>
      </xdr:nvCxnSpPr>
      <xdr:spPr>
        <a:xfrm flipV="1">
          <a:off x="15732252" y="3807510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2111</xdr:row>
      <xdr:rowOff>175890</xdr:rowOff>
    </xdr:from>
    <xdr:to>
      <xdr:col>7</xdr:col>
      <xdr:colOff>1402207</xdr:colOff>
      <xdr:row>2111</xdr:row>
      <xdr:rowOff>175890</xdr:rowOff>
    </xdr:to>
    <xdr:cxnSp macro="_xll.PtreeEvent_ObjectClick">
      <xdr:nvCxnSpPr>
        <xdr:cNvPr id="4179" name="PTObj_DBranchHLine_1_1045">
          <a:extLst>
            <a:ext uri="{FF2B5EF4-FFF2-40B4-BE49-F238E27FC236}">
              <a16:creationId xmlns:a16="http://schemas.microsoft.com/office/drawing/2014/main" id="{10621220-6D19-49ED-BB85-06806AA8145D}"/>
            </a:ext>
          </a:extLst>
        </xdr:cNvPr>
        <xdr:cNvCxnSpPr/>
      </xdr:nvCxnSpPr>
      <xdr:spPr>
        <a:xfrm>
          <a:off x="14462570" y="3822141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2111</xdr:row>
      <xdr:rowOff>175890</xdr:rowOff>
    </xdr:from>
    <xdr:to>
      <xdr:col>7</xdr:col>
      <xdr:colOff>222695</xdr:colOff>
      <xdr:row>2122</xdr:row>
      <xdr:rowOff>4142</xdr:rowOff>
    </xdr:to>
    <xdr:cxnSp macro="_xll.PtreeEvent_ObjectClick">
      <xdr:nvCxnSpPr>
        <xdr:cNvPr id="4178" name="PTObj_DBranchDLine_1_1045">
          <a:extLst>
            <a:ext uri="{FF2B5EF4-FFF2-40B4-BE49-F238E27FC236}">
              <a16:creationId xmlns:a16="http://schemas.microsoft.com/office/drawing/2014/main" id="{DEAE237B-A186-4CE9-9572-BC3651B164C7}"/>
            </a:ext>
          </a:extLst>
        </xdr:cNvPr>
        <xdr:cNvCxnSpPr/>
      </xdr:nvCxnSpPr>
      <xdr:spPr>
        <a:xfrm flipV="1">
          <a:off x="14310170" y="3822141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2122</xdr:row>
      <xdr:rowOff>13965</xdr:rowOff>
    </xdr:from>
    <xdr:to>
      <xdr:col>6</xdr:col>
      <xdr:colOff>1407922</xdr:colOff>
      <xdr:row>2122</xdr:row>
      <xdr:rowOff>13965</xdr:rowOff>
    </xdr:to>
    <xdr:cxnSp macro="_xll.PtreeEvent_ObjectClick">
      <xdr:nvCxnSpPr>
        <xdr:cNvPr id="4175" name="PTObj_DBranchHLine_1_1050">
          <a:extLst>
            <a:ext uri="{FF2B5EF4-FFF2-40B4-BE49-F238E27FC236}">
              <a16:creationId xmlns:a16="http://schemas.microsoft.com/office/drawing/2014/main" id="{35ACC3FA-8C77-4AC0-B935-AAB1DB14AE1A}"/>
            </a:ext>
          </a:extLst>
        </xdr:cNvPr>
        <xdr:cNvCxnSpPr/>
      </xdr:nvCxnSpPr>
      <xdr:spPr>
        <a:xfrm>
          <a:off x="13034772" y="3840429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2122</xdr:row>
      <xdr:rowOff>13965</xdr:rowOff>
    </xdr:from>
    <xdr:to>
      <xdr:col>6</xdr:col>
      <xdr:colOff>223647</xdr:colOff>
      <xdr:row>2142</xdr:row>
      <xdr:rowOff>42242</xdr:rowOff>
    </xdr:to>
    <xdr:cxnSp macro="_xll.PtreeEvent_ObjectClick">
      <xdr:nvCxnSpPr>
        <xdr:cNvPr id="4174" name="PTObj_DBranchDLine_1_1050">
          <a:extLst>
            <a:ext uri="{FF2B5EF4-FFF2-40B4-BE49-F238E27FC236}">
              <a16:creationId xmlns:a16="http://schemas.microsoft.com/office/drawing/2014/main" id="{B43E318B-8E9E-4363-B207-1212CBC08D15}"/>
            </a:ext>
          </a:extLst>
        </xdr:cNvPr>
        <xdr:cNvCxnSpPr/>
      </xdr:nvCxnSpPr>
      <xdr:spPr>
        <a:xfrm flipV="1">
          <a:off x="12882372" y="384042915"/>
          <a:ext cx="152400" cy="36477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2142</xdr:row>
      <xdr:rowOff>52065</xdr:rowOff>
    </xdr:from>
    <xdr:to>
      <xdr:col>5</xdr:col>
      <xdr:colOff>1411732</xdr:colOff>
      <xdr:row>2142</xdr:row>
      <xdr:rowOff>52065</xdr:rowOff>
    </xdr:to>
    <xdr:cxnSp macro="_xll.PtreeEvent_ObjectClick">
      <xdr:nvCxnSpPr>
        <xdr:cNvPr id="4171" name="PTObj_DBranchHLine_1_1060">
          <a:extLst>
            <a:ext uri="{FF2B5EF4-FFF2-40B4-BE49-F238E27FC236}">
              <a16:creationId xmlns:a16="http://schemas.microsoft.com/office/drawing/2014/main" id="{E32881AD-D480-4CB6-A5DE-AB8E2A22DDCE}"/>
            </a:ext>
          </a:extLst>
        </xdr:cNvPr>
        <xdr:cNvCxnSpPr/>
      </xdr:nvCxnSpPr>
      <xdr:spPr>
        <a:xfrm>
          <a:off x="11610785" y="3877005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2142</xdr:row>
      <xdr:rowOff>52065</xdr:rowOff>
    </xdr:from>
    <xdr:to>
      <xdr:col>5</xdr:col>
      <xdr:colOff>228410</xdr:colOff>
      <xdr:row>2182</xdr:row>
      <xdr:rowOff>123205</xdr:rowOff>
    </xdr:to>
    <xdr:cxnSp macro="_xll.PtreeEvent_ObjectClick">
      <xdr:nvCxnSpPr>
        <xdr:cNvPr id="4170" name="PTObj_DBranchDLine_1_1060">
          <a:extLst>
            <a:ext uri="{FF2B5EF4-FFF2-40B4-BE49-F238E27FC236}">
              <a16:creationId xmlns:a16="http://schemas.microsoft.com/office/drawing/2014/main" id="{3BA56B48-A9E5-4CF4-BFA1-AF0D7B76C6A7}"/>
            </a:ext>
          </a:extLst>
        </xdr:cNvPr>
        <xdr:cNvCxnSpPr/>
      </xdr:nvCxnSpPr>
      <xdr:spPr>
        <a:xfrm flipV="1">
          <a:off x="11458385" y="387700515"/>
          <a:ext cx="152400" cy="73101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228409</xdr:colOff>
      <xdr:row>2182</xdr:row>
      <xdr:rowOff>128265</xdr:rowOff>
    </xdr:from>
    <xdr:to>
      <xdr:col>4</xdr:col>
      <xdr:colOff>1417447</xdr:colOff>
      <xdr:row>2182</xdr:row>
      <xdr:rowOff>128265</xdr:rowOff>
    </xdr:to>
    <xdr:cxnSp macro="_xll.PtreeEvent_ObjectClick">
      <xdr:nvCxnSpPr>
        <xdr:cNvPr id="4167" name="PTObj_DBranchHLine_1_1080">
          <a:extLst>
            <a:ext uri="{FF2B5EF4-FFF2-40B4-BE49-F238E27FC236}">
              <a16:creationId xmlns:a16="http://schemas.microsoft.com/office/drawing/2014/main" id="{E8828F39-2726-4A85-95F5-5B2D74B320A4}"/>
            </a:ext>
          </a:extLst>
        </xdr:cNvPr>
        <xdr:cNvCxnSpPr/>
      </xdr:nvCxnSpPr>
      <xdr:spPr>
        <a:xfrm>
          <a:off x="10182034" y="395015715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76009</xdr:colOff>
      <xdr:row>2101</xdr:row>
      <xdr:rowOff>147017</xdr:rowOff>
    </xdr:from>
    <xdr:to>
      <xdr:col>4</xdr:col>
      <xdr:colOff>228409</xdr:colOff>
      <xdr:row>2182</xdr:row>
      <xdr:rowOff>128265</xdr:rowOff>
    </xdr:to>
    <xdr:cxnSp macro="_xll.PtreeEvent_ObjectClick">
      <xdr:nvCxnSpPr>
        <xdr:cNvPr id="4166" name="PTObj_DBranchDLine_1_1080">
          <a:extLst>
            <a:ext uri="{FF2B5EF4-FFF2-40B4-BE49-F238E27FC236}">
              <a16:creationId xmlns:a16="http://schemas.microsoft.com/office/drawing/2014/main" id="{03A776D1-E3C2-4901-9E14-57E81BA9F936}"/>
            </a:ext>
          </a:extLst>
        </xdr:cNvPr>
        <xdr:cNvCxnSpPr/>
      </xdr:nvCxnSpPr>
      <xdr:spPr>
        <a:xfrm>
          <a:off x="10029634" y="380375492"/>
          <a:ext cx="152400" cy="146402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2099</xdr:row>
      <xdr:rowOff>153045</xdr:rowOff>
    </xdr:from>
    <xdr:to>
      <xdr:col>11</xdr:col>
      <xdr:colOff>1386967</xdr:colOff>
      <xdr:row>2099</xdr:row>
      <xdr:rowOff>153045</xdr:rowOff>
    </xdr:to>
    <xdr:cxnSp macro="_xll.PtreeEvent_ObjectClick">
      <xdr:nvCxnSpPr>
        <xdr:cNvPr id="4163" name="PTObj_DBranchHLine_1_1039">
          <a:extLst>
            <a:ext uri="{FF2B5EF4-FFF2-40B4-BE49-F238E27FC236}">
              <a16:creationId xmlns:a16="http://schemas.microsoft.com/office/drawing/2014/main" id="{0B918B8F-42F9-46A6-8262-9033785684E1}"/>
            </a:ext>
          </a:extLst>
        </xdr:cNvPr>
        <xdr:cNvCxnSpPr/>
      </xdr:nvCxnSpPr>
      <xdr:spPr>
        <a:xfrm>
          <a:off x="20149945" y="380019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2097</xdr:row>
      <xdr:rowOff>140345</xdr:rowOff>
    </xdr:from>
    <xdr:to>
      <xdr:col>11</xdr:col>
      <xdr:colOff>195070</xdr:colOff>
      <xdr:row>2099</xdr:row>
      <xdr:rowOff>153045</xdr:rowOff>
    </xdr:to>
    <xdr:cxnSp macro="_xll.PtreeEvent_ObjectClick">
      <xdr:nvCxnSpPr>
        <xdr:cNvPr id="4162" name="PTObj_DBranchDLine_1_1039">
          <a:extLst>
            <a:ext uri="{FF2B5EF4-FFF2-40B4-BE49-F238E27FC236}">
              <a16:creationId xmlns:a16="http://schemas.microsoft.com/office/drawing/2014/main" id="{1C3BA3EF-9866-45D2-877A-ECEF18E1D299}"/>
            </a:ext>
          </a:extLst>
        </xdr:cNvPr>
        <xdr:cNvCxnSpPr/>
      </xdr:nvCxnSpPr>
      <xdr:spPr>
        <a:xfrm>
          <a:off x="19997545" y="379644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2097</xdr:row>
      <xdr:rowOff>149225</xdr:rowOff>
    </xdr:from>
    <xdr:to>
      <xdr:col>10</xdr:col>
      <xdr:colOff>1388870</xdr:colOff>
      <xdr:row>2097</xdr:row>
      <xdr:rowOff>149225</xdr:rowOff>
    </xdr:to>
    <xdr:cxnSp macro="_xll.PtreeEvent_ObjectClick">
      <xdr:nvCxnSpPr>
        <xdr:cNvPr id="4159" name="PTObj_DBranchHLine_1_1038">
          <a:extLst>
            <a:ext uri="{FF2B5EF4-FFF2-40B4-BE49-F238E27FC236}">
              <a16:creationId xmlns:a16="http://schemas.microsoft.com/office/drawing/2014/main" id="{3A69E12F-A97B-46D4-B0FE-0D702681E0FC}"/>
            </a:ext>
          </a:extLst>
        </xdr:cNvPr>
        <xdr:cNvCxnSpPr/>
      </xdr:nvCxnSpPr>
      <xdr:spPr>
        <a:xfrm>
          <a:off x="18730720" y="379653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2095</xdr:row>
      <xdr:rowOff>144165</xdr:rowOff>
    </xdr:from>
    <xdr:to>
      <xdr:col>10</xdr:col>
      <xdr:colOff>204595</xdr:colOff>
      <xdr:row>2097</xdr:row>
      <xdr:rowOff>149225</xdr:rowOff>
    </xdr:to>
    <xdr:cxnSp macro="_xll.PtreeEvent_ObjectClick">
      <xdr:nvCxnSpPr>
        <xdr:cNvPr id="4158" name="PTObj_DBranchDLine_1_1038">
          <a:extLst>
            <a:ext uri="{FF2B5EF4-FFF2-40B4-BE49-F238E27FC236}">
              <a16:creationId xmlns:a16="http://schemas.microsoft.com/office/drawing/2014/main" id="{411FDC68-3ED6-463D-8A7B-3473EDD6D763}"/>
            </a:ext>
          </a:extLst>
        </xdr:cNvPr>
        <xdr:cNvCxnSpPr/>
      </xdr:nvCxnSpPr>
      <xdr:spPr>
        <a:xfrm>
          <a:off x="18578320" y="379286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2095</xdr:row>
      <xdr:rowOff>145405</xdr:rowOff>
    </xdr:from>
    <xdr:to>
      <xdr:col>9</xdr:col>
      <xdr:colOff>1392681</xdr:colOff>
      <xdr:row>2095</xdr:row>
      <xdr:rowOff>145405</xdr:rowOff>
    </xdr:to>
    <xdr:cxnSp macro="_xll.PtreeEvent_ObjectClick">
      <xdr:nvCxnSpPr>
        <xdr:cNvPr id="4155" name="PTObj_DBranchHLine_1_1037">
          <a:extLst>
            <a:ext uri="{FF2B5EF4-FFF2-40B4-BE49-F238E27FC236}">
              <a16:creationId xmlns:a16="http://schemas.microsoft.com/office/drawing/2014/main" id="{5E0E47F3-EA2C-4FC9-82AA-DEFB0E50679D}"/>
            </a:ext>
          </a:extLst>
        </xdr:cNvPr>
        <xdr:cNvCxnSpPr/>
      </xdr:nvCxnSpPr>
      <xdr:spPr>
        <a:xfrm>
          <a:off x="17306734" y="379288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2093</xdr:row>
      <xdr:rowOff>140320</xdr:rowOff>
    </xdr:from>
    <xdr:to>
      <xdr:col>9</xdr:col>
      <xdr:colOff>209359</xdr:colOff>
      <xdr:row>2095</xdr:row>
      <xdr:rowOff>145405</xdr:rowOff>
    </xdr:to>
    <xdr:cxnSp macro="_xll.PtreeEvent_ObjectClick">
      <xdr:nvCxnSpPr>
        <xdr:cNvPr id="4154" name="PTObj_DBranchDLine_1_1037">
          <a:extLst>
            <a:ext uri="{FF2B5EF4-FFF2-40B4-BE49-F238E27FC236}">
              <a16:creationId xmlns:a16="http://schemas.microsoft.com/office/drawing/2014/main" id="{39458320-173E-4292-837C-CECBD29FE424}"/>
            </a:ext>
          </a:extLst>
        </xdr:cNvPr>
        <xdr:cNvCxnSpPr/>
      </xdr:nvCxnSpPr>
      <xdr:spPr>
        <a:xfrm>
          <a:off x="17154334" y="3789209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2093</xdr:row>
      <xdr:rowOff>141610</xdr:rowOff>
    </xdr:from>
    <xdr:to>
      <xdr:col>8</xdr:col>
      <xdr:colOff>1398397</xdr:colOff>
      <xdr:row>2093</xdr:row>
      <xdr:rowOff>141610</xdr:rowOff>
    </xdr:to>
    <xdr:cxnSp macro="_xll.PtreeEvent_ObjectClick">
      <xdr:nvCxnSpPr>
        <xdr:cNvPr id="4151" name="PTObj_DBranchHLine_1_1036">
          <a:extLst>
            <a:ext uri="{FF2B5EF4-FFF2-40B4-BE49-F238E27FC236}">
              <a16:creationId xmlns:a16="http://schemas.microsoft.com/office/drawing/2014/main" id="{556FDEEB-B411-4CC4-832A-A2FB260E6E5E}"/>
            </a:ext>
          </a:extLst>
        </xdr:cNvPr>
        <xdr:cNvCxnSpPr/>
      </xdr:nvCxnSpPr>
      <xdr:spPr>
        <a:xfrm>
          <a:off x="15888463" y="378922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2091</xdr:row>
      <xdr:rowOff>138410</xdr:rowOff>
    </xdr:from>
    <xdr:to>
      <xdr:col>8</xdr:col>
      <xdr:colOff>219838</xdr:colOff>
      <xdr:row>2093</xdr:row>
      <xdr:rowOff>141610</xdr:rowOff>
    </xdr:to>
    <xdr:cxnSp macro="_xll.PtreeEvent_ObjectClick">
      <xdr:nvCxnSpPr>
        <xdr:cNvPr id="4150" name="PTObj_DBranchDLine_1_1036">
          <a:extLst>
            <a:ext uri="{FF2B5EF4-FFF2-40B4-BE49-F238E27FC236}">
              <a16:creationId xmlns:a16="http://schemas.microsoft.com/office/drawing/2014/main" id="{00580846-A02D-498D-AB49-0C7ED208DD21}"/>
            </a:ext>
          </a:extLst>
        </xdr:cNvPr>
        <xdr:cNvCxnSpPr/>
      </xdr:nvCxnSpPr>
      <xdr:spPr>
        <a:xfrm>
          <a:off x="15736063" y="3785571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2089</xdr:row>
      <xdr:rowOff>133995</xdr:rowOff>
    </xdr:from>
    <xdr:to>
      <xdr:col>11</xdr:col>
      <xdr:colOff>1386015</xdr:colOff>
      <xdr:row>2089</xdr:row>
      <xdr:rowOff>133995</xdr:rowOff>
    </xdr:to>
    <xdr:cxnSp macro="_xll.PtreeEvent_ObjectClick">
      <xdr:nvCxnSpPr>
        <xdr:cNvPr id="4147" name="PTObj_DBranchHLine_1_1034">
          <a:extLst>
            <a:ext uri="{FF2B5EF4-FFF2-40B4-BE49-F238E27FC236}">
              <a16:creationId xmlns:a16="http://schemas.microsoft.com/office/drawing/2014/main" id="{914539C3-EE85-433E-A84C-23BF541877B3}"/>
            </a:ext>
          </a:extLst>
        </xdr:cNvPr>
        <xdr:cNvCxnSpPr/>
      </xdr:nvCxnSpPr>
      <xdr:spPr>
        <a:xfrm>
          <a:off x="20149945" y="378190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2087</xdr:row>
      <xdr:rowOff>125115</xdr:rowOff>
    </xdr:from>
    <xdr:to>
      <xdr:col>11</xdr:col>
      <xdr:colOff>195070</xdr:colOff>
      <xdr:row>2089</xdr:row>
      <xdr:rowOff>133995</xdr:rowOff>
    </xdr:to>
    <xdr:cxnSp macro="_xll.PtreeEvent_ObjectClick">
      <xdr:nvCxnSpPr>
        <xdr:cNvPr id="4146" name="PTObj_DBranchDLine_1_1034">
          <a:extLst>
            <a:ext uri="{FF2B5EF4-FFF2-40B4-BE49-F238E27FC236}">
              <a16:creationId xmlns:a16="http://schemas.microsoft.com/office/drawing/2014/main" id="{48476A00-5B9E-4552-9D4D-9DECE4D56398}"/>
            </a:ext>
          </a:extLst>
        </xdr:cNvPr>
        <xdr:cNvCxnSpPr/>
      </xdr:nvCxnSpPr>
      <xdr:spPr>
        <a:xfrm>
          <a:off x="19997545" y="377819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2087</xdr:row>
      <xdr:rowOff>130175</xdr:rowOff>
    </xdr:from>
    <xdr:to>
      <xdr:col>10</xdr:col>
      <xdr:colOff>1388870</xdr:colOff>
      <xdr:row>2087</xdr:row>
      <xdr:rowOff>130175</xdr:rowOff>
    </xdr:to>
    <xdr:cxnSp macro="_xll.PtreeEvent_ObjectClick">
      <xdr:nvCxnSpPr>
        <xdr:cNvPr id="4143" name="PTObj_DBranchHLine_1_1033">
          <a:extLst>
            <a:ext uri="{FF2B5EF4-FFF2-40B4-BE49-F238E27FC236}">
              <a16:creationId xmlns:a16="http://schemas.microsoft.com/office/drawing/2014/main" id="{A7822C3D-611B-4F47-A029-253FD6B06F97}"/>
            </a:ext>
          </a:extLst>
        </xdr:cNvPr>
        <xdr:cNvCxnSpPr/>
      </xdr:nvCxnSpPr>
      <xdr:spPr>
        <a:xfrm>
          <a:off x="18730720" y="377825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2085</xdr:row>
      <xdr:rowOff>121295</xdr:rowOff>
    </xdr:from>
    <xdr:to>
      <xdr:col>10</xdr:col>
      <xdr:colOff>204595</xdr:colOff>
      <xdr:row>2087</xdr:row>
      <xdr:rowOff>130175</xdr:rowOff>
    </xdr:to>
    <xdr:cxnSp macro="_xll.PtreeEvent_ObjectClick">
      <xdr:nvCxnSpPr>
        <xdr:cNvPr id="4142" name="PTObj_DBranchDLine_1_1033">
          <a:extLst>
            <a:ext uri="{FF2B5EF4-FFF2-40B4-BE49-F238E27FC236}">
              <a16:creationId xmlns:a16="http://schemas.microsoft.com/office/drawing/2014/main" id="{7BD33D61-85B8-481A-9393-2468F2FEB079}"/>
            </a:ext>
          </a:extLst>
        </xdr:cNvPr>
        <xdr:cNvCxnSpPr/>
      </xdr:nvCxnSpPr>
      <xdr:spPr>
        <a:xfrm>
          <a:off x="18578320" y="377454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2085</xdr:row>
      <xdr:rowOff>126355</xdr:rowOff>
    </xdr:from>
    <xdr:to>
      <xdr:col>9</xdr:col>
      <xdr:colOff>1392681</xdr:colOff>
      <xdr:row>2085</xdr:row>
      <xdr:rowOff>126355</xdr:rowOff>
    </xdr:to>
    <xdr:cxnSp macro="_xll.PtreeEvent_ObjectClick">
      <xdr:nvCxnSpPr>
        <xdr:cNvPr id="4139" name="PTObj_DBranchHLine_1_1032">
          <a:extLst>
            <a:ext uri="{FF2B5EF4-FFF2-40B4-BE49-F238E27FC236}">
              <a16:creationId xmlns:a16="http://schemas.microsoft.com/office/drawing/2014/main" id="{EC4B3238-C990-494E-87D8-40AD389A893B}"/>
            </a:ext>
          </a:extLst>
        </xdr:cNvPr>
        <xdr:cNvCxnSpPr/>
      </xdr:nvCxnSpPr>
      <xdr:spPr>
        <a:xfrm>
          <a:off x="17306734" y="377459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2083</xdr:row>
      <xdr:rowOff>113655</xdr:rowOff>
    </xdr:from>
    <xdr:to>
      <xdr:col>9</xdr:col>
      <xdr:colOff>209359</xdr:colOff>
      <xdr:row>2085</xdr:row>
      <xdr:rowOff>126355</xdr:rowOff>
    </xdr:to>
    <xdr:cxnSp macro="_xll.PtreeEvent_ObjectClick">
      <xdr:nvCxnSpPr>
        <xdr:cNvPr id="4138" name="PTObj_DBranchDLine_1_1032">
          <a:extLst>
            <a:ext uri="{FF2B5EF4-FFF2-40B4-BE49-F238E27FC236}">
              <a16:creationId xmlns:a16="http://schemas.microsoft.com/office/drawing/2014/main" id="{A9BCD85D-6077-4A20-8729-F57A384299C7}"/>
            </a:ext>
          </a:extLst>
        </xdr:cNvPr>
        <xdr:cNvCxnSpPr/>
      </xdr:nvCxnSpPr>
      <xdr:spPr>
        <a:xfrm>
          <a:off x="17154334" y="377084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2083</xdr:row>
      <xdr:rowOff>122560</xdr:rowOff>
    </xdr:from>
    <xdr:to>
      <xdr:col>8</xdr:col>
      <xdr:colOff>1398397</xdr:colOff>
      <xdr:row>2083</xdr:row>
      <xdr:rowOff>122560</xdr:rowOff>
    </xdr:to>
    <xdr:cxnSp macro="_xll.PtreeEvent_ObjectClick">
      <xdr:nvCxnSpPr>
        <xdr:cNvPr id="4135" name="PTObj_DBranchHLine_1_1031">
          <a:extLst>
            <a:ext uri="{FF2B5EF4-FFF2-40B4-BE49-F238E27FC236}">
              <a16:creationId xmlns:a16="http://schemas.microsoft.com/office/drawing/2014/main" id="{AA765FF8-22B6-4947-9423-A19ADC209AA2}"/>
            </a:ext>
          </a:extLst>
        </xdr:cNvPr>
        <xdr:cNvCxnSpPr/>
      </xdr:nvCxnSpPr>
      <xdr:spPr>
        <a:xfrm>
          <a:off x="15884652" y="377093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2083</xdr:row>
      <xdr:rowOff>122560</xdr:rowOff>
    </xdr:from>
    <xdr:to>
      <xdr:col>8</xdr:col>
      <xdr:colOff>216027</xdr:colOff>
      <xdr:row>2091</xdr:row>
      <xdr:rowOff>138410</xdr:rowOff>
    </xdr:to>
    <xdr:cxnSp macro="_xll.PtreeEvent_ObjectClick">
      <xdr:nvCxnSpPr>
        <xdr:cNvPr id="4134" name="PTObj_DBranchDLine_1_1031">
          <a:extLst>
            <a:ext uri="{FF2B5EF4-FFF2-40B4-BE49-F238E27FC236}">
              <a16:creationId xmlns:a16="http://schemas.microsoft.com/office/drawing/2014/main" id="{36F1D6F5-8DE6-4817-B9DE-E3E59F936372}"/>
            </a:ext>
          </a:extLst>
        </xdr:cNvPr>
        <xdr:cNvCxnSpPr/>
      </xdr:nvCxnSpPr>
      <xdr:spPr>
        <a:xfrm flipV="1">
          <a:off x="15732252" y="3770934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2091</xdr:row>
      <xdr:rowOff>137790</xdr:rowOff>
    </xdr:from>
    <xdr:to>
      <xdr:col>7</xdr:col>
      <xdr:colOff>1402207</xdr:colOff>
      <xdr:row>2091</xdr:row>
      <xdr:rowOff>137790</xdr:rowOff>
    </xdr:to>
    <xdr:cxnSp macro="_xll.PtreeEvent_ObjectClick">
      <xdr:nvCxnSpPr>
        <xdr:cNvPr id="4131" name="PTObj_DBranchHLine_1_1035">
          <a:extLst>
            <a:ext uri="{FF2B5EF4-FFF2-40B4-BE49-F238E27FC236}">
              <a16:creationId xmlns:a16="http://schemas.microsoft.com/office/drawing/2014/main" id="{A9FA93CE-E337-419B-A056-5F5E56ADB212}"/>
            </a:ext>
          </a:extLst>
        </xdr:cNvPr>
        <xdr:cNvCxnSpPr/>
      </xdr:nvCxnSpPr>
      <xdr:spPr>
        <a:xfrm>
          <a:off x="14460665" y="378556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2081</xdr:row>
      <xdr:rowOff>107007</xdr:rowOff>
    </xdr:from>
    <xdr:to>
      <xdr:col>7</xdr:col>
      <xdr:colOff>220790</xdr:colOff>
      <xdr:row>2091</xdr:row>
      <xdr:rowOff>137790</xdr:rowOff>
    </xdr:to>
    <xdr:cxnSp macro="_xll.PtreeEvent_ObjectClick">
      <xdr:nvCxnSpPr>
        <xdr:cNvPr id="4130" name="PTObj_DBranchDLine_1_1035">
          <a:extLst>
            <a:ext uri="{FF2B5EF4-FFF2-40B4-BE49-F238E27FC236}">
              <a16:creationId xmlns:a16="http://schemas.microsoft.com/office/drawing/2014/main" id="{3CE55C84-9E17-4070-BAAE-13063F5F7B95}"/>
            </a:ext>
          </a:extLst>
        </xdr:cNvPr>
        <xdr:cNvCxnSpPr/>
      </xdr:nvCxnSpPr>
      <xdr:spPr>
        <a:xfrm>
          <a:off x="14308265" y="3767159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2079</xdr:row>
      <xdr:rowOff>114945</xdr:rowOff>
    </xdr:from>
    <xdr:to>
      <xdr:col>11</xdr:col>
      <xdr:colOff>1386967</xdr:colOff>
      <xdr:row>2079</xdr:row>
      <xdr:rowOff>114945</xdr:rowOff>
    </xdr:to>
    <xdr:cxnSp macro="_xll.PtreeEvent_ObjectClick">
      <xdr:nvCxnSpPr>
        <xdr:cNvPr id="4127" name="PTObj_DBranchHLine_1_1029">
          <a:extLst>
            <a:ext uri="{FF2B5EF4-FFF2-40B4-BE49-F238E27FC236}">
              <a16:creationId xmlns:a16="http://schemas.microsoft.com/office/drawing/2014/main" id="{5AB65860-CE0D-4860-9F9A-921C3FD807CA}"/>
            </a:ext>
          </a:extLst>
        </xdr:cNvPr>
        <xdr:cNvCxnSpPr/>
      </xdr:nvCxnSpPr>
      <xdr:spPr>
        <a:xfrm>
          <a:off x="20149945" y="376361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2077</xdr:row>
      <xdr:rowOff>102245</xdr:rowOff>
    </xdr:from>
    <xdr:to>
      <xdr:col>11</xdr:col>
      <xdr:colOff>195070</xdr:colOff>
      <xdr:row>2079</xdr:row>
      <xdr:rowOff>114945</xdr:rowOff>
    </xdr:to>
    <xdr:cxnSp macro="_xll.PtreeEvent_ObjectClick">
      <xdr:nvCxnSpPr>
        <xdr:cNvPr id="4126" name="PTObj_DBranchDLine_1_1029">
          <a:extLst>
            <a:ext uri="{FF2B5EF4-FFF2-40B4-BE49-F238E27FC236}">
              <a16:creationId xmlns:a16="http://schemas.microsoft.com/office/drawing/2014/main" id="{44747E9A-CAAE-4A51-82AF-D56EC0430DCA}"/>
            </a:ext>
          </a:extLst>
        </xdr:cNvPr>
        <xdr:cNvCxnSpPr/>
      </xdr:nvCxnSpPr>
      <xdr:spPr>
        <a:xfrm>
          <a:off x="19997545" y="375987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2077</xdr:row>
      <xdr:rowOff>111125</xdr:rowOff>
    </xdr:from>
    <xdr:to>
      <xdr:col>10</xdr:col>
      <xdr:colOff>1388870</xdr:colOff>
      <xdr:row>2077</xdr:row>
      <xdr:rowOff>111125</xdr:rowOff>
    </xdr:to>
    <xdr:cxnSp macro="_xll.PtreeEvent_ObjectClick">
      <xdr:nvCxnSpPr>
        <xdr:cNvPr id="4123" name="PTObj_DBranchHLine_1_1028">
          <a:extLst>
            <a:ext uri="{FF2B5EF4-FFF2-40B4-BE49-F238E27FC236}">
              <a16:creationId xmlns:a16="http://schemas.microsoft.com/office/drawing/2014/main" id="{5C2078CF-EA89-4BB7-9826-21568F25F252}"/>
            </a:ext>
          </a:extLst>
        </xdr:cNvPr>
        <xdr:cNvCxnSpPr/>
      </xdr:nvCxnSpPr>
      <xdr:spPr>
        <a:xfrm>
          <a:off x="18730720" y="375996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2075</xdr:row>
      <xdr:rowOff>106065</xdr:rowOff>
    </xdr:from>
    <xdr:to>
      <xdr:col>10</xdr:col>
      <xdr:colOff>204595</xdr:colOff>
      <xdr:row>2077</xdr:row>
      <xdr:rowOff>111125</xdr:rowOff>
    </xdr:to>
    <xdr:cxnSp macro="_xll.PtreeEvent_ObjectClick">
      <xdr:nvCxnSpPr>
        <xdr:cNvPr id="4122" name="PTObj_DBranchDLine_1_1028">
          <a:extLst>
            <a:ext uri="{FF2B5EF4-FFF2-40B4-BE49-F238E27FC236}">
              <a16:creationId xmlns:a16="http://schemas.microsoft.com/office/drawing/2014/main" id="{D27DC83A-C9F4-4D0E-8537-80B077E5CD1B}"/>
            </a:ext>
          </a:extLst>
        </xdr:cNvPr>
        <xdr:cNvCxnSpPr/>
      </xdr:nvCxnSpPr>
      <xdr:spPr>
        <a:xfrm>
          <a:off x="18578320" y="375629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2075</xdr:row>
      <xdr:rowOff>107305</xdr:rowOff>
    </xdr:from>
    <xdr:to>
      <xdr:col>9</xdr:col>
      <xdr:colOff>1392681</xdr:colOff>
      <xdr:row>2075</xdr:row>
      <xdr:rowOff>107305</xdr:rowOff>
    </xdr:to>
    <xdr:cxnSp macro="_xll.PtreeEvent_ObjectClick">
      <xdr:nvCxnSpPr>
        <xdr:cNvPr id="4119" name="PTObj_DBranchHLine_1_1027">
          <a:extLst>
            <a:ext uri="{FF2B5EF4-FFF2-40B4-BE49-F238E27FC236}">
              <a16:creationId xmlns:a16="http://schemas.microsoft.com/office/drawing/2014/main" id="{20C99349-D68E-4C47-9F19-F30711507CAB}"/>
            </a:ext>
          </a:extLst>
        </xdr:cNvPr>
        <xdr:cNvCxnSpPr/>
      </xdr:nvCxnSpPr>
      <xdr:spPr>
        <a:xfrm>
          <a:off x="17306734" y="375630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2073</xdr:row>
      <xdr:rowOff>102220</xdr:rowOff>
    </xdr:from>
    <xdr:to>
      <xdr:col>9</xdr:col>
      <xdr:colOff>209359</xdr:colOff>
      <xdr:row>2075</xdr:row>
      <xdr:rowOff>107305</xdr:rowOff>
    </xdr:to>
    <xdr:cxnSp macro="_xll.PtreeEvent_ObjectClick">
      <xdr:nvCxnSpPr>
        <xdr:cNvPr id="4118" name="PTObj_DBranchDLine_1_1027">
          <a:extLst>
            <a:ext uri="{FF2B5EF4-FFF2-40B4-BE49-F238E27FC236}">
              <a16:creationId xmlns:a16="http://schemas.microsoft.com/office/drawing/2014/main" id="{0668FF50-03C9-4497-9512-20CEAD41D695}"/>
            </a:ext>
          </a:extLst>
        </xdr:cNvPr>
        <xdr:cNvCxnSpPr/>
      </xdr:nvCxnSpPr>
      <xdr:spPr>
        <a:xfrm>
          <a:off x="17154334" y="3752633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2073</xdr:row>
      <xdr:rowOff>103510</xdr:rowOff>
    </xdr:from>
    <xdr:to>
      <xdr:col>8</xdr:col>
      <xdr:colOff>1398397</xdr:colOff>
      <xdr:row>2073</xdr:row>
      <xdr:rowOff>103510</xdr:rowOff>
    </xdr:to>
    <xdr:cxnSp macro="_xll.PtreeEvent_ObjectClick">
      <xdr:nvCxnSpPr>
        <xdr:cNvPr id="4115" name="PTObj_DBranchHLine_1_1026">
          <a:extLst>
            <a:ext uri="{FF2B5EF4-FFF2-40B4-BE49-F238E27FC236}">
              <a16:creationId xmlns:a16="http://schemas.microsoft.com/office/drawing/2014/main" id="{E1F887A2-5EF1-49F9-BAE7-99CE7B119E6A}"/>
            </a:ext>
          </a:extLst>
        </xdr:cNvPr>
        <xdr:cNvCxnSpPr/>
      </xdr:nvCxnSpPr>
      <xdr:spPr>
        <a:xfrm>
          <a:off x="15888463" y="375264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2071</xdr:row>
      <xdr:rowOff>100310</xdr:rowOff>
    </xdr:from>
    <xdr:to>
      <xdr:col>8</xdr:col>
      <xdr:colOff>219838</xdr:colOff>
      <xdr:row>2073</xdr:row>
      <xdr:rowOff>103510</xdr:rowOff>
    </xdr:to>
    <xdr:cxnSp macro="_xll.PtreeEvent_ObjectClick">
      <xdr:nvCxnSpPr>
        <xdr:cNvPr id="4114" name="PTObj_DBranchDLine_1_1026">
          <a:extLst>
            <a:ext uri="{FF2B5EF4-FFF2-40B4-BE49-F238E27FC236}">
              <a16:creationId xmlns:a16="http://schemas.microsoft.com/office/drawing/2014/main" id="{25BD1C9A-A4C3-4476-8862-9DF52D4B5347}"/>
            </a:ext>
          </a:extLst>
        </xdr:cNvPr>
        <xdr:cNvCxnSpPr/>
      </xdr:nvCxnSpPr>
      <xdr:spPr>
        <a:xfrm>
          <a:off x="15736063" y="3748995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2069</xdr:row>
      <xdr:rowOff>95895</xdr:rowOff>
    </xdr:from>
    <xdr:to>
      <xdr:col>11</xdr:col>
      <xdr:colOff>1386015</xdr:colOff>
      <xdr:row>2069</xdr:row>
      <xdr:rowOff>95895</xdr:rowOff>
    </xdr:to>
    <xdr:cxnSp macro="_xll.PtreeEvent_ObjectClick">
      <xdr:nvCxnSpPr>
        <xdr:cNvPr id="4111" name="PTObj_DBranchHLine_1_1024">
          <a:extLst>
            <a:ext uri="{FF2B5EF4-FFF2-40B4-BE49-F238E27FC236}">
              <a16:creationId xmlns:a16="http://schemas.microsoft.com/office/drawing/2014/main" id="{FA836A1F-4B40-4131-AB8A-F7BE61C58C3A}"/>
            </a:ext>
          </a:extLst>
        </xdr:cNvPr>
        <xdr:cNvCxnSpPr/>
      </xdr:nvCxnSpPr>
      <xdr:spPr>
        <a:xfrm>
          <a:off x="20149945" y="374533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2067</xdr:row>
      <xdr:rowOff>87015</xdr:rowOff>
    </xdr:from>
    <xdr:to>
      <xdr:col>11</xdr:col>
      <xdr:colOff>195070</xdr:colOff>
      <xdr:row>2069</xdr:row>
      <xdr:rowOff>95895</xdr:rowOff>
    </xdr:to>
    <xdr:cxnSp macro="_xll.PtreeEvent_ObjectClick">
      <xdr:nvCxnSpPr>
        <xdr:cNvPr id="4110" name="PTObj_DBranchDLine_1_1024">
          <a:extLst>
            <a:ext uri="{FF2B5EF4-FFF2-40B4-BE49-F238E27FC236}">
              <a16:creationId xmlns:a16="http://schemas.microsoft.com/office/drawing/2014/main" id="{9F1E0134-4A89-4FCE-8FB9-74B8B4C8D37B}"/>
            </a:ext>
          </a:extLst>
        </xdr:cNvPr>
        <xdr:cNvCxnSpPr/>
      </xdr:nvCxnSpPr>
      <xdr:spPr>
        <a:xfrm>
          <a:off x="19997545" y="374162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2067</xdr:row>
      <xdr:rowOff>92075</xdr:rowOff>
    </xdr:from>
    <xdr:to>
      <xdr:col>10</xdr:col>
      <xdr:colOff>1388870</xdr:colOff>
      <xdr:row>2067</xdr:row>
      <xdr:rowOff>92075</xdr:rowOff>
    </xdr:to>
    <xdr:cxnSp macro="_xll.PtreeEvent_ObjectClick">
      <xdr:nvCxnSpPr>
        <xdr:cNvPr id="4107" name="PTObj_DBranchHLine_1_1023">
          <a:extLst>
            <a:ext uri="{FF2B5EF4-FFF2-40B4-BE49-F238E27FC236}">
              <a16:creationId xmlns:a16="http://schemas.microsoft.com/office/drawing/2014/main" id="{CFD5B12C-B110-411C-B6A4-DA4A41FA4279}"/>
            </a:ext>
          </a:extLst>
        </xdr:cNvPr>
        <xdr:cNvCxnSpPr/>
      </xdr:nvCxnSpPr>
      <xdr:spPr>
        <a:xfrm>
          <a:off x="18730720" y="374167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2065</xdr:row>
      <xdr:rowOff>76547</xdr:rowOff>
    </xdr:from>
    <xdr:to>
      <xdr:col>10</xdr:col>
      <xdr:colOff>204595</xdr:colOff>
      <xdr:row>2067</xdr:row>
      <xdr:rowOff>92075</xdr:rowOff>
    </xdr:to>
    <xdr:cxnSp macro="_xll.PtreeEvent_ObjectClick">
      <xdr:nvCxnSpPr>
        <xdr:cNvPr id="4106" name="PTObj_DBranchDLine_1_1023">
          <a:extLst>
            <a:ext uri="{FF2B5EF4-FFF2-40B4-BE49-F238E27FC236}">
              <a16:creationId xmlns:a16="http://schemas.microsoft.com/office/drawing/2014/main" id="{2ACA1B2D-9222-471A-BD43-2FAF31FC4034}"/>
            </a:ext>
          </a:extLst>
        </xdr:cNvPr>
        <xdr:cNvCxnSpPr/>
      </xdr:nvCxnSpPr>
      <xdr:spPr>
        <a:xfrm>
          <a:off x="18578320" y="3737899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2065</xdr:row>
      <xdr:rowOff>88255</xdr:rowOff>
    </xdr:from>
    <xdr:to>
      <xdr:col>9</xdr:col>
      <xdr:colOff>1392681</xdr:colOff>
      <xdr:row>2065</xdr:row>
      <xdr:rowOff>88255</xdr:rowOff>
    </xdr:to>
    <xdr:cxnSp macro="_xll.PtreeEvent_ObjectClick">
      <xdr:nvCxnSpPr>
        <xdr:cNvPr id="4103" name="PTObj_DBranchHLine_1_1022">
          <a:extLst>
            <a:ext uri="{FF2B5EF4-FFF2-40B4-BE49-F238E27FC236}">
              <a16:creationId xmlns:a16="http://schemas.microsoft.com/office/drawing/2014/main" id="{804098FC-E9BE-48F6-84B0-9343D1563B97}"/>
            </a:ext>
          </a:extLst>
        </xdr:cNvPr>
        <xdr:cNvCxnSpPr/>
      </xdr:nvCxnSpPr>
      <xdr:spPr>
        <a:xfrm>
          <a:off x="17306734" y="373801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2063</xdr:row>
      <xdr:rowOff>75555</xdr:rowOff>
    </xdr:from>
    <xdr:to>
      <xdr:col>9</xdr:col>
      <xdr:colOff>209359</xdr:colOff>
      <xdr:row>2065</xdr:row>
      <xdr:rowOff>88255</xdr:rowOff>
    </xdr:to>
    <xdr:cxnSp macro="_xll.PtreeEvent_ObjectClick">
      <xdr:nvCxnSpPr>
        <xdr:cNvPr id="4102" name="PTObj_DBranchDLine_1_1022">
          <a:extLst>
            <a:ext uri="{FF2B5EF4-FFF2-40B4-BE49-F238E27FC236}">
              <a16:creationId xmlns:a16="http://schemas.microsoft.com/office/drawing/2014/main" id="{5CFA11FF-EAC6-401E-BAE7-6614ED49F2A6}"/>
            </a:ext>
          </a:extLst>
        </xdr:cNvPr>
        <xdr:cNvCxnSpPr/>
      </xdr:nvCxnSpPr>
      <xdr:spPr>
        <a:xfrm>
          <a:off x="17154334" y="373426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2063</xdr:row>
      <xdr:rowOff>84460</xdr:rowOff>
    </xdr:from>
    <xdr:to>
      <xdr:col>8</xdr:col>
      <xdr:colOff>1398397</xdr:colOff>
      <xdr:row>2063</xdr:row>
      <xdr:rowOff>84460</xdr:rowOff>
    </xdr:to>
    <xdr:cxnSp macro="_xll.PtreeEvent_ObjectClick">
      <xdr:nvCxnSpPr>
        <xdr:cNvPr id="4099" name="PTObj_DBranchHLine_1_1021">
          <a:extLst>
            <a:ext uri="{FF2B5EF4-FFF2-40B4-BE49-F238E27FC236}">
              <a16:creationId xmlns:a16="http://schemas.microsoft.com/office/drawing/2014/main" id="{8A750B15-2A92-4F75-9921-0F2491454027}"/>
            </a:ext>
          </a:extLst>
        </xdr:cNvPr>
        <xdr:cNvCxnSpPr/>
      </xdr:nvCxnSpPr>
      <xdr:spPr>
        <a:xfrm>
          <a:off x="15884652" y="373435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2063</xdr:row>
      <xdr:rowOff>84460</xdr:rowOff>
    </xdr:from>
    <xdr:to>
      <xdr:col>8</xdr:col>
      <xdr:colOff>216027</xdr:colOff>
      <xdr:row>2071</xdr:row>
      <xdr:rowOff>100310</xdr:rowOff>
    </xdr:to>
    <xdr:cxnSp macro="_xll.PtreeEvent_ObjectClick">
      <xdr:nvCxnSpPr>
        <xdr:cNvPr id="4098" name="PTObj_DBranchDLine_1_1021">
          <a:extLst>
            <a:ext uri="{FF2B5EF4-FFF2-40B4-BE49-F238E27FC236}">
              <a16:creationId xmlns:a16="http://schemas.microsoft.com/office/drawing/2014/main" id="{440C649C-D281-44C8-9D67-54C83D7A5BFD}"/>
            </a:ext>
          </a:extLst>
        </xdr:cNvPr>
        <xdr:cNvCxnSpPr/>
      </xdr:nvCxnSpPr>
      <xdr:spPr>
        <a:xfrm flipV="1">
          <a:off x="15732252" y="3734358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2071</xdr:row>
      <xdr:rowOff>99690</xdr:rowOff>
    </xdr:from>
    <xdr:to>
      <xdr:col>7</xdr:col>
      <xdr:colOff>1402207</xdr:colOff>
      <xdr:row>2071</xdr:row>
      <xdr:rowOff>99690</xdr:rowOff>
    </xdr:to>
    <xdr:cxnSp macro="_xll.PtreeEvent_ObjectClick">
      <xdr:nvCxnSpPr>
        <xdr:cNvPr id="4095" name="PTObj_DBranchHLine_1_1025">
          <a:extLst>
            <a:ext uri="{FF2B5EF4-FFF2-40B4-BE49-F238E27FC236}">
              <a16:creationId xmlns:a16="http://schemas.microsoft.com/office/drawing/2014/main" id="{17347514-9A2F-4C3A-BB1E-4DB1E3E010D8}"/>
            </a:ext>
          </a:extLst>
        </xdr:cNvPr>
        <xdr:cNvCxnSpPr/>
      </xdr:nvCxnSpPr>
      <xdr:spPr>
        <a:xfrm>
          <a:off x="14462570" y="3748989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2071</xdr:row>
      <xdr:rowOff>99690</xdr:rowOff>
    </xdr:from>
    <xdr:to>
      <xdr:col>7</xdr:col>
      <xdr:colOff>222695</xdr:colOff>
      <xdr:row>2081</xdr:row>
      <xdr:rowOff>108917</xdr:rowOff>
    </xdr:to>
    <xdr:cxnSp macro="_xll.PtreeEvent_ObjectClick">
      <xdr:nvCxnSpPr>
        <xdr:cNvPr id="4094" name="PTObj_DBranchDLine_1_1025">
          <a:extLst>
            <a:ext uri="{FF2B5EF4-FFF2-40B4-BE49-F238E27FC236}">
              <a16:creationId xmlns:a16="http://schemas.microsoft.com/office/drawing/2014/main" id="{7A437A74-85B1-4B1A-8380-2E06B052D78D}"/>
            </a:ext>
          </a:extLst>
        </xdr:cNvPr>
        <xdr:cNvCxnSpPr/>
      </xdr:nvCxnSpPr>
      <xdr:spPr>
        <a:xfrm flipV="1">
          <a:off x="14310170" y="3748989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2081</xdr:row>
      <xdr:rowOff>118740</xdr:rowOff>
    </xdr:from>
    <xdr:to>
      <xdr:col>6</xdr:col>
      <xdr:colOff>1407922</xdr:colOff>
      <xdr:row>2081</xdr:row>
      <xdr:rowOff>118740</xdr:rowOff>
    </xdr:to>
    <xdr:cxnSp macro="_xll.PtreeEvent_ObjectClick">
      <xdr:nvCxnSpPr>
        <xdr:cNvPr id="4091" name="PTObj_DBranchHLine_1_1030">
          <a:extLst>
            <a:ext uri="{FF2B5EF4-FFF2-40B4-BE49-F238E27FC236}">
              <a16:creationId xmlns:a16="http://schemas.microsoft.com/office/drawing/2014/main" id="{0A6E5E7D-6B5A-45A2-B218-06E1D73864E3}"/>
            </a:ext>
          </a:extLst>
        </xdr:cNvPr>
        <xdr:cNvCxnSpPr/>
      </xdr:nvCxnSpPr>
      <xdr:spPr>
        <a:xfrm>
          <a:off x="13036677" y="3767277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2061</xdr:row>
      <xdr:rowOff>77490</xdr:rowOff>
    </xdr:from>
    <xdr:to>
      <xdr:col>6</xdr:col>
      <xdr:colOff>225552</xdr:colOff>
      <xdr:row>2081</xdr:row>
      <xdr:rowOff>118740</xdr:rowOff>
    </xdr:to>
    <xdr:cxnSp macro="_xll.PtreeEvent_ObjectClick">
      <xdr:nvCxnSpPr>
        <xdr:cNvPr id="4090" name="PTObj_DBranchDLine_1_1030">
          <a:extLst>
            <a:ext uri="{FF2B5EF4-FFF2-40B4-BE49-F238E27FC236}">
              <a16:creationId xmlns:a16="http://schemas.microsoft.com/office/drawing/2014/main" id="{862D84A0-AF4C-48AA-A22B-738C07BEB5AB}"/>
            </a:ext>
          </a:extLst>
        </xdr:cNvPr>
        <xdr:cNvCxnSpPr/>
      </xdr:nvCxnSpPr>
      <xdr:spPr>
        <a:xfrm>
          <a:off x="12884276" y="373066965"/>
          <a:ext cx="152401" cy="36607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2059</xdr:row>
      <xdr:rowOff>76845</xdr:rowOff>
    </xdr:from>
    <xdr:to>
      <xdr:col>11</xdr:col>
      <xdr:colOff>1386967</xdr:colOff>
      <xdr:row>2059</xdr:row>
      <xdr:rowOff>76845</xdr:rowOff>
    </xdr:to>
    <xdr:cxnSp macro="_xll.PtreeEvent_ObjectClick">
      <xdr:nvCxnSpPr>
        <xdr:cNvPr id="4087" name="PTObj_DBranchHLine_1_1019">
          <a:extLst>
            <a:ext uri="{FF2B5EF4-FFF2-40B4-BE49-F238E27FC236}">
              <a16:creationId xmlns:a16="http://schemas.microsoft.com/office/drawing/2014/main" id="{74418121-E478-4B61-B32B-E4FEFCAD4CDB}"/>
            </a:ext>
          </a:extLst>
        </xdr:cNvPr>
        <xdr:cNvCxnSpPr/>
      </xdr:nvCxnSpPr>
      <xdr:spPr>
        <a:xfrm>
          <a:off x="20149945" y="372704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2057</xdr:row>
      <xdr:rowOff>70817</xdr:rowOff>
    </xdr:from>
    <xdr:to>
      <xdr:col>11</xdr:col>
      <xdr:colOff>195070</xdr:colOff>
      <xdr:row>2059</xdr:row>
      <xdr:rowOff>76845</xdr:rowOff>
    </xdr:to>
    <xdr:cxnSp macro="_xll.PtreeEvent_ObjectClick">
      <xdr:nvCxnSpPr>
        <xdr:cNvPr id="4086" name="PTObj_DBranchDLine_1_1019">
          <a:extLst>
            <a:ext uri="{FF2B5EF4-FFF2-40B4-BE49-F238E27FC236}">
              <a16:creationId xmlns:a16="http://schemas.microsoft.com/office/drawing/2014/main" id="{39B1DFAA-1645-4036-834A-621DF0861807}"/>
            </a:ext>
          </a:extLst>
        </xdr:cNvPr>
        <xdr:cNvCxnSpPr/>
      </xdr:nvCxnSpPr>
      <xdr:spPr>
        <a:xfrm>
          <a:off x="19997545" y="3723363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2057</xdr:row>
      <xdr:rowOff>73025</xdr:rowOff>
    </xdr:from>
    <xdr:to>
      <xdr:col>10</xdr:col>
      <xdr:colOff>1388870</xdr:colOff>
      <xdr:row>2057</xdr:row>
      <xdr:rowOff>73025</xdr:rowOff>
    </xdr:to>
    <xdr:cxnSp macro="_xll.PtreeEvent_ObjectClick">
      <xdr:nvCxnSpPr>
        <xdr:cNvPr id="4083" name="PTObj_DBranchHLine_1_1018">
          <a:extLst>
            <a:ext uri="{FF2B5EF4-FFF2-40B4-BE49-F238E27FC236}">
              <a16:creationId xmlns:a16="http://schemas.microsoft.com/office/drawing/2014/main" id="{E870EDB1-9655-4FE2-B22C-10745D4C420A}"/>
            </a:ext>
          </a:extLst>
        </xdr:cNvPr>
        <xdr:cNvCxnSpPr/>
      </xdr:nvCxnSpPr>
      <xdr:spPr>
        <a:xfrm>
          <a:off x="18730720" y="372338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2055</xdr:row>
      <xdr:rowOff>68883</xdr:rowOff>
    </xdr:from>
    <xdr:to>
      <xdr:col>10</xdr:col>
      <xdr:colOff>204595</xdr:colOff>
      <xdr:row>2057</xdr:row>
      <xdr:rowOff>73025</xdr:rowOff>
    </xdr:to>
    <xdr:cxnSp macro="_xll.PtreeEvent_ObjectClick">
      <xdr:nvCxnSpPr>
        <xdr:cNvPr id="4082" name="PTObj_DBranchDLine_1_1018">
          <a:extLst>
            <a:ext uri="{FF2B5EF4-FFF2-40B4-BE49-F238E27FC236}">
              <a16:creationId xmlns:a16="http://schemas.microsoft.com/office/drawing/2014/main" id="{E795447C-D84C-4F69-9045-98957BBE37E6}"/>
            </a:ext>
          </a:extLst>
        </xdr:cNvPr>
        <xdr:cNvCxnSpPr/>
      </xdr:nvCxnSpPr>
      <xdr:spPr>
        <a:xfrm>
          <a:off x="18578320" y="3719725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2055</xdr:row>
      <xdr:rowOff>69205</xdr:rowOff>
    </xdr:from>
    <xdr:to>
      <xdr:col>9</xdr:col>
      <xdr:colOff>1392681</xdr:colOff>
      <xdr:row>2055</xdr:row>
      <xdr:rowOff>69205</xdr:rowOff>
    </xdr:to>
    <xdr:cxnSp macro="_xll.PtreeEvent_ObjectClick">
      <xdr:nvCxnSpPr>
        <xdr:cNvPr id="4079" name="PTObj_DBranchHLine_1_1017">
          <a:extLst>
            <a:ext uri="{FF2B5EF4-FFF2-40B4-BE49-F238E27FC236}">
              <a16:creationId xmlns:a16="http://schemas.microsoft.com/office/drawing/2014/main" id="{802937F7-4174-4A8A-B6C9-080CDE64DBFF}"/>
            </a:ext>
          </a:extLst>
        </xdr:cNvPr>
        <xdr:cNvCxnSpPr/>
      </xdr:nvCxnSpPr>
      <xdr:spPr>
        <a:xfrm>
          <a:off x="17306734" y="371972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2053</xdr:row>
      <xdr:rowOff>63153</xdr:rowOff>
    </xdr:from>
    <xdr:to>
      <xdr:col>9</xdr:col>
      <xdr:colOff>209359</xdr:colOff>
      <xdr:row>2055</xdr:row>
      <xdr:rowOff>69205</xdr:rowOff>
    </xdr:to>
    <xdr:cxnSp macro="_xll.PtreeEvent_ObjectClick">
      <xdr:nvCxnSpPr>
        <xdr:cNvPr id="4078" name="PTObj_DBranchDLine_1_1017">
          <a:extLst>
            <a:ext uri="{FF2B5EF4-FFF2-40B4-BE49-F238E27FC236}">
              <a16:creationId xmlns:a16="http://schemas.microsoft.com/office/drawing/2014/main" id="{E85C2AB2-56D1-49F5-A086-9A95526B1E75}"/>
            </a:ext>
          </a:extLst>
        </xdr:cNvPr>
        <xdr:cNvCxnSpPr/>
      </xdr:nvCxnSpPr>
      <xdr:spPr>
        <a:xfrm>
          <a:off x="17154334" y="3716048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2053</xdr:row>
      <xdr:rowOff>65410</xdr:rowOff>
    </xdr:from>
    <xdr:to>
      <xdr:col>8</xdr:col>
      <xdr:colOff>1398397</xdr:colOff>
      <xdr:row>2053</xdr:row>
      <xdr:rowOff>65410</xdr:rowOff>
    </xdr:to>
    <xdr:cxnSp macro="_xll.PtreeEvent_ObjectClick">
      <xdr:nvCxnSpPr>
        <xdr:cNvPr id="4075" name="PTObj_DBranchHLine_1_1016">
          <a:extLst>
            <a:ext uri="{FF2B5EF4-FFF2-40B4-BE49-F238E27FC236}">
              <a16:creationId xmlns:a16="http://schemas.microsoft.com/office/drawing/2014/main" id="{10E54A33-266C-4DA1-9681-5E4816E4BA3F}"/>
            </a:ext>
          </a:extLst>
        </xdr:cNvPr>
        <xdr:cNvCxnSpPr/>
      </xdr:nvCxnSpPr>
      <xdr:spPr>
        <a:xfrm>
          <a:off x="15888463" y="371607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2051</xdr:row>
      <xdr:rowOff>56530</xdr:rowOff>
    </xdr:from>
    <xdr:to>
      <xdr:col>8</xdr:col>
      <xdr:colOff>219838</xdr:colOff>
      <xdr:row>2053</xdr:row>
      <xdr:rowOff>65410</xdr:rowOff>
    </xdr:to>
    <xdr:cxnSp macro="_xll.PtreeEvent_ObjectClick">
      <xdr:nvCxnSpPr>
        <xdr:cNvPr id="4074" name="PTObj_DBranchDLine_1_1016">
          <a:extLst>
            <a:ext uri="{FF2B5EF4-FFF2-40B4-BE49-F238E27FC236}">
              <a16:creationId xmlns:a16="http://schemas.microsoft.com/office/drawing/2014/main" id="{234B34F1-64BB-4C15-AFFB-76F61E44FBE0}"/>
            </a:ext>
          </a:extLst>
        </xdr:cNvPr>
        <xdr:cNvCxnSpPr/>
      </xdr:nvCxnSpPr>
      <xdr:spPr>
        <a:xfrm>
          <a:off x="15736063" y="3712362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2049</xdr:row>
      <xdr:rowOff>57795</xdr:rowOff>
    </xdr:from>
    <xdr:to>
      <xdr:col>11</xdr:col>
      <xdr:colOff>1394589</xdr:colOff>
      <xdr:row>2049</xdr:row>
      <xdr:rowOff>57795</xdr:rowOff>
    </xdr:to>
    <xdr:cxnSp macro="_xll.PtreeEvent_ObjectClick">
      <xdr:nvCxnSpPr>
        <xdr:cNvPr id="4071" name="PTObj_DBranchHLine_1_1014">
          <a:extLst>
            <a:ext uri="{FF2B5EF4-FFF2-40B4-BE49-F238E27FC236}">
              <a16:creationId xmlns:a16="http://schemas.microsoft.com/office/drawing/2014/main" id="{83428106-49C1-42C6-97A5-A6F4E70BE34C}"/>
            </a:ext>
          </a:extLst>
        </xdr:cNvPr>
        <xdr:cNvCxnSpPr/>
      </xdr:nvCxnSpPr>
      <xdr:spPr>
        <a:xfrm>
          <a:off x="20149945" y="3708755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2047</xdr:row>
      <xdr:rowOff>41300</xdr:rowOff>
    </xdr:from>
    <xdr:to>
      <xdr:col>11</xdr:col>
      <xdr:colOff>195070</xdr:colOff>
      <xdr:row>2049</xdr:row>
      <xdr:rowOff>57795</xdr:rowOff>
    </xdr:to>
    <xdr:cxnSp macro="_xll.PtreeEvent_ObjectClick">
      <xdr:nvCxnSpPr>
        <xdr:cNvPr id="4070" name="PTObj_DBranchDLine_1_1014">
          <a:extLst>
            <a:ext uri="{FF2B5EF4-FFF2-40B4-BE49-F238E27FC236}">
              <a16:creationId xmlns:a16="http://schemas.microsoft.com/office/drawing/2014/main" id="{F1908747-47F6-43BE-B1C9-46B6F4F9E6FF}"/>
            </a:ext>
          </a:extLst>
        </xdr:cNvPr>
        <xdr:cNvCxnSpPr/>
      </xdr:nvCxnSpPr>
      <xdr:spPr>
        <a:xfrm>
          <a:off x="19997545" y="3704971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2047</xdr:row>
      <xdr:rowOff>53975</xdr:rowOff>
    </xdr:from>
    <xdr:to>
      <xdr:col>10</xdr:col>
      <xdr:colOff>1388870</xdr:colOff>
      <xdr:row>2047</xdr:row>
      <xdr:rowOff>53975</xdr:rowOff>
    </xdr:to>
    <xdr:cxnSp macro="_xll.PtreeEvent_ObjectClick">
      <xdr:nvCxnSpPr>
        <xdr:cNvPr id="4067" name="PTObj_DBranchHLine_1_1013">
          <a:extLst>
            <a:ext uri="{FF2B5EF4-FFF2-40B4-BE49-F238E27FC236}">
              <a16:creationId xmlns:a16="http://schemas.microsoft.com/office/drawing/2014/main" id="{729D19B9-EA86-4931-A29C-37982F61657A}"/>
            </a:ext>
          </a:extLst>
        </xdr:cNvPr>
        <xdr:cNvCxnSpPr/>
      </xdr:nvCxnSpPr>
      <xdr:spPr>
        <a:xfrm>
          <a:off x="18730720" y="370509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2045</xdr:row>
      <xdr:rowOff>38447</xdr:rowOff>
    </xdr:from>
    <xdr:to>
      <xdr:col>10</xdr:col>
      <xdr:colOff>204595</xdr:colOff>
      <xdr:row>2047</xdr:row>
      <xdr:rowOff>53975</xdr:rowOff>
    </xdr:to>
    <xdr:cxnSp macro="_xll.PtreeEvent_ObjectClick">
      <xdr:nvCxnSpPr>
        <xdr:cNvPr id="4066" name="PTObj_DBranchDLine_1_1013">
          <a:extLst>
            <a:ext uri="{FF2B5EF4-FFF2-40B4-BE49-F238E27FC236}">
              <a16:creationId xmlns:a16="http://schemas.microsoft.com/office/drawing/2014/main" id="{DB547D91-3DAB-4307-A250-C6400CA730AB}"/>
            </a:ext>
          </a:extLst>
        </xdr:cNvPr>
        <xdr:cNvCxnSpPr/>
      </xdr:nvCxnSpPr>
      <xdr:spPr>
        <a:xfrm>
          <a:off x="18578320" y="3701323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2045</xdr:row>
      <xdr:rowOff>50155</xdr:rowOff>
    </xdr:from>
    <xdr:to>
      <xdr:col>9</xdr:col>
      <xdr:colOff>1392681</xdr:colOff>
      <xdr:row>2045</xdr:row>
      <xdr:rowOff>50155</xdr:rowOff>
    </xdr:to>
    <xdr:cxnSp macro="_xll.PtreeEvent_ObjectClick">
      <xdr:nvCxnSpPr>
        <xdr:cNvPr id="4063" name="PTObj_DBranchHLine_1_1012">
          <a:extLst>
            <a:ext uri="{FF2B5EF4-FFF2-40B4-BE49-F238E27FC236}">
              <a16:creationId xmlns:a16="http://schemas.microsoft.com/office/drawing/2014/main" id="{DF3C6E38-AEAC-409D-BB29-AFFFB4351D4E}"/>
            </a:ext>
          </a:extLst>
        </xdr:cNvPr>
        <xdr:cNvCxnSpPr/>
      </xdr:nvCxnSpPr>
      <xdr:spPr>
        <a:xfrm>
          <a:off x="17306734" y="370144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2043</xdr:row>
      <xdr:rowOff>37455</xdr:rowOff>
    </xdr:from>
    <xdr:to>
      <xdr:col>9</xdr:col>
      <xdr:colOff>209359</xdr:colOff>
      <xdr:row>2045</xdr:row>
      <xdr:rowOff>50155</xdr:rowOff>
    </xdr:to>
    <xdr:cxnSp macro="_xll.PtreeEvent_ObjectClick">
      <xdr:nvCxnSpPr>
        <xdr:cNvPr id="4062" name="PTObj_DBranchDLine_1_1012">
          <a:extLst>
            <a:ext uri="{FF2B5EF4-FFF2-40B4-BE49-F238E27FC236}">
              <a16:creationId xmlns:a16="http://schemas.microsoft.com/office/drawing/2014/main" id="{7002E144-BF70-44E2-8C28-951A4C1CB27C}"/>
            </a:ext>
          </a:extLst>
        </xdr:cNvPr>
        <xdr:cNvCxnSpPr/>
      </xdr:nvCxnSpPr>
      <xdr:spPr>
        <a:xfrm>
          <a:off x="17154334" y="369769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2043</xdr:row>
      <xdr:rowOff>46360</xdr:rowOff>
    </xdr:from>
    <xdr:to>
      <xdr:col>8</xdr:col>
      <xdr:colOff>1398397</xdr:colOff>
      <xdr:row>2043</xdr:row>
      <xdr:rowOff>46360</xdr:rowOff>
    </xdr:to>
    <xdr:cxnSp macro="_xll.PtreeEvent_ObjectClick">
      <xdr:nvCxnSpPr>
        <xdr:cNvPr id="4059" name="PTObj_DBranchHLine_1_1011">
          <a:extLst>
            <a:ext uri="{FF2B5EF4-FFF2-40B4-BE49-F238E27FC236}">
              <a16:creationId xmlns:a16="http://schemas.microsoft.com/office/drawing/2014/main" id="{77C9C54E-1DE8-4E79-A342-89276CF742B8}"/>
            </a:ext>
          </a:extLst>
        </xdr:cNvPr>
        <xdr:cNvCxnSpPr/>
      </xdr:nvCxnSpPr>
      <xdr:spPr>
        <a:xfrm>
          <a:off x="15884652" y="369778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2043</xdr:row>
      <xdr:rowOff>46360</xdr:rowOff>
    </xdr:from>
    <xdr:to>
      <xdr:col>8</xdr:col>
      <xdr:colOff>216027</xdr:colOff>
      <xdr:row>2051</xdr:row>
      <xdr:rowOff>56530</xdr:rowOff>
    </xdr:to>
    <xdr:cxnSp macro="_xll.PtreeEvent_ObjectClick">
      <xdr:nvCxnSpPr>
        <xdr:cNvPr id="4058" name="PTObj_DBranchDLine_1_1011">
          <a:extLst>
            <a:ext uri="{FF2B5EF4-FFF2-40B4-BE49-F238E27FC236}">
              <a16:creationId xmlns:a16="http://schemas.microsoft.com/office/drawing/2014/main" id="{873D3BDB-9A91-453C-B69E-CFFE096D02BD}"/>
            </a:ext>
          </a:extLst>
        </xdr:cNvPr>
        <xdr:cNvCxnSpPr/>
      </xdr:nvCxnSpPr>
      <xdr:spPr>
        <a:xfrm flipV="1">
          <a:off x="15732252" y="3697782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2051</xdr:row>
      <xdr:rowOff>61590</xdr:rowOff>
    </xdr:from>
    <xdr:to>
      <xdr:col>7</xdr:col>
      <xdr:colOff>1402207</xdr:colOff>
      <xdr:row>2051</xdr:row>
      <xdr:rowOff>61590</xdr:rowOff>
    </xdr:to>
    <xdr:cxnSp macro="_xll.PtreeEvent_ObjectClick">
      <xdr:nvCxnSpPr>
        <xdr:cNvPr id="4055" name="PTObj_DBranchHLine_1_1015">
          <a:extLst>
            <a:ext uri="{FF2B5EF4-FFF2-40B4-BE49-F238E27FC236}">
              <a16:creationId xmlns:a16="http://schemas.microsoft.com/office/drawing/2014/main" id="{462F66FF-84BA-44B6-9387-6EC2286AA71A}"/>
            </a:ext>
          </a:extLst>
        </xdr:cNvPr>
        <xdr:cNvCxnSpPr/>
      </xdr:nvCxnSpPr>
      <xdr:spPr>
        <a:xfrm>
          <a:off x="14460665" y="371241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2041</xdr:row>
      <xdr:rowOff>39390</xdr:rowOff>
    </xdr:from>
    <xdr:to>
      <xdr:col>7</xdr:col>
      <xdr:colOff>220790</xdr:colOff>
      <xdr:row>2051</xdr:row>
      <xdr:rowOff>61590</xdr:rowOff>
    </xdr:to>
    <xdr:cxnSp macro="_xll.PtreeEvent_ObjectClick">
      <xdr:nvCxnSpPr>
        <xdr:cNvPr id="4054" name="PTObj_DBranchDLine_1_1015">
          <a:extLst>
            <a:ext uri="{FF2B5EF4-FFF2-40B4-BE49-F238E27FC236}">
              <a16:creationId xmlns:a16="http://schemas.microsoft.com/office/drawing/2014/main" id="{0748E999-5CF3-432E-9FA8-B85484DC282E}"/>
            </a:ext>
          </a:extLst>
        </xdr:cNvPr>
        <xdr:cNvCxnSpPr/>
      </xdr:nvCxnSpPr>
      <xdr:spPr>
        <a:xfrm>
          <a:off x="14308265" y="3694093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2039</xdr:row>
      <xdr:rowOff>38745</xdr:rowOff>
    </xdr:from>
    <xdr:to>
      <xdr:col>11</xdr:col>
      <xdr:colOff>1386967</xdr:colOff>
      <xdr:row>2039</xdr:row>
      <xdr:rowOff>38745</xdr:rowOff>
    </xdr:to>
    <xdr:cxnSp macro="_xll.PtreeEvent_ObjectClick">
      <xdr:nvCxnSpPr>
        <xdr:cNvPr id="4051" name="PTObj_DBranchHLine_1_1009">
          <a:extLst>
            <a:ext uri="{FF2B5EF4-FFF2-40B4-BE49-F238E27FC236}">
              <a16:creationId xmlns:a16="http://schemas.microsoft.com/office/drawing/2014/main" id="{4508D1F4-DABC-48F3-8349-B6E718F3B70D}"/>
            </a:ext>
          </a:extLst>
        </xdr:cNvPr>
        <xdr:cNvCxnSpPr/>
      </xdr:nvCxnSpPr>
      <xdr:spPr>
        <a:xfrm>
          <a:off x="20149945" y="369046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2037</xdr:row>
      <xdr:rowOff>32717</xdr:rowOff>
    </xdr:from>
    <xdr:to>
      <xdr:col>11</xdr:col>
      <xdr:colOff>195070</xdr:colOff>
      <xdr:row>2039</xdr:row>
      <xdr:rowOff>38745</xdr:rowOff>
    </xdr:to>
    <xdr:cxnSp macro="_xll.PtreeEvent_ObjectClick">
      <xdr:nvCxnSpPr>
        <xdr:cNvPr id="4050" name="PTObj_DBranchDLine_1_1009">
          <a:extLst>
            <a:ext uri="{FF2B5EF4-FFF2-40B4-BE49-F238E27FC236}">
              <a16:creationId xmlns:a16="http://schemas.microsoft.com/office/drawing/2014/main" id="{F03582E6-BADC-4DE1-A112-197F88D0A729}"/>
            </a:ext>
          </a:extLst>
        </xdr:cNvPr>
        <xdr:cNvCxnSpPr/>
      </xdr:nvCxnSpPr>
      <xdr:spPr>
        <a:xfrm>
          <a:off x="19997545" y="3686787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2037</xdr:row>
      <xdr:rowOff>34925</xdr:rowOff>
    </xdr:from>
    <xdr:to>
      <xdr:col>10</xdr:col>
      <xdr:colOff>1388870</xdr:colOff>
      <xdr:row>2037</xdr:row>
      <xdr:rowOff>34925</xdr:rowOff>
    </xdr:to>
    <xdr:cxnSp macro="_xll.PtreeEvent_ObjectClick">
      <xdr:nvCxnSpPr>
        <xdr:cNvPr id="4047" name="PTObj_DBranchHLine_1_1008">
          <a:extLst>
            <a:ext uri="{FF2B5EF4-FFF2-40B4-BE49-F238E27FC236}">
              <a16:creationId xmlns:a16="http://schemas.microsoft.com/office/drawing/2014/main" id="{14DC0275-D329-4302-B1BC-61888224B1B1}"/>
            </a:ext>
          </a:extLst>
        </xdr:cNvPr>
        <xdr:cNvCxnSpPr/>
      </xdr:nvCxnSpPr>
      <xdr:spPr>
        <a:xfrm>
          <a:off x="18730720" y="368681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2035</xdr:row>
      <xdr:rowOff>30783</xdr:rowOff>
    </xdr:from>
    <xdr:to>
      <xdr:col>10</xdr:col>
      <xdr:colOff>204595</xdr:colOff>
      <xdr:row>2037</xdr:row>
      <xdr:rowOff>34925</xdr:rowOff>
    </xdr:to>
    <xdr:cxnSp macro="_xll.PtreeEvent_ObjectClick">
      <xdr:nvCxnSpPr>
        <xdr:cNvPr id="4046" name="PTObj_DBranchDLine_1_1008">
          <a:extLst>
            <a:ext uri="{FF2B5EF4-FFF2-40B4-BE49-F238E27FC236}">
              <a16:creationId xmlns:a16="http://schemas.microsoft.com/office/drawing/2014/main" id="{6B6372DD-D21F-4A18-A791-A1B6FB143608}"/>
            </a:ext>
          </a:extLst>
        </xdr:cNvPr>
        <xdr:cNvCxnSpPr/>
      </xdr:nvCxnSpPr>
      <xdr:spPr>
        <a:xfrm>
          <a:off x="18578320" y="3683149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2035</xdr:row>
      <xdr:rowOff>31105</xdr:rowOff>
    </xdr:from>
    <xdr:to>
      <xdr:col>9</xdr:col>
      <xdr:colOff>1392681</xdr:colOff>
      <xdr:row>2035</xdr:row>
      <xdr:rowOff>31105</xdr:rowOff>
    </xdr:to>
    <xdr:cxnSp macro="_xll.PtreeEvent_ObjectClick">
      <xdr:nvCxnSpPr>
        <xdr:cNvPr id="4043" name="PTObj_DBranchHLine_1_1007">
          <a:extLst>
            <a:ext uri="{FF2B5EF4-FFF2-40B4-BE49-F238E27FC236}">
              <a16:creationId xmlns:a16="http://schemas.microsoft.com/office/drawing/2014/main" id="{93C3FD3D-A0FE-467E-815E-0579AF5FD866}"/>
            </a:ext>
          </a:extLst>
        </xdr:cNvPr>
        <xdr:cNvCxnSpPr/>
      </xdr:nvCxnSpPr>
      <xdr:spPr>
        <a:xfrm>
          <a:off x="17306734" y="368315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2033</xdr:row>
      <xdr:rowOff>25053</xdr:rowOff>
    </xdr:from>
    <xdr:to>
      <xdr:col>9</xdr:col>
      <xdr:colOff>209359</xdr:colOff>
      <xdr:row>2035</xdr:row>
      <xdr:rowOff>31105</xdr:rowOff>
    </xdr:to>
    <xdr:cxnSp macro="_xll.PtreeEvent_ObjectClick">
      <xdr:nvCxnSpPr>
        <xdr:cNvPr id="4042" name="PTObj_DBranchDLine_1_1007">
          <a:extLst>
            <a:ext uri="{FF2B5EF4-FFF2-40B4-BE49-F238E27FC236}">
              <a16:creationId xmlns:a16="http://schemas.microsoft.com/office/drawing/2014/main" id="{B423B2E6-8224-4E73-9037-8E8776D41E1A}"/>
            </a:ext>
          </a:extLst>
        </xdr:cNvPr>
        <xdr:cNvCxnSpPr/>
      </xdr:nvCxnSpPr>
      <xdr:spPr>
        <a:xfrm>
          <a:off x="17154334" y="3679472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2033</xdr:row>
      <xdr:rowOff>27310</xdr:rowOff>
    </xdr:from>
    <xdr:to>
      <xdr:col>8</xdr:col>
      <xdr:colOff>1398397</xdr:colOff>
      <xdr:row>2033</xdr:row>
      <xdr:rowOff>27310</xdr:rowOff>
    </xdr:to>
    <xdr:cxnSp macro="_xll.PtreeEvent_ObjectClick">
      <xdr:nvCxnSpPr>
        <xdr:cNvPr id="4039" name="PTObj_DBranchHLine_1_1006">
          <a:extLst>
            <a:ext uri="{FF2B5EF4-FFF2-40B4-BE49-F238E27FC236}">
              <a16:creationId xmlns:a16="http://schemas.microsoft.com/office/drawing/2014/main" id="{13009D09-D9C9-4BFA-AA2C-FC9667F8F779}"/>
            </a:ext>
          </a:extLst>
        </xdr:cNvPr>
        <xdr:cNvCxnSpPr/>
      </xdr:nvCxnSpPr>
      <xdr:spPr>
        <a:xfrm>
          <a:off x="15888463" y="367949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2031</xdr:row>
      <xdr:rowOff>18430</xdr:rowOff>
    </xdr:from>
    <xdr:to>
      <xdr:col>8</xdr:col>
      <xdr:colOff>219838</xdr:colOff>
      <xdr:row>2033</xdr:row>
      <xdr:rowOff>27310</xdr:rowOff>
    </xdr:to>
    <xdr:cxnSp macro="_xll.PtreeEvent_ObjectClick">
      <xdr:nvCxnSpPr>
        <xdr:cNvPr id="4038" name="PTObj_DBranchDLine_1_1006">
          <a:extLst>
            <a:ext uri="{FF2B5EF4-FFF2-40B4-BE49-F238E27FC236}">
              <a16:creationId xmlns:a16="http://schemas.microsoft.com/office/drawing/2014/main" id="{12EB2738-825D-4B1B-8284-D890D15AFE12}"/>
            </a:ext>
          </a:extLst>
        </xdr:cNvPr>
        <xdr:cNvCxnSpPr/>
      </xdr:nvCxnSpPr>
      <xdr:spPr>
        <a:xfrm>
          <a:off x="15736063" y="3675786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2029</xdr:row>
      <xdr:rowOff>19695</xdr:rowOff>
    </xdr:from>
    <xdr:to>
      <xdr:col>11</xdr:col>
      <xdr:colOff>1394589</xdr:colOff>
      <xdr:row>2029</xdr:row>
      <xdr:rowOff>19695</xdr:rowOff>
    </xdr:to>
    <xdr:cxnSp macro="_xll.PtreeEvent_ObjectClick">
      <xdr:nvCxnSpPr>
        <xdr:cNvPr id="4035" name="PTObj_DBranchHLine_1_1004">
          <a:extLst>
            <a:ext uri="{FF2B5EF4-FFF2-40B4-BE49-F238E27FC236}">
              <a16:creationId xmlns:a16="http://schemas.microsoft.com/office/drawing/2014/main" id="{F0D1BD11-F2F2-4597-9E3F-160A7A0728D2}"/>
            </a:ext>
          </a:extLst>
        </xdr:cNvPr>
        <xdr:cNvCxnSpPr/>
      </xdr:nvCxnSpPr>
      <xdr:spPr>
        <a:xfrm>
          <a:off x="20149945" y="3672179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2027</xdr:row>
      <xdr:rowOff>3200</xdr:rowOff>
    </xdr:from>
    <xdr:to>
      <xdr:col>11</xdr:col>
      <xdr:colOff>195070</xdr:colOff>
      <xdr:row>2029</xdr:row>
      <xdr:rowOff>19695</xdr:rowOff>
    </xdr:to>
    <xdr:cxnSp macro="_xll.PtreeEvent_ObjectClick">
      <xdr:nvCxnSpPr>
        <xdr:cNvPr id="4034" name="PTObj_DBranchDLine_1_1004">
          <a:extLst>
            <a:ext uri="{FF2B5EF4-FFF2-40B4-BE49-F238E27FC236}">
              <a16:creationId xmlns:a16="http://schemas.microsoft.com/office/drawing/2014/main" id="{6302DEC0-DAE2-4EE4-BCA3-9B83C8FB110D}"/>
            </a:ext>
          </a:extLst>
        </xdr:cNvPr>
        <xdr:cNvCxnSpPr/>
      </xdr:nvCxnSpPr>
      <xdr:spPr>
        <a:xfrm>
          <a:off x="19997545" y="3668395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2027</xdr:row>
      <xdr:rowOff>15875</xdr:rowOff>
    </xdr:from>
    <xdr:to>
      <xdr:col>10</xdr:col>
      <xdr:colOff>1388870</xdr:colOff>
      <xdr:row>2027</xdr:row>
      <xdr:rowOff>15875</xdr:rowOff>
    </xdr:to>
    <xdr:cxnSp macro="_xll.PtreeEvent_ObjectClick">
      <xdr:nvCxnSpPr>
        <xdr:cNvPr id="4031" name="PTObj_DBranchHLine_1_1003">
          <a:extLst>
            <a:ext uri="{FF2B5EF4-FFF2-40B4-BE49-F238E27FC236}">
              <a16:creationId xmlns:a16="http://schemas.microsoft.com/office/drawing/2014/main" id="{BF798B8A-1725-4C7C-8AEF-BF5FA1E97B6D}"/>
            </a:ext>
          </a:extLst>
        </xdr:cNvPr>
        <xdr:cNvCxnSpPr/>
      </xdr:nvCxnSpPr>
      <xdr:spPr>
        <a:xfrm>
          <a:off x="18730720" y="366852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2025</xdr:row>
      <xdr:rowOff>347</xdr:rowOff>
    </xdr:from>
    <xdr:to>
      <xdr:col>10</xdr:col>
      <xdr:colOff>204595</xdr:colOff>
      <xdr:row>2027</xdr:row>
      <xdr:rowOff>15875</xdr:rowOff>
    </xdr:to>
    <xdr:cxnSp macro="_xll.PtreeEvent_ObjectClick">
      <xdr:nvCxnSpPr>
        <xdr:cNvPr id="4030" name="PTObj_DBranchDLine_1_1003">
          <a:extLst>
            <a:ext uri="{FF2B5EF4-FFF2-40B4-BE49-F238E27FC236}">
              <a16:creationId xmlns:a16="http://schemas.microsoft.com/office/drawing/2014/main" id="{61517FA4-C1B1-4CDD-A11F-3F6EF7F8C810}"/>
            </a:ext>
          </a:extLst>
        </xdr:cNvPr>
        <xdr:cNvCxnSpPr/>
      </xdr:nvCxnSpPr>
      <xdr:spPr>
        <a:xfrm>
          <a:off x="18578320" y="3664747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2025</xdr:row>
      <xdr:rowOff>12055</xdr:rowOff>
    </xdr:from>
    <xdr:to>
      <xdr:col>9</xdr:col>
      <xdr:colOff>1392681</xdr:colOff>
      <xdr:row>2025</xdr:row>
      <xdr:rowOff>12055</xdr:rowOff>
    </xdr:to>
    <xdr:cxnSp macro="_xll.PtreeEvent_ObjectClick">
      <xdr:nvCxnSpPr>
        <xdr:cNvPr id="4027" name="PTObj_DBranchHLine_1_1002">
          <a:extLst>
            <a:ext uri="{FF2B5EF4-FFF2-40B4-BE49-F238E27FC236}">
              <a16:creationId xmlns:a16="http://schemas.microsoft.com/office/drawing/2014/main" id="{3390204E-A696-4C8E-80CA-87D4B4879C3C}"/>
            </a:ext>
          </a:extLst>
        </xdr:cNvPr>
        <xdr:cNvCxnSpPr/>
      </xdr:nvCxnSpPr>
      <xdr:spPr>
        <a:xfrm>
          <a:off x="17306734" y="366486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2022</xdr:row>
      <xdr:rowOff>180330</xdr:rowOff>
    </xdr:from>
    <xdr:to>
      <xdr:col>9</xdr:col>
      <xdr:colOff>209359</xdr:colOff>
      <xdr:row>2025</xdr:row>
      <xdr:rowOff>12055</xdr:rowOff>
    </xdr:to>
    <xdr:cxnSp macro="_xll.PtreeEvent_ObjectClick">
      <xdr:nvCxnSpPr>
        <xdr:cNvPr id="4026" name="PTObj_DBranchDLine_1_1002">
          <a:extLst>
            <a:ext uri="{FF2B5EF4-FFF2-40B4-BE49-F238E27FC236}">
              <a16:creationId xmlns:a16="http://schemas.microsoft.com/office/drawing/2014/main" id="{05BA6285-4FFC-4A98-9CEB-434214F364FC}"/>
            </a:ext>
          </a:extLst>
        </xdr:cNvPr>
        <xdr:cNvCxnSpPr/>
      </xdr:nvCxnSpPr>
      <xdr:spPr>
        <a:xfrm>
          <a:off x="17154334" y="366111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2023</xdr:row>
      <xdr:rowOff>8260</xdr:rowOff>
    </xdr:from>
    <xdr:to>
      <xdr:col>8</xdr:col>
      <xdr:colOff>1398397</xdr:colOff>
      <xdr:row>2023</xdr:row>
      <xdr:rowOff>8260</xdr:rowOff>
    </xdr:to>
    <xdr:cxnSp macro="_xll.PtreeEvent_ObjectClick">
      <xdr:nvCxnSpPr>
        <xdr:cNvPr id="4023" name="PTObj_DBranchHLine_1_1001">
          <a:extLst>
            <a:ext uri="{FF2B5EF4-FFF2-40B4-BE49-F238E27FC236}">
              <a16:creationId xmlns:a16="http://schemas.microsoft.com/office/drawing/2014/main" id="{5C003467-7802-4A3B-882F-407555AFEF44}"/>
            </a:ext>
          </a:extLst>
        </xdr:cNvPr>
        <xdr:cNvCxnSpPr/>
      </xdr:nvCxnSpPr>
      <xdr:spPr>
        <a:xfrm>
          <a:off x="15884652" y="366120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2023</xdr:row>
      <xdr:rowOff>8260</xdr:rowOff>
    </xdr:from>
    <xdr:to>
      <xdr:col>8</xdr:col>
      <xdr:colOff>216027</xdr:colOff>
      <xdr:row>2031</xdr:row>
      <xdr:rowOff>18430</xdr:rowOff>
    </xdr:to>
    <xdr:cxnSp macro="_xll.PtreeEvent_ObjectClick">
      <xdr:nvCxnSpPr>
        <xdr:cNvPr id="4022" name="PTObj_DBranchDLine_1_1001">
          <a:extLst>
            <a:ext uri="{FF2B5EF4-FFF2-40B4-BE49-F238E27FC236}">
              <a16:creationId xmlns:a16="http://schemas.microsoft.com/office/drawing/2014/main" id="{07793F4C-CD21-43D5-9BC1-9F7A39F739C0}"/>
            </a:ext>
          </a:extLst>
        </xdr:cNvPr>
        <xdr:cNvCxnSpPr/>
      </xdr:nvCxnSpPr>
      <xdr:spPr>
        <a:xfrm flipV="1">
          <a:off x="15732252" y="3661206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2031</xdr:row>
      <xdr:rowOff>23490</xdr:rowOff>
    </xdr:from>
    <xdr:to>
      <xdr:col>7</xdr:col>
      <xdr:colOff>1402207</xdr:colOff>
      <xdr:row>2031</xdr:row>
      <xdr:rowOff>23490</xdr:rowOff>
    </xdr:to>
    <xdr:cxnSp macro="_xll.PtreeEvent_ObjectClick">
      <xdr:nvCxnSpPr>
        <xdr:cNvPr id="4019" name="PTObj_DBranchHLine_1_1005">
          <a:extLst>
            <a:ext uri="{FF2B5EF4-FFF2-40B4-BE49-F238E27FC236}">
              <a16:creationId xmlns:a16="http://schemas.microsoft.com/office/drawing/2014/main" id="{25272E52-CCA9-4385-BDB4-2841B5421F26}"/>
            </a:ext>
          </a:extLst>
        </xdr:cNvPr>
        <xdr:cNvCxnSpPr/>
      </xdr:nvCxnSpPr>
      <xdr:spPr>
        <a:xfrm>
          <a:off x="14462570" y="3675837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2031</xdr:row>
      <xdr:rowOff>23490</xdr:rowOff>
    </xdr:from>
    <xdr:to>
      <xdr:col>7</xdr:col>
      <xdr:colOff>222695</xdr:colOff>
      <xdr:row>2041</xdr:row>
      <xdr:rowOff>37480</xdr:rowOff>
    </xdr:to>
    <xdr:cxnSp macro="_xll.PtreeEvent_ObjectClick">
      <xdr:nvCxnSpPr>
        <xdr:cNvPr id="4018" name="PTObj_DBranchDLine_1_1005">
          <a:extLst>
            <a:ext uri="{FF2B5EF4-FFF2-40B4-BE49-F238E27FC236}">
              <a16:creationId xmlns:a16="http://schemas.microsoft.com/office/drawing/2014/main" id="{A2D71F49-535A-42B5-B380-AEBC95B7A09D}"/>
            </a:ext>
          </a:extLst>
        </xdr:cNvPr>
        <xdr:cNvCxnSpPr/>
      </xdr:nvCxnSpPr>
      <xdr:spPr>
        <a:xfrm flipV="1">
          <a:off x="14310170" y="3675837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2041</xdr:row>
      <xdr:rowOff>42540</xdr:rowOff>
    </xdr:from>
    <xdr:to>
      <xdr:col>6</xdr:col>
      <xdr:colOff>1407922</xdr:colOff>
      <xdr:row>2041</xdr:row>
      <xdr:rowOff>42540</xdr:rowOff>
    </xdr:to>
    <xdr:cxnSp macro="_xll.PtreeEvent_ObjectClick">
      <xdr:nvCxnSpPr>
        <xdr:cNvPr id="4015" name="PTObj_DBranchHLine_1_1010">
          <a:extLst>
            <a:ext uri="{FF2B5EF4-FFF2-40B4-BE49-F238E27FC236}">
              <a16:creationId xmlns:a16="http://schemas.microsoft.com/office/drawing/2014/main" id="{CFE7C285-31FD-4858-9F02-7EE30D5A86A5}"/>
            </a:ext>
          </a:extLst>
        </xdr:cNvPr>
        <xdr:cNvCxnSpPr/>
      </xdr:nvCxnSpPr>
      <xdr:spPr>
        <a:xfrm>
          <a:off x="13034772" y="3694125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2041</xdr:row>
      <xdr:rowOff>42540</xdr:rowOff>
    </xdr:from>
    <xdr:to>
      <xdr:col>6</xdr:col>
      <xdr:colOff>223647</xdr:colOff>
      <xdr:row>2061</xdr:row>
      <xdr:rowOff>75580</xdr:rowOff>
    </xdr:to>
    <xdr:cxnSp macro="_xll.PtreeEvent_ObjectClick">
      <xdr:nvCxnSpPr>
        <xdr:cNvPr id="4014" name="PTObj_DBranchDLine_1_1010">
          <a:extLst>
            <a:ext uri="{FF2B5EF4-FFF2-40B4-BE49-F238E27FC236}">
              <a16:creationId xmlns:a16="http://schemas.microsoft.com/office/drawing/2014/main" id="{6AF33949-23FD-47D3-9ABB-DE1F2D24BC11}"/>
            </a:ext>
          </a:extLst>
        </xdr:cNvPr>
        <xdr:cNvCxnSpPr/>
      </xdr:nvCxnSpPr>
      <xdr:spPr>
        <a:xfrm flipV="1">
          <a:off x="12882372" y="3694125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2061</xdr:row>
      <xdr:rowOff>80640</xdr:rowOff>
    </xdr:from>
    <xdr:to>
      <xdr:col>5</xdr:col>
      <xdr:colOff>1411732</xdr:colOff>
      <xdr:row>2061</xdr:row>
      <xdr:rowOff>80640</xdr:rowOff>
    </xdr:to>
    <xdr:cxnSp macro="_xll.PtreeEvent_ObjectClick">
      <xdr:nvCxnSpPr>
        <xdr:cNvPr id="4011" name="PTObj_DBranchHLine_1_1020">
          <a:extLst>
            <a:ext uri="{FF2B5EF4-FFF2-40B4-BE49-F238E27FC236}">
              <a16:creationId xmlns:a16="http://schemas.microsoft.com/office/drawing/2014/main" id="{11709612-7C7A-496C-ACF4-284AFA5A949B}"/>
            </a:ext>
          </a:extLst>
        </xdr:cNvPr>
        <xdr:cNvCxnSpPr/>
      </xdr:nvCxnSpPr>
      <xdr:spPr>
        <a:xfrm>
          <a:off x="11608880" y="3730701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2021</xdr:row>
      <xdr:rowOff>1290</xdr:rowOff>
    </xdr:from>
    <xdr:to>
      <xdr:col>5</xdr:col>
      <xdr:colOff>226505</xdr:colOff>
      <xdr:row>2061</xdr:row>
      <xdr:rowOff>80640</xdr:rowOff>
    </xdr:to>
    <xdr:cxnSp macro="_xll.PtreeEvent_ObjectClick">
      <xdr:nvCxnSpPr>
        <xdr:cNvPr id="4010" name="PTObj_DBranchDLine_1_1020">
          <a:extLst>
            <a:ext uri="{FF2B5EF4-FFF2-40B4-BE49-F238E27FC236}">
              <a16:creationId xmlns:a16="http://schemas.microsoft.com/office/drawing/2014/main" id="{B19F59B2-3FA8-4FF7-BEE3-F9535B2EF046}"/>
            </a:ext>
          </a:extLst>
        </xdr:cNvPr>
        <xdr:cNvCxnSpPr/>
      </xdr:nvCxnSpPr>
      <xdr:spPr>
        <a:xfrm>
          <a:off x="11456480" y="365751765"/>
          <a:ext cx="152400" cy="73183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2019</xdr:row>
      <xdr:rowOff>645</xdr:rowOff>
    </xdr:from>
    <xdr:to>
      <xdr:col>11</xdr:col>
      <xdr:colOff>1386967</xdr:colOff>
      <xdr:row>2019</xdr:row>
      <xdr:rowOff>645</xdr:rowOff>
    </xdr:to>
    <xdr:cxnSp macro="_xll.PtreeEvent_ObjectClick">
      <xdr:nvCxnSpPr>
        <xdr:cNvPr id="4007" name="PTObj_DBranchHLine_1_999">
          <a:extLst>
            <a:ext uri="{FF2B5EF4-FFF2-40B4-BE49-F238E27FC236}">
              <a16:creationId xmlns:a16="http://schemas.microsoft.com/office/drawing/2014/main" id="{D436D1BC-9CDF-40BE-967D-D206B8A07022}"/>
            </a:ext>
          </a:extLst>
        </xdr:cNvPr>
        <xdr:cNvCxnSpPr/>
      </xdr:nvCxnSpPr>
      <xdr:spPr>
        <a:xfrm>
          <a:off x="20149945" y="365389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2016</xdr:row>
      <xdr:rowOff>175592</xdr:rowOff>
    </xdr:from>
    <xdr:to>
      <xdr:col>11</xdr:col>
      <xdr:colOff>195070</xdr:colOff>
      <xdr:row>2019</xdr:row>
      <xdr:rowOff>645</xdr:rowOff>
    </xdr:to>
    <xdr:cxnSp macro="_xll.PtreeEvent_ObjectClick">
      <xdr:nvCxnSpPr>
        <xdr:cNvPr id="4006" name="PTObj_DBranchDLine_1_999">
          <a:extLst>
            <a:ext uri="{FF2B5EF4-FFF2-40B4-BE49-F238E27FC236}">
              <a16:creationId xmlns:a16="http://schemas.microsoft.com/office/drawing/2014/main" id="{CC12F251-412C-46C0-9714-0DC60D0F7005}"/>
            </a:ext>
          </a:extLst>
        </xdr:cNvPr>
        <xdr:cNvCxnSpPr/>
      </xdr:nvCxnSpPr>
      <xdr:spPr>
        <a:xfrm>
          <a:off x="19997545" y="3650211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2016</xdr:row>
      <xdr:rowOff>177800</xdr:rowOff>
    </xdr:from>
    <xdr:to>
      <xdr:col>10</xdr:col>
      <xdr:colOff>1388870</xdr:colOff>
      <xdr:row>2016</xdr:row>
      <xdr:rowOff>177800</xdr:rowOff>
    </xdr:to>
    <xdr:cxnSp macro="_xll.PtreeEvent_ObjectClick">
      <xdr:nvCxnSpPr>
        <xdr:cNvPr id="4003" name="PTObj_DBranchHLine_1_998">
          <a:extLst>
            <a:ext uri="{FF2B5EF4-FFF2-40B4-BE49-F238E27FC236}">
              <a16:creationId xmlns:a16="http://schemas.microsoft.com/office/drawing/2014/main" id="{CE22445B-3EBB-468C-B3FD-DEE4AFC2B776}"/>
            </a:ext>
          </a:extLst>
        </xdr:cNvPr>
        <xdr:cNvCxnSpPr/>
      </xdr:nvCxnSpPr>
      <xdr:spPr>
        <a:xfrm>
          <a:off x="18730720" y="365023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2014</xdr:row>
      <xdr:rowOff>173658</xdr:rowOff>
    </xdr:from>
    <xdr:to>
      <xdr:col>10</xdr:col>
      <xdr:colOff>204595</xdr:colOff>
      <xdr:row>2016</xdr:row>
      <xdr:rowOff>177800</xdr:rowOff>
    </xdr:to>
    <xdr:cxnSp macro="_xll.PtreeEvent_ObjectClick">
      <xdr:nvCxnSpPr>
        <xdr:cNvPr id="4002" name="PTObj_DBranchDLine_1_998">
          <a:extLst>
            <a:ext uri="{FF2B5EF4-FFF2-40B4-BE49-F238E27FC236}">
              <a16:creationId xmlns:a16="http://schemas.microsoft.com/office/drawing/2014/main" id="{58EF56E0-6790-4AB9-B412-433D40B95E11}"/>
            </a:ext>
          </a:extLst>
        </xdr:cNvPr>
        <xdr:cNvCxnSpPr/>
      </xdr:nvCxnSpPr>
      <xdr:spPr>
        <a:xfrm>
          <a:off x="18578320" y="3646573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2014</xdr:row>
      <xdr:rowOff>173980</xdr:rowOff>
    </xdr:from>
    <xdr:to>
      <xdr:col>9</xdr:col>
      <xdr:colOff>1392681</xdr:colOff>
      <xdr:row>2014</xdr:row>
      <xdr:rowOff>173980</xdr:rowOff>
    </xdr:to>
    <xdr:cxnSp macro="_xll.PtreeEvent_ObjectClick">
      <xdr:nvCxnSpPr>
        <xdr:cNvPr id="3999" name="PTObj_DBranchHLine_1_997">
          <a:extLst>
            <a:ext uri="{FF2B5EF4-FFF2-40B4-BE49-F238E27FC236}">
              <a16:creationId xmlns:a16="http://schemas.microsoft.com/office/drawing/2014/main" id="{D983FA08-6DAC-420D-8767-AE5484BA80F8}"/>
            </a:ext>
          </a:extLst>
        </xdr:cNvPr>
        <xdr:cNvCxnSpPr/>
      </xdr:nvCxnSpPr>
      <xdr:spPr>
        <a:xfrm>
          <a:off x="17306734" y="364657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2012</xdr:row>
      <xdr:rowOff>167928</xdr:rowOff>
    </xdr:from>
    <xdr:to>
      <xdr:col>9</xdr:col>
      <xdr:colOff>209359</xdr:colOff>
      <xdr:row>2014</xdr:row>
      <xdr:rowOff>173980</xdr:rowOff>
    </xdr:to>
    <xdr:cxnSp macro="_xll.PtreeEvent_ObjectClick">
      <xdr:nvCxnSpPr>
        <xdr:cNvPr id="3998" name="PTObj_DBranchDLine_1_997">
          <a:extLst>
            <a:ext uri="{FF2B5EF4-FFF2-40B4-BE49-F238E27FC236}">
              <a16:creationId xmlns:a16="http://schemas.microsoft.com/office/drawing/2014/main" id="{359F0054-BF2B-4040-97A6-F94C2A7400A0}"/>
            </a:ext>
          </a:extLst>
        </xdr:cNvPr>
        <xdr:cNvCxnSpPr/>
      </xdr:nvCxnSpPr>
      <xdr:spPr>
        <a:xfrm>
          <a:off x="17154334" y="3642896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2012</xdr:row>
      <xdr:rowOff>170185</xdr:rowOff>
    </xdr:from>
    <xdr:to>
      <xdr:col>8</xdr:col>
      <xdr:colOff>1398397</xdr:colOff>
      <xdr:row>2012</xdr:row>
      <xdr:rowOff>170185</xdr:rowOff>
    </xdr:to>
    <xdr:cxnSp macro="_xll.PtreeEvent_ObjectClick">
      <xdr:nvCxnSpPr>
        <xdr:cNvPr id="3995" name="PTObj_DBranchHLine_1_996">
          <a:extLst>
            <a:ext uri="{FF2B5EF4-FFF2-40B4-BE49-F238E27FC236}">
              <a16:creationId xmlns:a16="http://schemas.microsoft.com/office/drawing/2014/main" id="{F4129F77-C9AD-44F3-8773-C931DB7FE4C5}"/>
            </a:ext>
          </a:extLst>
        </xdr:cNvPr>
        <xdr:cNvCxnSpPr/>
      </xdr:nvCxnSpPr>
      <xdr:spPr>
        <a:xfrm>
          <a:off x="15888463" y="364291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2010</xdr:row>
      <xdr:rowOff>161305</xdr:rowOff>
    </xdr:from>
    <xdr:to>
      <xdr:col>8</xdr:col>
      <xdr:colOff>219838</xdr:colOff>
      <xdr:row>2012</xdr:row>
      <xdr:rowOff>170185</xdr:rowOff>
    </xdr:to>
    <xdr:cxnSp macro="_xll.PtreeEvent_ObjectClick">
      <xdr:nvCxnSpPr>
        <xdr:cNvPr id="3994" name="PTObj_DBranchDLine_1_996">
          <a:extLst>
            <a:ext uri="{FF2B5EF4-FFF2-40B4-BE49-F238E27FC236}">
              <a16:creationId xmlns:a16="http://schemas.microsoft.com/office/drawing/2014/main" id="{6AE7F2A4-0686-4F41-8EC1-B481C7D638F5}"/>
            </a:ext>
          </a:extLst>
        </xdr:cNvPr>
        <xdr:cNvCxnSpPr/>
      </xdr:nvCxnSpPr>
      <xdr:spPr>
        <a:xfrm>
          <a:off x="15736063" y="3639210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2008</xdr:row>
      <xdr:rowOff>162570</xdr:rowOff>
    </xdr:from>
    <xdr:to>
      <xdr:col>11</xdr:col>
      <xdr:colOff>1394589</xdr:colOff>
      <xdr:row>2008</xdr:row>
      <xdr:rowOff>162570</xdr:rowOff>
    </xdr:to>
    <xdr:cxnSp macro="_xll.PtreeEvent_ObjectClick">
      <xdr:nvCxnSpPr>
        <xdr:cNvPr id="3991" name="PTObj_DBranchHLine_1_994">
          <a:extLst>
            <a:ext uri="{FF2B5EF4-FFF2-40B4-BE49-F238E27FC236}">
              <a16:creationId xmlns:a16="http://schemas.microsoft.com/office/drawing/2014/main" id="{B97D7B30-5659-4055-AE9B-DECF3EDBDD6C}"/>
            </a:ext>
          </a:extLst>
        </xdr:cNvPr>
        <xdr:cNvCxnSpPr/>
      </xdr:nvCxnSpPr>
      <xdr:spPr>
        <a:xfrm>
          <a:off x="20149945" y="3635603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2006</xdr:row>
      <xdr:rowOff>146075</xdr:rowOff>
    </xdr:from>
    <xdr:to>
      <xdr:col>11</xdr:col>
      <xdr:colOff>195070</xdr:colOff>
      <xdr:row>2008</xdr:row>
      <xdr:rowOff>162570</xdr:rowOff>
    </xdr:to>
    <xdr:cxnSp macro="_xll.PtreeEvent_ObjectClick">
      <xdr:nvCxnSpPr>
        <xdr:cNvPr id="3990" name="PTObj_DBranchDLine_1_994">
          <a:extLst>
            <a:ext uri="{FF2B5EF4-FFF2-40B4-BE49-F238E27FC236}">
              <a16:creationId xmlns:a16="http://schemas.microsoft.com/office/drawing/2014/main" id="{0707FF04-1DE4-4813-B78A-EAB4BC67C9B7}"/>
            </a:ext>
          </a:extLst>
        </xdr:cNvPr>
        <xdr:cNvCxnSpPr/>
      </xdr:nvCxnSpPr>
      <xdr:spPr>
        <a:xfrm>
          <a:off x="19997545" y="3631819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2006</xdr:row>
      <xdr:rowOff>158750</xdr:rowOff>
    </xdr:from>
    <xdr:to>
      <xdr:col>10</xdr:col>
      <xdr:colOff>1388870</xdr:colOff>
      <xdr:row>2006</xdr:row>
      <xdr:rowOff>158750</xdr:rowOff>
    </xdr:to>
    <xdr:cxnSp macro="_xll.PtreeEvent_ObjectClick">
      <xdr:nvCxnSpPr>
        <xdr:cNvPr id="3987" name="PTObj_DBranchHLine_1_993">
          <a:extLst>
            <a:ext uri="{FF2B5EF4-FFF2-40B4-BE49-F238E27FC236}">
              <a16:creationId xmlns:a16="http://schemas.microsoft.com/office/drawing/2014/main" id="{89F0AE66-5ACD-419B-A0CE-F1B2B1ED4ADD}"/>
            </a:ext>
          </a:extLst>
        </xdr:cNvPr>
        <xdr:cNvCxnSpPr/>
      </xdr:nvCxnSpPr>
      <xdr:spPr>
        <a:xfrm>
          <a:off x="18730720" y="363194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2004</xdr:row>
      <xdr:rowOff>143222</xdr:rowOff>
    </xdr:from>
    <xdr:to>
      <xdr:col>10</xdr:col>
      <xdr:colOff>204595</xdr:colOff>
      <xdr:row>2006</xdr:row>
      <xdr:rowOff>158750</xdr:rowOff>
    </xdr:to>
    <xdr:cxnSp macro="_xll.PtreeEvent_ObjectClick">
      <xdr:nvCxnSpPr>
        <xdr:cNvPr id="3986" name="PTObj_DBranchDLine_1_993">
          <a:extLst>
            <a:ext uri="{FF2B5EF4-FFF2-40B4-BE49-F238E27FC236}">
              <a16:creationId xmlns:a16="http://schemas.microsoft.com/office/drawing/2014/main" id="{D866A4E9-3D25-4359-BEDA-9DB450C6CB61}"/>
            </a:ext>
          </a:extLst>
        </xdr:cNvPr>
        <xdr:cNvCxnSpPr/>
      </xdr:nvCxnSpPr>
      <xdr:spPr>
        <a:xfrm>
          <a:off x="18578320" y="3628171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2004</xdr:row>
      <xdr:rowOff>154930</xdr:rowOff>
    </xdr:from>
    <xdr:to>
      <xdr:col>9</xdr:col>
      <xdr:colOff>1392681</xdr:colOff>
      <xdr:row>2004</xdr:row>
      <xdr:rowOff>154930</xdr:rowOff>
    </xdr:to>
    <xdr:cxnSp macro="_xll.PtreeEvent_ObjectClick">
      <xdr:nvCxnSpPr>
        <xdr:cNvPr id="3983" name="PTObj_DBranchHLine_1_992">
          <a:extLst>
            <a:ext uri="{FF2B5EF4-FFF2-40B4-BE49-F238E27FC236}">
              <a16:creationId xmlns:a16="http://schemas.microsoft.com/office/drawing/2014/main" id="{CA85C9CA-A49B-4EBF-A11B-A7E3BFFA8E62}"/>
            </a:ext>
          </a:extLst>
        </xdr:cNvPr>
        <xdr:cNvCxnSpPr/>
      </xdr:nvCxnSpPr>
      <xdr:spPr>
        <a:xfrm>
          <a:off x="17306734" y="362828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2002</xdr:row>
      <xdr:rowOff>142230</xdr:rowOff>
    </xdr:from>
    <xdr:to>
      <xdr:col>9</xdr:col>
      <xdr:colOff>209359</xdr:colOff>
      <xdr:row>2004</xdr:row>
      <xdr:rowOff>154930</xdr:rowOff>
    </xdr:to>
    <xdr:cxnSp macro="_xll.PtreeEvent_ObjectClick">
      <xdr:nvCxnSpPr>
        <xdr:cNvPr id="3982" name="PTObj_DBranchDLine_1_992">
          <a:extLst>
            <a:ext uri="{FF2B5EF4-FFF2-40B4-BE49-F238E27FC236}">
              <a16:creationId xmlns:a16="http://schemas.microsoft.com/office/drawing/2014/main" id="{3283A5AC-8FCB-4FE0-A73C-B565BCAF66AD}"/>
            </a:ext>
          </a:extLst>
        </xdr:cNvPr>
        <xdr:cNvCxnSpPr/>
      </xdr:nvCxnSpPr>
      <xdr:spPr>
        <a:xfrm>
          <a:off x="17154334" y="362454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2002</xdr:row>
      <xdr:rowOff>151135</xdr:rowOff>
    </xdr:from>
    <xdr:to>
      <xdr:col>8</xdr:col>
      <xdr:colOff>1398397</xdr:colOff>
      <xdr:row>2002</xdr:row>
      <xdr:rowOff>151135</xdr:rowOff>
    </xdr:to>
    <xdr:cxnSp macro="_xll.PtreeEvent_ObjectClick">
      <xdr:nvCxnSpPr>
        <xdr:cNvPr id="3979" name="PTObj_DBranchHLine_1_991">
          <a:extLst>
            <a:ext uri="{FF2B5EF4-FFF2-40B4-BE49-F238E27FC236}">
              <a16:creationId xmlns:a16="http://schemas.microsoft.com/office/drawing/2014/main" id="{C8E42297-4F18-4677-A7FC-FE518435E846}"/>
            </a:ext>
          </a:extLst>
        </xdr:cNvPr>
        <xdr:cNvCxnSpPr/>
      </xdr:nvCxnSpPr>
      <xdr:spPr>
        <a:xfrm>
          <a:off x="15884652" y="362463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2002</xdr:row>
      <xdr:rowOff>151135</xdr:rowOff>
    </xdr:from>
    <xdr:to>
      <xdr:col>8</xdr:col>
      <xdr:colOff>216027</xdr:colOff>
      <xdr:row>2010</xdr:row>
      <xdr:rowOff>161305</xdr:rowOff>
    </xdr:to>
    <xdr:cxnSp macro="_xll.PtreeEvent_ObjectClick">
      <xdr:nvCxnSpPr>
        <xdr:cNvPr id="3978" name="PTObj_DBranchDLine_1_991">
          <a:extLst>
            <a:ext uri="{FF2B5EF4-FFF2-40B4-BE49-F238E27FC236}">
              <a16:creationId xmlns:a16="http://schemas.microsoft.com/office/drawing/2014/main" id="{10BBF2AA-665A-481C-9C6F-2E75A2A978D8}"/>
            </a:ext>
          </a:extLst>
        </xdr:cNvPr>
        <xdr:cNvCxnSpPr/>
      </xdr:nvCxnSpPr>
      <xdr:spPr>
        <a:xfrm flipV="1">
          <a:off x="15732252" y="3624630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2010</xdr:row>
      <xdr:rowOff>166365</xdr:rowOff>
    </xdr:from>
    <xdr:to>
      <xdr:col>7</xdr:col>
      <xdr:colOff>1402207</xdr:colOff>
      <xdr:row>2010</xdr:row>
      <xdr:rowOff>166365</xdr:rowOff>
    </xdr:to>
    <xdr:cxnSp macro="_xll.PtreeEvent_ObjectClick">
      <xdr:nvCxnSpPr>
        <xdr:cNvPr id="3975" name="PTObj_DBranchHLine_1_995">
          <a:extLst>
            <a:ext uri="{FF2B5EF4-FFF2-40B4-BE49-F238E27FC236}">
              <a16:creationId xmlns:a16="http://schemas.microsoft.com/office/drawing/2014/main" id="{A7421BEC-DC44-4082-8EE3-70524EBCFD9A}"/>
            </a:ext>
          </a:extLst>
        </xdr:cNvPr>
        <xdr:cNvCxnSpPr/>
      </xdr:nvCxnSpPr>
      <xdr:spPr>
        <a:xfrm>
          <a:off x="14460665" y="3639261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2000</xdr:row>
      <xdr:rowOff>144165</xdr:rowOff>
    </xdr:from>
    <xdr:to>
      <xdr:col>7</xdr:col>
      <xdr:colOff>220790</xdr:colOff>
      <xdr:row>2010</xdr:row>
      <xdr:rowOff>166365</xdr:rowOff>
    </xdr:to>
    <xdr:cxnSp macro="_xll.PtreeEvent_ObjectClick">
      <xdr:nvCxnSpPr>
        <xdr:cNvPr id="3974" name="PTObj_DBranchDLine_1_995">
          <a:extLst>
            <a:ext uri="{FF2B5EF4-FFF2-40B4-BE49-F238E27FC236}">
              <a16:creationId xmlns:a16="http://schemas.microsoft.com/office/drawing/2014/main" id="{93FC6A9C-6E58-4F55-8050-952219FD60E0}"/>
            </a:ext>
          </a:extLst>
        </xdr:cNvPr>
        <xdr:cNvCxnSpPr/>
      </xdr:nvCxnSpPr>
      <xdr:spPr>
        <a:xfrm>
          <a:off x="14308265" y="3620941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1998</xdr:row>
      <xdr:rowOff>143520</xdr:rowOff>
    </xdr:from>
    <xdr:to>
      <xdr:col>11</xdr:col>
      <xdr:colOff>1386967</xdr:colOff>
      <xdr:row>1998</xdr:row>
      <xdr:rowOff>143520</xdr:rowOff>
    </xdr:to>
    <xdr:cxnSp macro="_xll.PtreeEvent_ObjectClick">
      <xdr:nvCxnSpPr>
        <xdr:cNvPr id="3971" name="PTObj_DBranchHLine_1_989">
          <a:extLst>
            <a:ext uri="{FF2B5EF4-FFF2-40B4-BE49-F238E27FC236}">
              <a16:creationId xmlns:a16="http://schemas.microsoft.com/office/drawing/2014/main" id="{3F723111-3F1E-4C43-A996-DD8BE038D448}"/>
            </a:ext>
          </a:extLst>
        </xdr:cNvPr>
        <xdr:cNvCxnSpPr/>
      </xdr:nvCxnSpPr>
      <xdr:spPr>
        <a:xfrm>
          <a:off x="20149945" y="361731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1996</xdr:row>
      <xdr:rowOff>137492</xdr:rowOff>
    </xdr:from>
    <xdr:to>
      <xdr:col>11</xdr:col>
      <xdr:colOff>195070</xdr:colOff>
      <xdr:row>1998</xdr:row>
      <xdr:rowOff>143520</xdr:rowOff>
    </xdr:to>
    <xdr:cxnSp macro="_xll.PtreeEvent_ObjectClick">
      <xdr:nvCxnSpPr>
        <xdr:cNvPr id="3970" name="PTObj_DBranchDLine_1_989">
          <a:extLst>
            <a:ext uri="{FF2B5EF4-FFF2-40B4-BE49-F238E27FC236}">
              <a16:creationId xmlns:a16="http://schemas.microsoft.com/office/drawing/2014/main" id="{BD351073-A1AF-4393-B09D-02C2E9953737}"/>
            </a:ext>
          </a:extLst>
        </xdr:cNvPr>
        <xdr:cNvCxnSpPr/>
      </xdr:nvCxnSpPr>
      <xdr:spPr>
        <a:xfrm>
          <a:off x="19997545" y="3613635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1996</xdr:row>
      <xdr:rowOff>139700</xdr:rowOff>
    </xdr:from>
    <xdr:to>
      <xdr:col>10</xdr:col>
      <xdr:colOff>1388870</xdr:colOff>
      <xdr:row>1996</xdr:row>
      <xdr:rowOff>139700</xdr:rowOff>
    </xdr:to>
    <xdr:cxnSp macro="_xll.PtreeEvent_ObjectClick">
      <xdr:nvCxnSpPr>
        <xdr:cNvPr id="3967" name="PTObj_DBranchHLine_1_988">
          <a:extLst>
            <a:ext uri="{FF2B5EF4-FFF2-40B4-BE49-F238E27FC236}">
              <a16:creationId xmlns:a16="http://schemas.microsoft.com/office/drawing/2014/main" id="{1EE3357A-2426-48F7-B6CB-2B592DAB1BB3}"/>
            </a:ext>
          </a:extLst>
        </xdr:cNvPr>
        <xdr:cNvCxnSpPr/>
      </xdr:nvCxnSpPr>
      <xdr:spPr>
        <a:xfrm>
          <a:off x="18730720" y="361365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1994</xdr:row>
      <xdr:rowOff>135558</xdr:rowOff>
    </xdr:from>
    <xdr:to>
      <xdr:col>10</xdr:col>
      <xdr:colOff>204595</xdr:colOff>
      <xdr:row>1996</xdr:row>
      <xdr:rowOff>139700</xdr:rowOff>
    </xdr:to>
    <xdr:cxnSp macro="_xll.PtreeEvent_ObjectClick">
      <xdr:nvCxnSpPr>
        <xdr:cNvPr id="3966" name="PTObj_DBranchDLine_1_988">
          <a:extLst>
            <a:ext uri="{FF2B5EF4-FFF2-40B4-BE49-F238E27FC236}">
              <a16:creationId xmlns:a16="http://schemas.microsoft.com/office/drawing/2014/main" id="{743C561C-D0D5-41CC-9853-C230D1EE9CDA}"/>
            </a:ext>
          </a:extLst>
        </xdr:cNvPr>
        <xdr:cNvCxnSpPr/>
      </xdr:nvCxnSpPr>
      <xdr:spPr>
        <a:xfrm>
          <a:off x="18578320" y="3609997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1994</xdr:row>
      <xdr:rowOff>135880</xdr:rowOff>
    </xdr:from>
    <xdr:to>
      <xdr:col>9</xdr:col>
      <xdr:colOff>1392681</xdr:colOff>
      <xdr:row>1994</xdr:row>
      <xdr:rowOff>135880</xdr:rowOff>
    </xdr:to>
    <xdr:cxnSp macro="_xll.PtreeEvent_ObjectClick">
      <xdr:nvCxnSpPr>
        <xdr:cNvPr id="3963" name="PTObj_DBranchHLine_1_987">
          <a:extLst>
            <a:ext uri="{FF2B5EF4-FFF2-40B4-BE49-F238E27FC236}">
              <a16:creationId xmlns:a16="http://schemas.microsoft.com/office/drawing/2014/main" id="{E9E89F67-F024-4D40-B5D6-4D6A00DDF651}"/>
            </a:ext>
          </a:extLst>
        </xdr:cNvPr>
        <xdr:cNvCxnSpPr/>
      </xdr:nvCxnSpPr>
      <xdr:spPr>
        <a:xfrm>
          <a:off x="17306734" y="361000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1992</xdr:row>
      <xdr:rowOff>129828</xdr:rowOff>
    </xdr:from>
    <xdr:to>
      <xdr:col>9</xdr:col>
      <xdr:colOff>209359</xdr:colOff>
      <xdr:row>1994</xdr:row>
      <xdr:rowOff>135880</xdr:rowOff>
    </xdr:to>
    <xdr:cxnSp macro="_xll.PtreeEvent_ObjectClick">
      <xdr:nvCxnSpPr>
        <xdr:cNvPr id="3962" name="PTObj_DBranchDLine_1_987">
          <a:extLst>
            <a:ext uri="{FF2B5EF4-FFF2-40B4-BE49-F238E27FC236}">
              <a16:creationId xmlns:a16="http://schemas.microsoft.com/office/drawing/2014/main" id="{31A33871-70F5-4FD7-B35C-DE62227787DB}"/>
            </a:ext>
          </a:extLst>
        </xdr:cNvPr>
        <xdr:cNvCxnSpPr/>
      </xdr:nvCxnSpPr>
      <xdr:spPr>
        <a:xfrm>
          <a:off x="17154334" y="3606320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1992</xdr:row>
      <xdr:rowOff>132085</xdr:rowOff>
    </xdr:from>
    <xdr:to>
      <xdr:col>8</xdr:col>
      <xdr:colOff>1398397</xdr:colOff>
      <xdr:row>1992</xdr:row>
      <xdr:rowOff>132085</xdr:rowOff>
    </xdr:to>
    <xdr:cxnSp macro="_xll.PtreeEvent_ObjectClick">
      <xdr:nvCxnSpPr>
        <xdr:cNvPr id="3959" name="PTObj_DBranchHLine_1_986">
          <a:extLst>
            <a:ext uri="{FF2B5EF4-FFF2-40B4-BE49-F238E27FC236}">
              <a16:creationId xmlns:a16="http://schemas.microsoft.com/office/drawing/2014/main" id="{8E6E0186-DBC8-4756-8535-6BE3FFF3D9E5}"/>
            </a:ext>
          </a:extLst>
        </xdr:cNvPr>
        <xdr:cNvCxnSpPr/>
      </xdr:nvCxnSpPr>
      <xdr:spPr>
        <a:xfrm>
          <a:off x="15888463" y="360634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1990</xdr:row>
      <xdr:rowOff>123205</xdr:rowOff>
    </xdr:from>
    <xdr:to>
      <xdr:col>8</xdr:col>
      <xdr:colOff>219838</xdr:colOff>
      <xdr:row>1992</xdr:row>
      <xdr:rowOff>132085</xdr:rowOff>
    </xdr:to>
    <xdr:cxnSp macro="_xll.PtreeEvent_ObjectClick">
      <xdr:nvCxnSpPr>
        <xdr:cNvPr id="3958" name="PTObj_DBranchDLine_1_986">
          <a:extLst>
            <a:ext uri="{FF2B5EF4-FFF2-40B4-BE49-F238E27FC236}">
              <a16:creationId xmlns:a16="http://schemas.microsoft.com/office/drawing/2014/main" id="{4BF2116F-87B1-4476-9EE6-79CBA506F76A}"/>
            </a:ext>
          </a:extLst>
        </xdr:cNvPr>
        <xdr:cNvCxnSpPr/>
      </xdr:nvCxnSpPr>
      <xdr:spPr>
        <a:xfrm>
          <a:off x="15736063" y="3602634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1988</xdr:row>
      <xdr:rowOff>124470</xdr:rowOff>
    </xdr:from>
    <xdr:to>
      <xdr:col>11</xdr:col>
      <xdr:colOff>1394589</xdr:colOff>
      <xdr:row>1988</xdr:row>
      <xdr:rowOff>124470</xdr:rowOff>
    </xdr:to>
    <xdr:cxnSp macro="_xll.PtreeEvent_ObjectClick">
      <xdr:nvCxnSpPr>
        <xdr:cNvPr id="3955" name="PTObj_DBranchHLine_1_984">
          <a:extLst>
            <a:ext uri="{FF2B5EF4-FFF2-40B4-BE49-F238E27FC236}">
              <a16:creationId xmlns:a16="http://schemas.microsoft.com/office/drawing/2014/main" id="{F70B12DF-D2C5-4D39-B9C4-A6E72CEAB888}"/>
            </a:ext>
          </a:extLst>
        </xdr:cNvPr>
        <xdr:cNvCxnSpPr/>
      </xdr:nvCxnSpPr>
      <xdr:spPr>
        <a:xfrm>
          <a:off x="20149945" y="3599027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1986</xdr:row>
      <xdr:rowOff>107975</xdr:rowOff>
    </xdr:from>
    <xdr:to>
      <xdr:col>11</xdr:col>
      <xdr:colOff>195070</xdr:colOff>
      <xdr:row>1988</xdr:row>
      <xdr:rowOff>124470</xdr:rowOff>
    </xdr:to>
    <xdr:cxnSp macro="_xll.PtreeEvent_ObjectClick">
      <xdr:nvCxnSpPr>
        <xdr:cNvPr id="3954" name="PTObj_DBranchDLine_1_984">
          <a:extLst>
            <a:ext uri="{FF2B5EF4-FFF2-40B4-BE49-F238E27FC236}">
              <a16:creationId xmlns:a16="http://schemas.microsoft.com/office/drawing/2014/main" id="{07F07DDA-AF47-41AF-96EB-3E6B54D4EC8F}"/>
            </a:ext>
          </a:extLst>
        </xdr:cNvPr>
        <xdr:cNvCxnSpPr/>
      </xdr:nvCxnSpPr>
      <xdr:spPr>
        <a:xfrm>
          <a:off x="19997545" y="3595243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1986</xdr:row>
      <xdr:rowOff>120650</xdr:rowOff>
    </xdr:from>
    <xdr:to>
      <xdr:col>10</xdr:col>
      <xdr:colOff>1388870</xdr:colOff>
      <xdr:row>1986</xdr:row>
      <xdr:rowOff>120650</xdr:rowOff>
    </xdr:to>
    <xdr:cxnSp macro="_xll.PtreeEvent_ObjectClick">
      <xdr:nvCxnSpPr>
        <xdr:cNvPr id="3951" name="PTObj_DBranchHLine_1_983">
          <a:extLst>
            <a:ext uri="{FF2B5EF4-FFF2-40B4-BE49-F238E27FC236}">
              <a16:creationId xmlns:a16="http://schemas.microsoft.com/office/drawing/2014/main" id="{D9994E8D-457B-434B-B2F7-015443BCEE34}"/>
            </a:ext>
          </a:extLst>
        </xdr:cNvPr>
        <xdr:cNvCxnSpPr/>
      </xdr:nvCxnSpPr>
      <xdr:spPr>
        <a:xfrm>
          <a:off x="18730720" y="359537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1984</xdr:row>
      <xdr:rowOff>105122</xdr:rowOff>
    </xdr:from>
    <xdr:to>
      <xdr:col>10</xdr:col>
      <xdr:colOff>204595</xdr:colOff>
      <xdr:row>1986</xdr:row>
      <xdr:rowOff>120650</xdr:rowOff>
    </xdr:to>
    <xdr:cxnSp macro="_xll.PtreeEvent_ObjectClick">
      <xdr:nvCxnSpPr>
        <xdr:cNvPr id="3950" name="PTObj_DBranchDLine_1_983">
          <a:extLst>
            <a:ext uri="{FF2B5EF4-FFF2-40B4-BE49-F238E27FC236}">
              <a16:creationId xmlns:a16="http://schemas.microsoft.com/office/drawing/2014/main" id="{D1288D85-6E07-4873-8188-B5C9787865EA}"/>
            </a:ext>
          </a:extLst>
        </xdr:cNvPr>
        <xdr:cNvCxnSpPr/>
      </xdr:nvCxnSpPr>
      <xdr:spPr>
        <a:xfrm>
          <a:off x="18578320" y="3591595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1984</xdr:row>
      <xdr:rowOff>116830</xdr:rowOff>
    </xdr:from>
    <xdr:to>
      <xdr:col>9</xdr:col>
      <xdr:colOff>1392681</xdr:colOff>
      <xdr:row>1984</xdr:row>
      <xdr:rowOff>116830</xdr:rowOff>
    </xdr:to>
    <xdr:cxnSp macro="_xll.PtreeEvent_ObjectClick">
      <xdr:nvCxnSpPr>
        <xdr:cNvPr id="3947" name="PTObj_DBranchHLine_1_982">
          <a:extLst>
            <a:ext uri="{FF2B5EF4-FFF2-40B4-BE49-F238E27FC236}">
              <a16:creationId xmlns:a16="http://schemas.microsoft.com/office/drawing/2014/main" id="{D9D9F1D6-F31D-40AA-93F4-18D4DC72955A}"/>
            </a:ext>
          </a:extLst>
        </xdr:cNvPr>
        <xdr:cNvCxnSpPr/>
      </xdr:nvCxnSpPr>
      <xdr:spPr>
        <a:xfrm>
          <a:off x="17306734" y="359171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1982</xdr:row>
      <xdr:rowOff>104130</xdr:rowOff>
    </xdr:from>
    <xdr:to>
      <xdr:col>9</xdr:col>
      <xdr:colOff>209359</xdr:colOff>
      <xdr:row>1984</xdr:row>
      <xdr:rowOff>116830</xdr:rowOff>
    </xdr:to>
    <xdr:cxnSp macro="_xll.PtreeEvent_ObjectClick">
      <xdr:nvCxnSpPr>
        <xdr:cNvPr id="3946" name="PTObj_DBranchDLine_1_982">
          <a:extLst>
            <a:ext uri="{FF2B5EF4-FFF2-40B4-BE49-F238E27FC236}">
              <a16:creationId xmlns:a16="http://schemas.microsoft.com/office/drawing/2014/main" id="{48F4FF98-4978-4878-A167-4B9A9BD463C7}"/>
            </a:ext>
          </a:extLst>
        </xdr:cNvPr>
        <xdr:cNvCxnSpPr/>
      </xdr:nvCxnSpPr>
      <xdr:spPr>
        <a:xfrm>
          <a:off x="17154334" y="358796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1982</xdr:row>
      <xdr:rowOff>113035</xdr:rowOff>
    </xdr:from>
    <xdr:to>
      <xdr:col>8</xdr:col>
      <xdr:colOff>1398397</xdr:colOff>
      <xdr:row>1982</xdr:row>
      <xdr:rowOff>113035</xdr:rowOff>
    </xdr:to>
    <xdr:cxnSp macro="_xll.PtreeEvent_ObjectClick">
      <xdr:nvCxnSpPr>
        <xdr:cNvPr id="3943" name="PTObj_DBranchHLine_1_981">
          <a:extLst>
            <a:ext uri="{FF2B5EF4-FFF2-40B4-BE49-F238E27FC236}">
              <a16:creationId xmlns:a16="http://schemas.microsoft.com/office/drawing/2014/main" id="{33AAC0D5-FEB3-4C7D-801E-5E6CF11A64CE}"/>
            </a:ext>
          </a:extLst>
        </xdr:cNvPr>
        <xdr:cNvCxnSpPr/>
      </xdr:nvCxnSpPr>
      <xdr:spPr>
        <a:xfrm>
          <a:off x="15884652" y="358805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1982</xdr:row>
      <xdr:rowOff>113035</xdr:rowOff>
    </xdr:from>
    <xdr:to>
      <xdr:col>8</xdr:col>
      <xdr:colOff>216027</xdr:colOff>
      <xdr:row>1990</xdr:row>
      <xdr:rowOff>123205</xdr:rowOff>
    </xdr:to>
    <xdr:cxnSp macro="_xll.PtreeEvent_ObjectClick">
      <xdr:nvCxnSpPr>
        <xdr:cNvPr id="3942" name="PTObj_DBranchDLine_1_981">
          <a:extLst>
            <a:ext uri="{FF2B5EF4-FFF2-40B4-BE49-F238E27FC236}">
              <a16:creationId xmlns:a16="http://schemas.microsoft.com/office/drawing/2014/main" id="{9B0C2370-07E3-4955-9603-EB19AFB06F85}"/>
            </a:ext>
          </a:extLst>
        </xdr:cNvPr>
        <xdr:cNvCxnSpPr/>
      </xdr:nvCxnSpPr>
      <xdr:spPr>
        <a:xfrm flipV="1">
          <a:off x="15732252" y="3588054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1990</xdr:row>
      <xdr:rowOff>128265</xdr:rowOff>
    </xdr:from>
    <xdr:to>
      <xdr:col>7</xdr:col>
      <xdr:colOff>1402207</xdr:colOff>
      <xdr:row>1990</xdr:row>
      <xdr:rowOff>128265</xdr:rowOff>
    </xdr:to>
    <xdr:cxnSp macro="_xll.PtreeEvent_ObjectClick">
      <xdr:nvCxnSpPr>
        <xdr:cNvPr id="3939" name="PTObj_DBranchHLine_1_985">
          <a:extLst>
            <a:ext uri="{FF2B5EF4-FFF2-40B4-BE49-F238E27FC236}">
              <a16:creationId xmlns:a16="http://schemas.microsoft.com/office/drawing/2014/main" id="{F8EC1C43-9C54-44CE-8ADF-88AD17785BBA}"/>
            </a:ext>
          </a:extLst>
        </xdr:cNvPr>
        <xdr:cNvCxnSpPr/>
      </xdr:nvCxnSpPr>
      <xdr:spPr>
        <a:xfrm>
          <a:off x="14462570" y="3602685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1990</xdr:row>
      <xdr:rowOff>128265</xdr:rowOff>
    </xdr:from>
    <xdr:to>
      <xdr:col>7</xdr:col>
      <xdr:colOff>222695</xdr:colOff>
      <xdr:row>2000</xdr:row>
      <xdr:rowOff>142255</xdr:rowOff>
    </xdr:to>
    <xdr:cxnSp macro="_xll.PtreeEvent_ObjectClick">
      <xdr:nvCxnSpPr>
        <xdr:cNvPr id="3938" name="PTObj_DBranchDLine_1_985">
          <a:extLst>
            <a:ext uri="{FF2B5EF4-FFF2-40B4-BE49-F238E27FC236}">
              <a16:creationId xmlns:a16="http://schemas.microsoft.com/office/drawing/2014/main" id="{D5CDBCD9-DADD-427B-B2D3-195457FD5CDB}"/>
            </a:ext>
          </a:extLst>
        </xdr:cNvPr>
        <xdr:cNvCxnSpPr/>
      </xdr:nvCxnSpPr>
      <xdr:spPr>
        <a:xfrm flipV="1">
          <a:off x="14310170" y="3602685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2000</xdr:row>
      <xdr:rowOff>147315</xdr:rowOff>
    </xdr:from>
    <xdr:to>
      <xdr:col>6</xdr:col>
      <xdr:colOff>1407922</xdr:colOff>
      <xdr:row>2000</xdr:row>
      <xdr:rowOff>147315</xdr:rowOff>
    </xdr:to>
    <xdr:cxnSp macro="_xll.PtreeEvent_ObjectClick">
      <xdr:nvCxnSpPr>
        <xdr:cNvPr id="3935" name="PTObj_DBranchHLine_1_990">
          <a:extLst>
            <a:ext uri="{FF2B5EF4-FFF2-40B4-BE49-F238E27FC236}">
              <a16:creationId xmlns:a16="http://schemas.microsoft.com/office/drawing/2014/main" id="{7CA11B55-977C-4E92-AD61-D23D9C453855}"/>
            </a:ext>
          </a:extLst>
        </xdr:cNvPr>
        <xdr:cNvCxnSpPr/>
      </xdr:nvCxnSpPr>
      <xdr:spPr>
        <a:xfrm>
          <a:off x="13036677" y="3620973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1980</xdr:row>
      <xdr:rowOff>106065</xdr:rowOff>
    </xdr:from>
    <xdr:to>
      <xdr:col>6</xdr:col>
      <xdr:colOff>225552</xdr:colOff>
      <xdr:row>2000</xdr:row>
      <xdr:rowOff>147315</xdr:rowOff>
    </xdr:to>
    <xdr:cxnSp macro="_xll.PtreeEvent_ObjectClick">
      <xdr:nvCxnSpPr>
        <xdr:cNvPr id="3934" name="PTObj_DBranchDLine_1_990">
          <a:extLst>
            <a:ext uri="{FF2B5EF4-FFF2-40B4-BE49-F238E27FC236}">
              <a16:creationId xmlns:a16="http://schemas.microsoft.com/office/drawing/2014/main" id="{10B871E9-A4B6-4A1D-A39E-4E90115D00A3}"/>
            </a:ext>
          </a:extLst>
        </xdr:cNvPr>
        <xdr:cNvCxnSpPr/>
      </xdr:nvCxnSpPr>
      <xdr:spPr>
        <a:xfrm>
          <a:off x="12884276" y="358436565"/>
          <a:ext cx="152401" cy="36607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1978</xdr:row>
      <xdr:rowOff>105420</xdr:rowOff>
    </xdr:from>
    <xdr:to>
      <xdr:col>11</xdr:col>
      <xdr:colOff>1386967</xdr:colOff>
      <xdr:row>1978</xdr:row>
      <xdr:rowOff>105420</xdr:rowOff>
    </xdr:to>
    <xdr:cxnSp macro="_xll.PtreeEvent_ObjectClick">
      <xdr:nvCxnSpPr>
        <xdr:cNvPr id="3931" name="PTObj_DBranchHLine_1_979">
          <a:extLst>
            <a:ext uri="{FF2B5EF4-FFF2-40B4-BE49-F238E27FC236}">
              <a16:creationId xmlns:a16="http://schemas.microsoft.com/office/drawing/2014/main" id="{6B092F1B-32D3-489E-8954-CC0E2F905587}"/>
            </a:ext>
          </a:extLst>
        </xdr:cNvPr>
        <xdr:cNvCxnSpPr/>
      </xdr:nvCxnSpPr>
      <xdr:spPr>
        <a:xfrm>
          <a:off x="20149945" y="358073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1976</xdr:row>
      <xdr:rowOff>99392</xdr:rowOff>
    </xdr:from>
    <xdr:to>
      <xdr:col>11</xdr:col>
      <xdr:colOff>195070</xdr:colOff>
      <xdr:row>1978</xdr:row>
      <xdr:rowOff>105420</xdr:rowOff>
    </xdr:to>
    <xdr:cxnSp macro="_xll.PtreeEvent_ObjectClick">
      <xdr:nvCxnSpPr>
        <xdr:cNvPr id="3930" name="PTObj_DBranchDLine_1_979">
          <a:extLst>
            <a:ext uri="{FF2B5EF4-FFF2-40B4-BE49-F238E27FC236}">
              <a16:creationId xmlns:a16="http://schemas.microsoft.com/office/drawing/2014/main" id="{48CABE0E-9508-4864-86B6-0CE0E502C519}"/>
            </a:ext>
          </a:extLst>
        </xdr:cNvPr>
        <xdr:cNvCxnSpPr/>
      </xdr:nvCxnSpPr>
      <xdr:spPr>
        <a:xfrm>
          <a:off x="19997545" y="3577059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1976</xdr:row>
      <xdr:rowOff>101600</xdr:rowOff>
    </xdr:from>
    <xdr:to>
      <xdr:col>10</xdr:col>
      <xdr:colOff>1388870</xdr:colOff>
      <xdr:row>1976</xdr:row>
      <xdr:rowOff>101600</xdr:rowOff>
    </xdr:to>
    <xdr:cxnSp macro="_xll.PtreeEvent_ObjectClick">
      <xdr:nvCxnSpPr>
        <xdr:cNvPr id="3927" name="PTObj_DBranchHLine_1_978">
          <a:extLst>
            <a:ext uri="{FF2B5EF4-FFF2-40B4-BE49-F238E27FC236}">
              <a16:creationId xmlns:a16="http://schemas.microsoft.com/office/drawing/2014/main" id="{FA40693E-7872-4085-B062-2073DE65978A}"/>
            </a:ext>
          </a:extLst>
        </xdr:cNvPr>
        <xdr:cNvCxnSpPr/>
      </xdr:nvCxnSpPr>
      <xdr:spPr>
        <a:xfrm>
          <a:off x="18730720" y="357708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1974</xdr:row>
      <xdr:rowOff>97458</xdr:rowOff>
    </xdr:from>
    <xdr:to>
      <xdr:col>10</xdr:col>
      <xdr:colOff>204595</xdr:colOff>
      <xdr:row>1976</xdr:row>
      <xdr:rowOff>101600</xdr:rowOff>
    </xdr:to>
    <xdr:cxnSp macro="_xll.PtreeEvent_ObjectClick">
      <xdr:nvCxnSpPr>
        <xdr:cNvPr id="3926" name="PTObj_DBranchDLine_1_978">
          <a:extLst>
            <a:ext uri="{FF2B5EF4-FFF2-40B4-BE49-F238E27FC236}">
              <a16:creationId xmlns:a16="http://schemas.microsoft.com/office/drawing/2014/main" id="{D96E00D1-BE51-4EA7-8693-03BE2772BB84}"/>
            </a:ext>
          </a:extLst>
        </xdr:cNvPr>
        <xdr:cNvCxnSpPr/>
      </xdr:nvCxnSpPr>
      <xdr:spPr>
        <a:xfrm>
          <a:off x="18578320" y="3573421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1974</xdr:row>
      <xdr:rowOff>97780</xdr:rowOff>
    </xdr:from>
    <xdr:to>
      <xdr:col>9</xdr:col>
      <xdr:colOff>1392681</xdr:colOff>
      <xdr:row>1974</xdr:row>
      <xdr:rowOff>97780</xdr:rowOff>
    </xdr:to>
    <xdr:cxnSp macro="_xll.PtreeEvent_ObjectClick">
      <xdr:nvCxnSpPr>
        <xdr:cNvPr id="3923" name="PTObj_DBranchHLine_1_977">
          <a:extLst>
            <a:ext uri="{FF2B5EF4-FFF2-40B4-BE49-F238E27FC236}">
              <a16:creationId xmlns:a16="http://schemas.microsoft.com/office/drawing/2014/main" id="{B0DB4A81-5DCE-46C5-853D-1FBCEF8A20EA}"/>
            </a:ext>
          </a:extLst>
        </xdr:cNvPr>
        <xdr:cNvCxnSpPr/>
      </xdr:nvCxnSpPr>
      <xdr:spPr>
        <a:xfrm>
          <a:off x="17306734" y="357342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1972</xdr:row>
      <xdr:rowOff>91728</xdr:rowOff>
    </xdr:from>
    <xdr:to>
      <xdr:col>9</xdr:col>
      <xdr:colOff>209359</xdr:colOff>
      <xdr:row>1974</xdr:row>
      <xdr:rowOff>97780</xdr:rowOff>
    </xdr:to>
    <xdr:cxnSp macro="_xll.PtreeEvent_ObjectClick">
      <xdr:nvCxnSpPr>
        <xdr:cNvPr id="3922" name="PTObj_DBranchDLine_1_977">
          <a:extLst>
            <a:ext uri="{FF2B5EF4-FFF2-40B4-BE49-F238E27FC236}">
              <a16:creationId xmlns:a16="http://schemas.microsoft.com/office/drawing/2014/main" id="{C55D1894-7608-4335-8639-77B0EFBD859D}"/>
            </a:ext>
          </a:extLst>
        </xdr:cNvPr>
        <xdr:cNvCxnSpPr/>
      </xdr:nvCxnSpPr>
      <xdr:spPr>
        <a:xfrm>
          <a:off x="17154334" y="3569744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1972</xdr:row>
      <xdr:rowOff>93985</xdr:rowOff>
    </xdr:from>
    <xdr:to>
      <xdr:col>8</xdr:col>
      <xdr:colOff>1398397</xdr:colOff>
      <xdr:row>1972</xdr:row>
      <xdr:rowOff>93985</xdr:rowOff>
    </xdr:to>
    <xdr:cxnSp macro="_xll.PtreeEvent_ObjectClick">
      <xdr:nvCxnSpPr>
        <xdr:cNvPr id="3919" name="PTObj_DBranchHLine_1_976">
          <a:extLst>
            <a:ext uri="{FF2B5EF4-FFF2-40B4-BE49-F238E27FC236}">
              <a16:creationId xmlns:a16="http://schemas.microsoft.com/office/drawing/2014/main" id="{65F0A4FD-B5F8-4D55-8EAB-7660F05B54D4}"/>
            </a:ext>
          </a:extLst>
        </xdr:cNvPr>
        <xdr:cNvCxnSpPr/>
      </xdr:nvCxnSpPr>
      <xdr:spPr>
        <a:xfrm>
          <a:off x="15888463" y="356976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1970</xdr:row>
      <xdr:rowOff>84138</xdr:rowOff>
    </xdr:from>
    <xdr:to>
      <xdr:col>8</xdr:col>
      <xdr:colOff>219838</xdr:colOff>
      <xdr:row>1972</xdr:row>
      <xdr:rowOff>93985</xdr:rowOff>
    </xdr:to>
    <xdr:cxnSp macro="_xll.PtreeEvent_ObjectClick">
      <xdr:nvCxnSpPr>
        <xdr:cNvPr id="3918" name="PTObj_DBranchDLine_1_976">
          <a:extLst>
            <a:ext uri="{FF2B5EF4-FFF2-40B4-BE49-F238E27FC236}">
              <a16:creationId xmlns:a16="http://schemas.microsoft.com/office/drawing/2014/main" id="{DA9B3BA6-00C1-45EB-BAE7-02061254310E}"/>
            </a:ext>
          </a:extLst>
        </xdr:cNvPr>
        <xdr:cNvCxnSpPr/>
      </xdr:nvCxnSpPr>
      <xdr:spPr>
        <a:xfrm>
          <a:off x="15736063" y="356604888"/>
          <a:ext cx="152400" cy="37179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1968</xdr:row>
      <xdr:rowOff>86370</xdr:rowOff>
    </xdr:from>
    <xdr:to>
      <xdr:col>11</xdr:col>
      <xdr:colOff>1386967</xdr:colOff>
      <xdr:row>1968</xdr:row>
      <xdr:rowOff>86370</xdr:rowOff>
    </xdr:to>
    <xdr:cxnSp macro="_xll.PtreeEvent_ObjectClick">
      <xdr:nvCxnSpPr>
        <xdr:cNvPr id="3915" name="PTObj_DBranchHLine_1_974">
          <a:extLst>
            <a:ext uri="{FF2B5EF4-FFF2-40B4-BE49-F238E27FC236}">
              <a16:creationId xmlns:a16="http://schemas.microsoft.com/office/drawing/2014/main" id="{69617B87-FFF1-4E6D-A12B-972F50900FAE}"/>
            </a:ext>
          </a:extLst>
        </xdr:cNvPr>
        <xdr:cNvCxnSpPr/>
      </xdr:nvCxnSpPr>
      <xdr:spPr>
        <a:xfrm>
          <a:off x="20149945" y="356245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1966</xdr:row>
      <xdr:rowOff>73670</xdr:rowOff>
    </xdr:from>
    <xdr:to>
      <xdr:col>11</xdr:col>
      <xdr:colOff>195070</xdr:colOff>
      <xdr:row>1968</xdr:row>
      <xdr:rowOff>86370</xdr:rowOff>
    </xdr:to>
    <xdr:cxnSp macro="_xll.PtreeEvent_ObjectClick">
      <xdr:nvCxnSpPr>
        <xdr:cNvPr id="3914" name="PTObj_DBranchDLine_1_974">
          <a:extLst>
            <a:ext uri="{FF2B5EF4-FFF2-40B4-BE49-F238E27FC236}">
              <a16:creationId xmlns:a16="http://schemas.microsoft.com/office/drawing/2014/main" id="{9C44D849-F44D-4D8F-A02D-05EFBCAF587E}"/>
            </a:ext>
          </a:extLst>
        </xdr:cNvPr>
        <xdr:cNvCxnSpPr/>
      </xdr:nvCxnSpPr>
      <xdr:spPr>
        <a:xfrm>
          <a:off x="19997545" y="355870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1966</xdr:row>
      <xdr:rowOff>82550</xdr:rowOff>
    </xdr:from>
    <xdr:to>
      <xdr:col>10</xdr:col>
      <xdr:colOff>1388870</xdr:colOff>
      <xdr:row>1966</xdr:row>
      <xdr:rowOff>82550</xdr:rowOff>
    </xdr:to>
    <xdr:cxnSp macro="_xll.PtreeEvent_ObjectClick">
      <xdr:nvCxnSpPr>
        <xdr:cNvPr id="3911" name="PTObj_DBranchHLine_1_973">
          <a:extLst>
            <a:ext uri="{FF2B5EF4-FFF2-40B4-BE49-F238E27FC236}">
              <a16:creationId xmlns:a16="http://schemas.microsoft.com/office/drawing/2014/main" id="{B4396CA3-757D-4C18-B7BB-BFDB70C9868F}"/>
            </a:ext>
          </a:extLst>
        </xdr:cNvPr>
        <xdr:cNvCxnSpPr/>
      </xdr:nvCxnSpPr>
      <xdr:spPr>
        <a:xfrm>
          <a:off x="18730720" y="355879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1964</xdr:row>
      <xdr:rowOff>77490</xdr:rowOff>
    </xdr:from>
    <xdr:to>
      <xdr:col>10</xdr:col>
      <xdr:colOff>204595</xdr:colOff>
      <xdr:row>1966</xdr:row>
      <xdr:rowOff>82550</xdr:rowOff>
    </xdr:to>
    <xdr:cxnSp macro="_xll.PtreeEvent_ObjectClick">
      <xdr:nvCxnSpPr>
        <xdr:cNvPr id="3910" name="PTObj_DBranchDLine_1_973">
          <a:extLst>
            <a:ext uri="{FF2B5EF4-FFF2-40B4-BE49-F238E27FC236}">
              <a16:creationId xmlns:a16="http://schemas.microsoft.com/office/drawing/2014/main" id="{5042424A-8279-4C4E-8C37-24E99917FB3A}"/>
            </a:ext>
          </a:extLst>
        </xdr:cNvPr>
        <xdr:cNvCxnSpPr/>
      </xdr:nvCxnSpPr>
      <xdr:spPr>
        <a:xfrm>
          <a:off x="18578320" y="355512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1964</xdr:row>
      <xdr:rowOff>78730</xdr:rowOff>
    </xdr:from>
    <xdr:to>
      <xdr:col>9</xdr:col>
      <xdr:colOff>1392681</xdr:colOff>
      <xdr:row>1964</xdr:row>
      <xdr:rowOff>78730</xdr:rowOff>
    </xdr:to>
    <xdr:cxnSp macro="_xll.PtreeEvent_ObjectClick">
      <xdr:nvCxnSpPr>
        <xdr:cNvPr id="3907" name="PTObj_DBranchHLine_1_972">
          <a:extLst>
            <a:ext uri="{FF2B5EF4-FFF2-40B4-BE49-F238E27FC236}">
              <a16:creationId xmlns:a16="http://schemas.microsoft.com/office/drawing/2014/main" id="{DD80E4BA-352A-48FD-8F95-C675F013A4D0}"/>
            </a:ext>
          </a:extLst>
        </xdr:cNvPr>
        <xdr:cNvCxnSpPr/>
      </xdr:nvCxnSpPr>
      <xdr:spPr>
        <a:xfrm>
          <a:off x="17306734" y="355513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1962</xdr:row>
      <xdr:rowOff>73645</xdr:rowOff>
    </xdr:from>
    <xdr:to>
      <xdr:col>9</xdr:col>
      <xdr:colOff>209359</xdr:colOff>
      <xdr:row>1964</xdr:row>
      <xdr:rowOff>78730</xdr:rowOff>
    </xdr:to>
    <xdr:cxnSp macro="_xll.PtreeEvent_ObjectClick">
      <xdr:nvCxnSpPr>
        <xdr:cNvPr id="3906" name="PTObj_DBranchDLine_1_972">
          <a:extLst>
            <a:ext uri="{FF2B5EF4-FFF2-40B4-BE49-F238E27FC236}">
              <a16:creationId xmlns:a16="http://schemas.microsoft.com/office/drawing/2014/main" id="{F063FC2E-86E9-4D04-B31C-A12B2EAA391F}"/>
            </a:ext>
          </a:extLst>
        </xdr:cNvPr>
        <xdr:cNvCxnSpPr/>
      </xdr:nvCxnSpPr>
      <xdr:spPr>
        <a:xfrm>
          <a:off x="17154334" y="3551465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1962</xdr:row>
      <xdr:rowOff>74935</xdr:rowOff>
    </xdr:from>
    <xdr:to>
      <xdr:col>8</xdr:col>
      <xdr:colOff>1398397</xdr:colOff>
      <xdr:row>1962</xdr:row>
      <xdr:rowOff>74935</xdr:rowOff>
    </xdr:to>
    <xdr:cxnSp macro="_xll.PtreeEvent_ObjectClick">
      <xdr:nvCxnSpPr>
        <xdr:cNvPr id="3903" name="PTObj_DBranchHLine_1_971">
          <a:extLst>
            <a:ext uri="{FF2B5EF4-FFF2-40B4-BE49-F238E27FC236}">
              <a16:creationId xmlns:a16="http://schemas.microsoft.com/office/drawing/2014/main" id="{D5EEA7B7-C56C-41D1-86C1-2C79B33865AE}"/>
            </a:ext>
          </a:extLst>
        </xdr:cNvPr>
        <xdr:cNvCxnSpPr/>
      </xdr:nvCxnSpPr>
      <xdr:spPr>
        <a:xfrm>
          <a:off x="15884652" y="355147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1962</xdr:row>
      <xdr:rowOff>74935</xdr:rowOff>
    </xdr:from>
    <xdr:to>
      <xdr:col>8</xdr:col>
      <xdr:colOff>216027</xdr:colOff>
      <xdr:row>1970</xdr:row>
      <xdr:rowOff>84138</xdr:rowOff>
    </xdr:to>
    <xdr:cxnSp macro="_xll.PtreeEvent_ObjectClick">
      <xdr:nvCxnSpPr>
        <xdr:cNvPr id="3902" name="PTObj_DBranchDLine_1_971">
          <a:extLst>
            <a:ext uri="{FF2B5EF4-FFF2-40B4-BE49-F238E27FC236}">
              <a16:creationId xmlns:a16="http://schemas.microsoft.com/office/drawing/2014/main" id="{DDA7DD3F-C17D-4DFD-8E3E-D59EB79E6E84}"/>
            </a:ext>
          </a:extLst>
        </xdr:cNvPr>
        <xdr:cNvCxnSpPr/>
      </xdr:nvCxnSpPr>
      <xdr:spPr>
        <a:xfrm flipV="1">
          <a:off x="15732252" y="355147885"/>
          <a:ext cx="152400" cy="14570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1970</xdr:row>
      <xdr:rowOff>90165</xdr:rowOff>
    </xdr:from>
    <xdr:to>
      <xdr:col>7</xdr:col>
      <xdr:colOff>1402207</xdr:colOff>
      <xdr:row>1970</xdr:row>
      <xdr:rowOff>90165</xdr:rowOff>
    </xdr:to>
    <xdr:cxnSp macro="_xll.PtreeEvent_ObjectClick">
      <xdr:nvCxnSpPr>
        <xdr:cNvPr id="3899" name="PTObj_DBranchHLine_1_975">
          <a:extLst>
            <a:ext uri="{FF2B5EF4-FFF2-40B4-BE49-F238E27FC236}">
              <a16:creationId xmlns:a16="http://schemas.microsoft.com/office/drawing/2014/main" id="{70E94D4A-AA86-473B-9654-13C44D458353}"/>
            </a:ext>
          </a:extLst>
        </xdr:cNvPr>
        <xdr:cNvCxnSpPr/>
      </xdr:nvCxnSpPr>
      <xdr:spPr>
        <a:xfrm>
          <a:off x="14460665" y="356610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1960</xdr:row>
      <xdr:rowOff>69850</xdr:rowOff>
    </xdr:from>
    <xdr:to>
      <xdr:col>7</xdr:col>
      <xdr:colOff>220790</xdr:colOff>
      <xdr:row>1970</xdr:row>
      <xdr:rowOff>90165</xdr:rowOff>
    </xdr:to>
    <xdr:cxnSp macro="_xll.PtreeEvent_ObjectClick">
      <xdr:nvCxnSpPr>
        <xdr:cNvPr id="3898" name="PTObj_DBranchDLine_1_975">
          <a:extLst>
            <a:ext uri="{FF2B5EF4-FFF2-40B4-BE49-F238E27FC236}">
              <a16:creationId xmlns:a16="http://schemas.microsoft.com/office/drawing/2014/main" id="{B9816119-8CC1-4E96-BA7A-1C518CA28725}"/>
            </a:ext>
          </a:extLst>
        </xdr:cNvPr>
        <xdr:cNvCxnSpPr/>
      </xdr:nvCxnSpPr>
      <xdr:spPr>
        <a:xfrm>
          <a:off x="14308265" y="354780850"/>
          <a:ext cx="152400" cy="18300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1958</xdr:row>
      <xdr:rowOff>67320</xdr:rowOff>
    </xdr:from>
    <xdr:to>
      <xdr:col>11</xdr:col>
      <xdr:colOff>1386015</xdr:colOff>
      <xdr:row>1958</xdr:row>
      <xdr:rowOff>67320</xdr:rowOff>
    </xdr:to>
    <xdr:cxnSp macro="_xll.PtreeEvent_ObjectClick">
      <xdr:nvCxnSpPr>
        <xdr:cNvPr id="3895" name="PTObj_DBranchHLine_1_969">
          <a:extLst>
            <a:ext uri="{FF2B5EF4-FFF2-40B4-BE49-F238E27FC236}">
              <a16:creationId xmlns:a16="http://schemas.microsoft.com/office/drawing/2014/main" id="{52FA1D02-2C22-4329-BB70-DAF66EF7EED6}"/>
            </a:ext>
          </a:extLst>
        </xdr:cNvPr>
        <xdr:cNvCxnSpPr/>
      </xdr:nvCxnSpPr>
      <xdr:spPr>
        <a:xfrm>
          <a:off x="20149945" y="354416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1956</xdr:row>
      <xdr:rowOff>58440</xdr:rowOff>
    </xdr:from>
    <xdr:to>
      <xdr:col>11</xdr:col>
      <xdr:colOff>195070</xdr:colOff>
      <xdr:row>1958</xdr:row>
      <xdr:rowOff>67320</xdr:rowOff>
    </xdr:to>
    <xdr:cxnSp macro="_xll.PtreeEvent_ObjectClick">
      <xdr:nvCxnSpPr>
        <xdr:cNvPr id="3894" name="PTObj_DBranchDLine_1_969">
          <a:extLst>
            <a:ext uri="{FF2B5EF4-FFF2-40B4-BE49-F238E27FC236}">
              <a16:creationId xmlns:a16="http://schemas.microsoft.com/office/drawing/2014/main" id="{F14ACE1D-25A0-4E0D-A45A-EC1B5D37F979}"/>
            </a:ext>
          </a:extLst>
        </xdr:cNvPr>
        <xdr:cNvCxnSpPr/>
      </xdr:nvCxnSpPr>
      <xdr:spPr>
        <a:xfrm>
          <a:off x="19997545" y="354045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1956</xdr:row>
      <xdr:rowOff>63500</xdr:rowOff>
    </xdr:from>
    <xdr:to>
      <xdr:col>10</xdr:col>
      <xdr:colOff>1388870</xdr:colOff>
      <xdr:row>1956</xdr:row>
      <xdr:rowOff>63500</xdr:rowOff>
    </xdr:to>
    <xdr:cxnSp macro="_xll.PtreeEvent_ObjectClick">
      <xdr:nvCxnSpPr>
        <xdr:cNvPr id="3891" name="PTObj_DBranchHLine_1_968">
          <a:extLst>
            <a:ext uri="{FF2B5EF4-FFF2-40B4-BE49-F238E27FC236}">
              <a16:creationId xmlns:a16="http://schemas.microsoft.com/office/drawing/2014/main" id="{A65DFB9C-B38A-4CFA-844E-73F0DBD0FE00}"/>
            </a:ext>
          </a:extLst>
        </xdr:cNvPr>
        <xdr:cNvCxnSpPr/>
      </xdr:nvCxnSpPr>
      <xdr:spPr>
        <a:xfrm>
          <a:off x="18730720" y="354050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1954</xdr:row>
      <xdr:rowOff>54620</xdr:rowOff>
    </xdr:from>
    <xdr:to>
      <xdr:col>10</xdr:col>
      <xdr:colOff>204595</xdr:colOff>
      <xdr:row>1956</xdr:row>
      <xdr:rowOff>63500</xdr:rowOff>
    </xdr:to>
    <xdr:cxnSp macro="_xll.PtreeEvent_ObjectClick">
      <xdr:nvCxnSpPr>
        <xdr:cNvPr id="3890" name="PTObj_DBranchDLine_1_968">
          <a:extLst>
            <a:ext uri="{FF2B5EF4-FFF2-40B4-BE49-F238E27FC236}">
              <a16:creationId xmlns:a16="http://schemas.microsoft.com/office/drawing/2014/main" id="{AE9BDEA5-E523-46A8-A684-D47F40E58E92}"/>
            </a:ext>
          </a:extLst>
        </xdr:cNvPr>
        <xdr:cNvCxnSpPr/>
      </xdr:nvCxnSpPr>
      <xdr:spPr>
        <a:xfrm>
          <a:off x="18578320" y="353679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1954</xdr:row>
      <xdr:rowOff>59680</xdr:rowOff>
    </xdr:from>
    <xdr:to>
      <xdr:col>9</xdr:col>
      <xdr:colOff>1392681</xdr:colOff>
      <xdr:row>1954</xdr:row>
      <xdr:rowOff>59680</xdr:rowOff>
    </xdr:to>
    <xdr:cxnSp macro="_xll.PtreeEvent_ObjectClick">
      <xdr:nvCxnSpPr>
        <xdr:cNvPr id="3887" name="PTObj_DBranchHLine_1_967">
          <a:extLst>
            <a:ext uri="{FF2B5EF4-FFF2-40B4-BE49-F238E27FC236}">
              <a16:creationId xmlns:a16="http://schemas.microsoft.com/office/drawing/2014/main" id="{95DEF318-C6A3-4BD1-9522-5E6E2F76BC55}"/>
            </a:ext>
          </a:extLst>
        </xdr:cNvPr>
        <xdr:cNvCxnSpPr/>
      </xdr:nvCxnSpPr>
      <xdr:spPr>
        <a:xfrm>
          <a:off x="17306734" y="353684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1952</xdr:row>
      <xdr:rowOff>46980</xdr:rowOff>
    </xdr:from>
    <xdr:to>
      <xdr:col>9</xdr:col>
      <xdr:colOff>209359</xdr:colOff>
      <xdr:row>1954</xdr:row>
      <xdr:rowOff>59680</xdr:rowOff>
    </xdr:to>
    <xdr:cxnSp macro="_xll.PtreeEvent_ObjectClick">
      <xdr:nvCxnSpPr>
        <xdr:cNvPr id="3886" name="PTObj_DBranchDLine_1_967">
          <a:extLst>
            <a:ext uri="{FF2B5EF4-FFF2-40B4-BE49-F238E27FC236}">
              <a16:creationId xmlns:a16="http://schemas.microsoft.com/office/drawing/2014/main" id="{E12E6747-B81C-4C66-B6F7-ED1207654916}"/>
            </a:ext>
          </a:extLst>
        </xdr:cNvPr>
        <xdr:cNvCxnSpPr/>
      </xdr:nvCxnSpPr>
      <xdr:spPr>
        <a:xfrm>
          <a:off x="17154334" y="353310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1952</xdr:row>
      <xdr:rowOff>55885</xdr:rowOff>
    </xdr:from>
    <xdr:to>
      <xdr:col>8</xdr:col>
      <xdr:colOff>1398397</xdr:colOff>
      <xdr:row>1952</xdr:row>
      <xdr:rowOff>55885</xdr:rowOff>
    </xdr:to>
    <xdr:cxnSp macro="_xll.PtreeEvent_ObjectClick">
      <xdr:nvCxnSpPr>
        <xdr:cNvPr id="3883" name="PTObj_DBranchHLine_1_966">
          <a:extLst>
            <a:ext uri="{FF2B5EF4-FFF2-40B4-BE49-F238E27FC236}">
              <a16:creationId xmlns:a16="http://schemas.microsoft.com/office/drawing/2014/main" id="{9E658C95-41D8-43CF-B440-0533F93B2A35}"/>
            </a:ext>
          </a:extLst>
        </xdr:cNvPr>
        <xdr:cNvCxnSpPr/>
      </xdr:nvCxnSpPr>
      <xdr:spPr>
        <a:xfrm>
          <a:off x="15888463" y="353319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1950</xdr:row>
      <xdr:rowOff>42242</xdr:rowOff>
    </xdr:from>
    <xdr:to>
      <xdr:col>8</xdr:col>
      <xdr:colOff>219838</xdr:colOff>
      <xdr:row>1952</xdr:row>
      <xdr:rowOff>55885</xdr:rowOff>
    </xdr:to>
    <xdr:cxnSp macro="_xll.PtreeEvent_ObjectClick">
      <xdr:nvCxnSpPr>
        <xdr:cNvPr id="3882" name="PTObj_DBranchDLine_1_966">
          <a:extLst>
            <a:ext uri="{FF2B5EF4-FFF2-40B4-BE49-F238E27FC236}">
              <a16:creationId xmlns:a16="http://schemas.microsoft.com/office/drawing/2014/main" id="{AA417A9D-FDBC-4F07-A54A-899ED1D2A417}"/>
            </a:ext>
          </a:extLst>
        </xdr:cNvPr>
        <xdr:cNvCxnSpPr/>
      </xdr:nvCxnSpPr>
      <xdr:spPr>
        <a:xfrm>
          <a:off x="15736063" y="3529434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1948</xdr:row>
      <xdr:rowOff>48270</xdr:rowOff>
    </xdr:from>
    <xdr:to>
      <xdr:col>11</xdr:col>
      <xdr:colOff>1386967</xdr:colOff>
      <xdr:row>1948</xdr:row>
      <xdr:rowOff>48270</xdr:rowOff>
    </xdr:to>
    <xdr:cxnSp macro="_xll.PtreeEvent_ObjectClick">
      <xdr:nvCxnSpPr>
        <xdr:cNvPr id="3879" name="PTObj_DBranchHLine_1_964">
          <a:extLst>
            <a:ext uri="{FF2B5EF4-FFF2-40B4-BE49-F238E27FC236}">
              <a16:creationId xmlns:a16="http://schemas.microsoft.com/office/drawing/2014/main" id="{5A16D60F-259F-4542-815F-238BD4E47DCE}"/>
            </a:ext>
          </a:extLst>
        </xdr:cNvPr>
        <xdr:cNvCxnSpPr/>
      </xdr:nvCxnSpPr>
      <xdr:spPr>
        <a:xfrm>
          <a:off x="20149945" y="352587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1946</xdr:row>
      <xdr:rowOff>35570</xdr:rowOff>
    </xdr:from>
    <xdr:to>
      <xdr:col>11</xdr:col>
      <xdr:colOff>195070</xdr:colOff>
      <xdr:row>1948</xdr:row>
      <xdr:rowOff>48270</xdr:rowOff>
    </xdr:to>
    <xdr:cxnSp macro="_xll.PtreeEvent_ObjectClick">
      <xdr:nvCxnSpPr>
        <xdr:cNvPr id="3878" name="PTObj_DBranchDLine_1_964">
          <a:extLst>
            <a:ext uri="{FF2B5EF4-FFF2-40B4-BE49-F238E27FC236}">
              <a16:creationId xmlns:a16="http://schemas.microsoft.com/office/drawing/2014/main" id="{7D291FE7-8551-4845-8492-2865AFBCB873}"/>
            </a:ext>
          </a:extLst>
        </xdr:cNvPr>
        <xdr:cNvCxnSpPr/>
      </xdr:nvCxnSpPr>
      <xdr:spPr>
        <a:xfrm>
          <a:off x="19997545" y="352212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1946</xdr:row>
      <xdr:rowOff>44450</xdr:rowOff>
    </xdr:from>
    <xdr:to>
      <xdr:col>10</xdr:col>
      <xdr:colOff>1388870</xdr:colOff>
      <xdr:row>1946</xdr:row>
      <xdr:rowOff>44450</xdr:rowOff>
    </xdr:to>
    <xdr:cxnSp macro="_xll.PtreeEvent_ObjectClick">
      <xdr:nvCxnSpPr>
        <xdr:cNvPr id="3875" name="PTObj_DBranchHLine_1_963">
          <a:extLst>
            <a:ext uri="{FF2B5EF4-FFF2-40B4-BE49-F238E27FC236}">
              <a16:creationId xmlns:a16="http://schemas.microsoft.com/office/drawing/2014/main" id="{B2759850-C574-4DF1-8F6E-FA2173813BFC}"/>
            </a:ext>
          </a:extLst>
        </xdr:cNvPr>
        <xdr:cNvCxnSpPr/>
      </xdr:nvCxnSpPr>
      <xdr:spPr>
        <a:xfrm>
          <a:off x="18730720" y="352221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1944</xdr:row>
      <xdr:rowOff>39390</xdr:rowOff>
    </xdr:from>
    <xdr:to>
      <xdr:col>10</xdr:col>
      <xdr:colOff>204595</xdr:colOff>
      <xdr:row>1946</xdr:row>
      <xdr:rowOff>44450</xdr:rowOff>
    </xdr:to>
    <xdr:cxnSp macro="_xll.PtreeEvent_ObjectClick">
      <xdr:nvCxnSpPr>
        <xdr:cNvPr id="3874" name="PTObj_DBranchDLine_1_963">
          <a:extLst>
            <a:ext uri="{FF2B5EF4-FFF2-40B4-BE49-F238E27FC236}">
              <a16:creationId xmlns:a16="http://schemas.microsoft.com/office/drawing/2014/main" id="{2387B029-EA0D-41BF-A544-5B03B0748514}"/>
            </a:ext>
          </a:extLst>
        </xdr:cNvPr>
        <xdr:cNvCxnSpPr/>
      </xdr:nvCxnSpPr>
      <xdr:spPr>
        <a:xfrm>
          <a:off x="18578320" y="351854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1944</xdr:row>
      <xdr:rowOff>40630</xdr:rowOff>
    </xdr:from>
    <xdr:to>
      <xdr:col>9</xdr:col>
      <xdr:colOff>1392681</xdr:colOff>
      <xdr:row>1944</xdr:row>
      <xdr:rowOff>40630</xdr:rowOff>
    </xdr:to>
    <xdr:cxnSp macro="_xll.PtreeEvent_ObjectClick">
      <xdr:nvCxnSpPr>
        <xdr:cNvPr id="3871" name="PTObj_DBranchHLine_1_962">
          <a:extLst>
            <a:ext uri="{FF2B5EF4-FFF2-40B4-BE49-F238E27FC236}">
              <a16:creationId xmlns:a16="http://schemas.microsoft.com/office/drawing/2014/main" id="{435DF5FC-F0C5-4C92-8362-D20EF95FC897}"/>
            </a:ext>
          </a:extLst>
        </xdr:cNvPr>
        <xdr:cNvCxnSpPr/>
      </xdr:nvCxnSpPr>
      <xdr:spPr>
        <a:xfrm>
          <a:off x="17306734" y="351856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1942</xdr:row>
      <xdr:rowOff>35545</xdr:rowOff>
    </xdr:from>
    <xdr:to>
      <xdr:col>9</xdr:col>
      <xdr:colOff>209359</xdr:colOff>
      <xdr:row>1944</xdr:row>
      <xdr:rowOff>40630</xdr:rowOff>
    </xdr:to>
    <xdr:cxnSp macro="_xll.PtreeEvent_ObjectClick">
      <xdr:nvCxnSpPr>
        <xdr:cNvPr id="3870" name="PTObj_DBranchDLine_1_962">
          <a:extLst>
            <a:ext uri="{FF2B5EF4-FFF2-40B4-BE49-F238E27FC236}">
              <a16:creationId xmlns:a16="http://schemas.microsoft.com/office/drawing/2014/main" id="{A007F23F-5A0C-4847-BF4A-1DDD4D536D8D}"/>
            </a:ext>
          </a:extLst>
        </xdr:cNvPr>
        <xdr:cNvCxnSpPr/>
      </xdr:nvCxnSpPr>
      <xdr:spPr>
        <a:xfrm>
          <a:off x="17154334" y="3514889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1942</xdr:row>
      <xdr:rowOff>36835</xdr:rowOff>
    </xdr:from>
    <xdr:to>
      <xdr:col>8</xdr:col>
      <xdr:colOff>1398397</xdr:colOff>
      <xdr:row>1942</xdr:row>
      <xdr:rowOff>36835</xdr:rowOff>
    </xdr:to>
    <xdr:cxnSp macro="_xll.PtreeEvent_ObjectClick">
      <xdr:nvCxnSpPr>
        <xdr:cNvPr id="3867" name="PTObj_DBranchHLine_1_961">
          <a:extLst>
            <a:ext uri="{FF2B5EF4-FFF2-40B4-BE49-F238E27FC236}">
              <a16:creationId xmlns:a16="http://schemas.microsoft.com/office/drawing/2014/main" id="{A733B464-F60A-4575-823D-D7302E85C3F4}"/>
            </a:ext>
          </a:extLst>
        </xdr:cNvPr>
        <xdr:cNvCxnSpPr/>
      </xdr:nvCxnSpPr>
      <xdr:spPr>
        <a:xfrm>
          <a:off x="15884652" y="351490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1942</xdr:row>
      <xdr:rowOff>36835</xdr:rowOff>
    </xdr:from>
    <xdr:to>
      <xdr:col>8</xdr:col>
      <xdr:colOff>216027</xdr:colOff>
      <xdr:row>1950</xdr:row>
      <xdr:rowOff>42242</xdr:rowOff>
    </xdr:to>
    <xdr:cxnSp macro="_xll.PtreeEvent_ObjectClick">
      <xdr:nvCxnSpPr>
        <xdr:cNvPr id="3866" name="PTObj_DBranchDLine_1_961">
          <a:extLst>
            <a:ext uri="{FF2B5EF4-FFF2-40B4-BE49-F238E27FC236}">
              <a16:creationId xmlns:a16="http://schemas.microsoft.com/office/drawing/2014/main" id="{D776E2D0-E4F4-4A22-8184-C311D6EE728B}"/>
            </a:ext>
          </a:extLst>
        </xdr:cNvPr>
        <xdr:cNvCxnSpPr/>
      </xdr:nvCxnSpPr>
      <xdr:spPr>
        <a:xfrm flipV="1">
          <a:off x="15732252" y="3514902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1950</xdr:row>
      <xdr:rowOff>52065</xdr:rowOff>
    </xdr:from>
    <xdr:to>
      <xdr:col>7</xdr:col>
      <xdr:colOff>1402207</xdr:colOff>
      <xdr:row>1950</xdr:row>
      <xdr:rowOff>52065</xdr:rowOff>
    </xdr:to>
    <xdr:cxnSp macro="_xll.PtreeEvent_ObjectClick">
      <xdr:nvCxnSpPr>
        <xdr:cNvPr id="3863" name="PTObj_DBranchHLine_1_965">
          <a:extLst>
            <a:ext uri="{FF2B5EF4-FFF2-40B4-BE49-F238E27FC236}">
              <a16:creationId xmlns:a16="http://schemas.microsoft.com/office/drawing/2014/main" id="{44DD6C20-7026-4148-9DAB-49668E2B84F6}"/>
            </a:ext>
          </a:extLst>
        </xdr:cNvPr>
        <xdr:cNvCxnSpPr/>
      </xdr:nvCxnSpPr>
      <xdr:spPr>
        <a:xfrm>
          <a:off x="14462570" y="3529533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1950</xdr:row>
      <xdr:rowOff>52065</xdr:rowOff>
    </xdr:from>
    <xdr:to>
      <xdr:col>7</xdr:col>
      <xdr:colOff>222695</xdr:colOff>
      <xdr:row>1960</xdr:row>
      <xdr:rowOff>71735</xdr:rowOff>
    </xdr:to>
    <xdr:cxnSp macro="_xll.PtreeEvent_ObjectClick">
      <xdr:nvCxnSpPr>
        <xdr:cNvPr id="3862" name="PTObj_DBranchDLine_1_965">
          <a:extLst>
            <a:ext uri="{FF2B5EF4-FFF2-40B4-BE49-F238E27FC236}">
              <a16:creationId xmlns:a16="http://schemas.microsoft.com/office/drawing/2014/main" id="{F613335D-D849-4C0B-BE4E-333657688B21}"/>
            </a:ext>
          </a:extLst>
        </xdr:cNvPr>
        <xdr:cNvCxnSpPr/>
      </xdr:nvCxnSpPr>
      <xdr:spPr>
        <a:xfrm flipV="1">
          <a:off x="14310170" y="352953315"/>
          <a:ext cx="152400" cy="1829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1960</xdr:row>
      <xdr:rowOff>71115</xdr:rowOff>
    </xdr:from>
    <xdr:to>
      <xdr:col>6</xdr:col>
      <xdr:colOff>1407922</xdr:colOff>
      <xdr:row>1960</xdr:row>
      <xdr:rowOff>71115</xdr:rowOff>
    </xdr:to>
    <xdr:cxnSp macro="_xll.PtreeEvent_ObjectClick">
      <xdr:nvCxnSpPr>
        <xdr:cNvPr id="3859" name="PTObj_DBranchHLine_1_970">
          <a:extLst>
            <a:ext uri="{FF2B5EF4-FFF2-40B4-BE49-F238E27FC236}">
              <a16:creationId xmlns:a16="http://schemas.microsoft.com/office/drawing/2014/main" id="{700BF179-60EE-4C76-814F-7F704239104C}"/>
            </a:ext>
          </a:extLst>
        </xdr:cNvPr>
        <xdr:cNvCxnSpPr/>
      </xdr:nvCxnSpPr>
      <xdr:spPr>
        <a:xfrm>
          <a:off x="13034772" y="3547821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1960</xdr:row>
      <xdr:rowOff>71115</xdr:rowOff>
    </xdr:from>
    <xdr:to>
      <xdr:col>6</xdr:col>
      <xdr:colOff>223647</xdr:colOff>
      <xdr:row>1980</xdr:row>
      <xdr:rowOff>104155</xdr:rowOff>
    </xdr:to>
    <xdr:cxnSp macro="_xll.PtreeEvent_ObjectClick">
      <xdr:nvCxnSpPr>
        <xdr:cNvPr id="3858" name="PTObj_DBranchDLine_1_970">
          <a:extLst>
            <a:ext uri="{FF2B5EF4-FFF2-40B4-BE49-F238E27FC236}">
              <a16:creationId xmlns:a16="http://schemas.microsoft.com/office/drawing/2014/main" id="{57D5D5D2-27C3-4363-AD3F-0916BFD191CB}"/>
            </a:ext>
          </a:extLst>
        </xdr:cNvPr>
        <xdr:cNvCxnSpPr/>
      </xdr:nvCxnSpPr>
      <xdr:spPr>
        <a:xfrm flipV="1">
          <a:off x="12882372" y="3547821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1980</xdr:row>
      <xdr:rowOff>109215</xdr:rowOff>
    </xdr:from>
    <xdr:to>
      <xdr:col>5</xdr:col>
      <xdr:colOff>1411732</xdr:colOff>
      <xdr:row>1980</xdr:row>
      <xdr:rowOff>109215</xdr:rowOff>
    </xdr:to>
    <xdr:cxnSp macro="_xll.PtreeEvent_ObjectClick">
      <xdr:nvCxnSpPr>
        <xdr:cNvPr id="3855" name="PTObj_DBranchHLine_1_980">
          <a:extLst>
            <a:ext uri="{FF2B5EF4-FFF2-40B4-BE49-F238E27FC236}">
              <a16:creationId xmlns:a16="http://schemas.microsoft.com/office/drawing/2014/main" id="{CAA844AD-3A1D-49BB-AC5F-E714DA3FA938}"/>
            </a:ext>
          </a:extLst>
        </xdr:cNvPr>
        <xdr:cNvCxnSpPr/>
      </xdr:nvCxnSpPr>
      <xdr:spPr>
        <a:xfrm>
          <a:off x="11610785" y="3584397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1980</xdr:row>
      <xdr:rowOff>109215</xdr:rowOff>
    </xdr:from>
    <xdr:to>
      <xdr:col>5</xdr:col>
      <xdr:colOff>228410</xdr:colOff>
      <xdr:row>2020</xdr:row>
      <xdr:rowOff>180355</xdr:rowOff>
    </xdr:to>
    <xdr:cxnSp macro="_xll.PtreeEvent_ObjectClick">
      <xdr:nvCxnSpPr>
        <xdr:cNvPr id="3854" name="PTObj_DBranchDLine_1_980">
          <a:extLst>
            <a:ext uri="{FF2B5EF4-FFF2-40B4-BE49-F238E27FC236}">
              <a16:creationId xmlns:a16="http://schemas.microsoft.com/office/drawing/2014/main" id="{223F48D9-C0EE-43D3-BB54-6B361657F6AC}"/>
            </a:ext>
          </a:extLst>
        </xdr:cNvPr>
        <xdr:cNvCxnSpPr/>
      </xdr:nvCxnSpPr>
      <xdr:spPr>
        <a:xfrm flipV="1">
          <a:off x="11458385" y="358439715"/>
          <a:ext cx="152400" cy="73101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230314</xdr:colOff>
      <xdr:row>2021</xdr:row>
      <xdr:rowOff>4440</xdr:rowOff>
    </xdr:from>
    <xdr:to>
      <xdr:col>4</xdr:col>
      <xdr:colOff>1417447</xdr:colOff>
      <xdr:row>2021</xdr:row>
      <xdr:rowOff>4440</xdr:rowOff>
    </xdr:to>
    <xdr:cxnSp macro="_xll.PtreeEvent_ObjectClick">
      <xdr:nvCxnSpPr>
        <xdr:cNvPr id="3851" name="PTObj_DBranchHLine_1_1000">
          <a:extLst>
            <a:ext uri="{FF2B5EF4-FFF2-40B4-BE49-F238E27FC236}">
              <a16:creationId xmlns:a16="http://schemas.microsoft.com/office/drawing/2014/main" id="{D66C048F-B5B8-4E30-BCA6-BA29CCBC00E3}"/>
            </a:ext>
          </a:extLst>
        </xdr:cNvPr>
        <xdr:cNvCxnSpPr/>
      </xdr:nvCxnSpPr>
      <xdr:spPr>
        <a:xfrm>
          <a:off x="10183939" y="365754915"/>
          <a:ext cx="118713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77914</xdr:colOff>
      <xdr:row>2021</xdr:row>
      <xdr:rowOff>4440</xdr:rowOff>
    </xdr:from>
    <xdr:to>
      <xdr:col>4</xdr:col>
      <xdr:colOff>230314</xdr:colOff>
      <xdr:row>2101</xdr:row>
      <xdr:rowOff>145107</xdr:rowOff>
    </xdr:to>
    <xdr:cxnSp macro="_xll.PtreeEvent_ObjectClick">
      <xdr:nvCxnSpPr>
        <xdr:cNvPr id="3850" name="PTObj_DBranchDLine_1_1000">
          <a:extLst>
            <a:ext uri="{FF2B5EF4-FFF2-40B4-BE49-F238E27FC236}">
              <a16:creationId xmlns:a16="http://schemas.microsoft.com/office/drawing/2014/main" id="{FCEF6E24-6539-4B5D-9CD3-91E0B6080859}"/>
            </a:ext>
          </a:extLst>
        </xdr:cNvPr>
        <xdr:cNvCxnSpPr/>
      </xdr:nvCxnSpPr>
      <xdr:spPr>
        <a:xfrm flipV="1">
          <a:off x="10031539" y="365754915"/>
          <a:ext cx="152400" cy="1461866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233172</xdr:colOff>
      <xdr:row>2101</xdr:row>
      <xdr:rowOff>156840</xdr:rowOff>
    </xdr:from>
    <xdr:to>
      <xdr:col>3</xdr:col>
      <xdr:colOff>1421257</xdr:colOff>
      <xdr:row>2101</xdr:row>
      <xdr:rowOff>156840</xdr:rowOff>
    </xdr:to>
    <xdr:cxnSp macro="_xll.PtreeEvent_ObjectClick">
      <xdr:nvCxnSpPr>
        <xdr:cNvPr id="3847" name="PTObj_DBranchHLine_1_1040">
          <a:extLst>
            <a:ext uri="{FF2B5EF4-FFF2-40B4-BE49-F238E27FC236}">
              <a16:creationId xmlns:a16="http://schemas.microsoft.com/office/drawing/2014/main" id="{BF07A1D0-AF63-4993-BEF7-6CBE4FC9CEB1}"/>
            </a:ext>
          </a:extLst>
        </xdr:cNvPr>
        <xdr:cNvCxnSpPr/>
      </xdr:nvCxnSpPr>
      <xdr:spPr>
        <a:xfrm>
          <a:off x="8758047" y="380385315"/>
          <a:ext cx="118808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80772</xdr:colOff>
      <xdr:row>2101</xdr:row>
      <xdr:rowOff>156840</xdr:rowOff>
    </xdr:from>
    <xdr:to>
      <xdr:col>3</xdr:col>
      <xdr:colOff>233172</xdr:colOff>
      <xdr:row>2263</xdr:row>
      <xdr:rowOff>100310</xdr:rowOff>
    </xdr:to>
    <xdr:cxnSp macro="_xll.PtreeEvent_ObjectClick">
      <xdr:nvCxnSpPr>
        <xdr:cNvPr id="3846" name="PTObj_DBranchDLine_1_1040">
          <a:extLst>
            <a:ext uri="{FF2B5EF4-FFF2-40B4-BE49-F238E27FC236}">
              <a16:creationId xmlns:a16="http://schemas.microsoft.com/office/drawing/2014/main" id="{70FD48E9-BB66-4031-8505-E1B5F723BDD6}"/>
            </a:ext>
          </a:extLst>
        </xdr:cNvPr>
        <xdr:cNvCxnSpPr/>
      </xdr:nvCxnSpPr>
      <xdr:spPr>
        <a:xfrm flipV="1">
          <a:off x="8605647" y="380385315"/>
          <a:ext cx="152400" cy="29261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231267</xdr:colOff>
      <xdr:row>2263</xdr:row>
      <xdr:rowOff>99690</xdr:rowOff>
    </xdr:from>
    <xdr:to>
      <xdr:col>2</xdr:col>
      <xdr:colOff>1426972</xdr:colOff>
      <xdr:row>2263</xdr:row>
      <xdr:rowOff>99690</xdr:rowOff>
    </xdr:to>
    <xdr:cxnSp macro="_xll.PtreeEvent_ObjectClick">
      <xdr:nvCxnSpPr>
        <xdr:cNvPr id="3843" name="PTObj_DBranchHLine_1_1120">
          <a:extLst>
            <a:ext uri="{FF2B5EF4-FFF2-40B4-BE49-F238E27FC236}">
              <a16:creationId xmlns:a16="http://schemas.microsoft.com/office/drawing/2014/main" id="{CD94E404-3A67-498B-8922-D4577D1D672F}"/>
            </a:ext>
          </a:extLst>
        </xdr:cNvPr>
        <xdr:cNvCxnSpPr/>
      </xdr:nvCxnSpPr>
      <xdr:spPr>
        <a:xfrm>
          <a:off x="7327392" y="409646115"/>
          <a:ext cx="11957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78867</xdr:colOff>
      <xdr:row>1940</xdr:row>
      <xdr:rowOff>31750</xdr:rowOff>
    </xdr:from>
    <xdr:to>
      <xdr:col>2</xdr:col>
      <xdr:colOff>231267</xdr:colOff>
      <xdr:row>2263</xdr:row>
      <xdr:rowOff>99690</xdr:rowOff>
    </xdr:to>
    <xdr:cxnSp macro="_xll.PtreeEvent_ObjectClick">
      <xdr:nvCxnSpPr>
        <xdr:cNvPr id="3842" name="PTObj_DBranchDLine_1_1120">
          <a:extLst>
            <a:ext uri="{FF2B5EF4-FFF2-40B4-BE49-F238E27FC236}">
              <a16:creationId xmlns:a16="http://schemas.microsoft.com/office/drawing/2014/main" id="{54B9736F-74BB-49C2-BE15-BCEE4D86BA19}"/>
            </a:ext>
          </a:extLst>
        </xdr:cNvPr>
        <xdr:cNvCxnSpPr/>
      </xdr:nvCxnSpPr>
      <xdr:spPr>
        <a:xfrm>
          <a:off x="7174992" y="351123250"/>
          <a:ext cx="152400" cy="585228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1938</xdr:row>
      <xdr:rowOff>29220</xdr:rowOff>
    </xdr:from>
    <xdr:to>
      <xdr:col>11</xdr:col>
      <xdr:colOff>1386015</xdr:colOff>
      <xdr:row>1938</xdr:row>
      <xdr:rowOff>29220</xdr:rowOff>
    </xdr:to>
    <xdr:cxnSp macro="_xll.PtreeEvent_ObjectClick">
      <xdr:nvCxnSpPr>
        <xdr:cNvPr id="3839" name="PTObj_DBranchHLine_1_959">
          <a:extLst>
            <a:ext uri="{FF2B5EF4-FFF2-40B4-BE49-F238E27FC236}">
              <a16:creationId xmlns:a16="http://schemas.microsoft.com/office/drawing/2014/main" id="{912B195F-8D10-47A7-AD79-CBB582F3DA67}"/>
            </a:ext>
          </a:extLst>
        </xdr:cNvPr>
        <xdr:cNvCxnSpPr/>
      </xdr:nvCxnSpPr>
      <xdr:spPr>
        <a:xfrm>
          <a:off x="20149945" y="350758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1936</xdr:row>
      <xdr:rowOff>20340</xdr:rowOff>
    </xdr:from>
    <xdr:to>
      <xdr:col>11</xdr:col>
      <xdr:colOff>195070</xdr:colOff>
      <xdr:row>1938</xdr:row>
      <xdr:rowOff>29220</xdr:rowOff>
    </xdr:to>
    <xdr:cxnSp macro="_xll.PtreeEvent_ObjectClick">
      <xdr:nvCxnSpPr>
        <xdr:cNvPr id="3838" name="PTObj_DBranchDLine_1_959">
          <a:extLst>
            <a:ext uri="{FF2B5EF4-FFF2-40B4-BE49-F238E27FC236}">
              <a16:creationId xmlns:a16="http://schemas.microsoft.com/office/drawing/2014/main" id="{31246A06-5C7E-4E66-A6E7-59B40BF80364}"/>
            </a:ext>
          </a:extLst>
        </xdr:cNvPr>
        <xdr:cNvCxnSpPr/>
      </xdr:nvCxnSpPr>
      <xdr:spPr>
        <a:xfrm>
          <a:off x="19997545" y="350387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1936</xdr:row>
      <xdr:rowOff>25400</xdr:rowOff>
    </xdr:from>
    <xdr:to>
      <xdr:col>10</xdr:col>
      <xdr:colOff>1388870</xdr:colOff>
      <xdr:row>1936</xdr:row>
      <xdr:rowOff>25400</xdr:rowOff>
    </xdr:to>
    <xdr:cxnSp macro="_xll.PtreeEvent_ObjectClick">
      <xdr:nvCxnSpPr>
        <xdr:cNvPr id="3835" name="PTObj_DBranchHLine_1_958">
          <a:extLst>
            <a:ext uri="{FF2B5EF4-FFF2-40B4-BE49-F238E27FC236}">
              <a16:creationId xmlns:a16="http://schemas.microsoft.com/office/drawing/2014/main" id="{71F86FCB-8CC2-489F-A0C2-B0948E690EEF}"/>
            </a:ext>
          </a:extLst>
        </xdr:cNvPr>
        <xdr:cNvCxnSpPr/>
      </xdr:nvCxnSpPr>
      <xdr:spPr>
        <a:xfrm>
          <a:off x="18730720" y="350393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1934</xdr:row>
      <xdr:rowOff>16520</xdr:rowOff>
    </xdr:from>
    <xdr:to>
      <xdr:col>10</xdr:col>
      <xdr:colOff>204595</xdr:colOff>
      <xdr:row>1936</xdr:row>
      <xdr:rowOff>25400</xdr:rowOff>
    </xdr:to>
    <xdr:cxnSp macro="_xll.PtreeEvent_ObjectClick">
      <xdr:nvCxnSpPr>
        <xdr:cNvPr id="3834" name="PTObj_DBranchDLine_1_958">
          <a:extLst>
            <a:ext uri="{FF2B5EF4-FFF2-40B4-BE49-F238E27FC236}">
              <a16:creationId xmlns:a16="http://schemas.microsoft.com/office/drawing/2014/main" id="{46F86F37-75B9-4213-8E67-BBC94B25E19A}"/>
            </a:ext>
          </a:extLst>
        </xdr:cNvPr>
        <xdr:cNvCxnSpPr/>
      </xdr:nvCxnSpPr>
      <xdr:spPr>
        <a:xfrm>
          <a:off x="18578320" y="350022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1934</xdr:row>
      <xdr:rowOff>21580</xdr:rowOff>
    </xdr:from>
    <xdr:to>
      <xdr:col>9</xdr:col>
      <xdr:colOff>1392681</xdr:colOff>
      <xdr:row>1934</xdr:row>
      <xdr:rowOff>21580</xdr:rowOff>
    </xdr:to>
    <xdr:cxnSp macro="_xll.PtreeEvent_ObjectClick">
      <xdr:nvCxnSpPr>
        <xdr:cNvPr id="3831" name="PTObj_DBranchHLine_1_957">
          <a:extLst>
            <a:ext uri="{FF2B5EF4-FFF2-40B4-BE49-F238E27FC236}">
              <a16:creationId xmlns:a16="http://schemas.microsoft.com/office/drawing/2014/main" id="{C329AD03-F2F8-40D7-B220-1C05066357B8}"/>
            </a:ext>
          </a:extLst>
        </xdr:cNvPr>
        <xdr:cNvCxnSpPr/>
      </xdr:nvCxnSpPr>
      <xdr:spPr>
        <a:xfrm>
          <a:off x="17306734" y="350027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1932</xdr:row>
      <xdr:rowOff>8880</xdr:rowOff>
    </xdr:from>
    <xdr:to>
      <xdr:col>9</xdr:col>
      <xdr:colOff>209359</xdr:colOff>
      <xdr:row>1934</xdr:row>
      <xdr:rowOff>21580</xdr:rowOff>
    </xdr:to>
    <xdr:cxnSp macro="_xll.PtreeEvent_ObjectClick">
      <xdr:nvCxnSpPr>
        <xdr:cNvPr id="3830" name="PTObj_DBranchDLine_1_957">
          <a:extLst>
            <a:ext uri="{FF2B5EF4-FFF2-40B4-BE49-F238E27FC236}">
              <a16:creationId xmlns:a16="http://schemas.microsoft.com/office/drawing/2014/main" id="{7E2F1E27-4B30-49E4-8203-C3A2A3A98FF4}"/>
            </a:ext>
          </a:extLst>
        </xdr:cNvPr>
        <xdr:cNvCxnSpPr/>
      </xdr:nvCxnSpPr>
      <xdr:spPr>
        <a:xfrm>
          <a:off x="17154334" y="349652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1932</xdr:row>
      <xdr:rowOff>17785</xdr:rowOff>
    </xdr:from>
    <xdr:to>
      <xdr:col>8</xdr:col>
      <xdr:colOff>1398397</xdr:colOff>
      <xdr:row>1932</xdr:row>
      <xdr:rowOff>17785</xdr:rowOff>
    </xdr:to>
    <xdr:cxnSp macro="_xll.PtreeEvent_ObjectClick">
      <xdr:nvCxnSpPr>
        <xdr:cNvPr id="3827" name="PTObj_DBranchHLine_1_956">
          <a:extLst>
            <a:ext uri="{FF2B5EF4-FFF2-40B4-BE49-F238E27FC236}">
              <a16:creationId xmlns:a16="http://schemas.microsoft.com/office/drawing/2014/main" id="{2EF6ECBE-2AFB-42C8-912B-4FA3117FDE46}"/>
            </a:ext>
          </a:extLst>
        </xdr:cNvPr>
        <xdr:cNvCxnSpPr/>
      </xdr:nvCxnSpPr>
      <xdr:spPr>
        <a:xfrm>
          <a:off x="15888463" y="349661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1930</xdr:row>
      <xdr:rowOff>4142</xdr:rowOff>
    </xdr:from>
    <xdr:to>
      <xdr:col>8</xdr:col>
      <xdr:colOff>219838</xdr:colOff>
      <xdr:row>1932</xdr:row>
      <xdr:rowOff>17785</xdr:rowOff>
    </xdr:to>
    <xdr:cxnSp macro="_xll.PtreeEvent_ObjectClick">
      <xdr:nvCxnSpPr>
        <xdr:cNvPr id="3826" name="PTObj_DBranchDLine_1_956">
          <a:extLst>
            <a:ext uri="{FF2B5EF4-FFF2-40B4-BE49-F238E27FC236}">
              <a16:creationId xmlns:a16="http://schemas.microsoft.com/office/drawing/2014/main" id="{7F4C37C7-E309-4D8A-9BDE-A18EBB466C41}"/>
            </a:ext>
          </a:extLst>
        </xdr:cNvPr>
        <xdr:cNvCxnSpPr/>
      </xdr:nvCxnSpPr>
      <xdr:spPr>
        <a:xfrm>
          <a:off x="15736063" y="3492858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1928</xdr:row>
      <xdr:rowOff>10170</xdr:rowOff>
    </xdr:from>
    <xdr:to>
      <xdr:col>11</xdr:col>
      <xdr:colOff>1386967</xdr:colOff>
      <xdr:row>1928</xdr:row>
      <xdr:rowOff>10170</xdr:rowOff>
    </xdr:to>
    <xdr:cxnSp macro="_xll.PtreeEvent_ObjectClick">
      <xdr:nvCxnSpPr>
        <xdr:cNvPr id="3823" name="PTObj_DBranchHLine_1_954">
          <a:extLst>
            <a:ext uri="{FF2B5EF4-FFF2-40B4-BE49-F238E27FC236}">
              <a16:creationId xmlns:a16="http://schemas.microsoft.com/office/drawing/2014/main" id="{DFAF3310-C850-4FB2-98D8-D7670E7E2AA7}"/>
            </a:ext>
          </a:extLst>
        </xdr:cNvPr>
        <xdr:cNvCxnSpPr/>
      </xdr:nvCxnSpPr>
      <xdr:spPr>
        <a:xfrm>
          <a:off x="20149945" y="348929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1925</xdr:row>
      <xdr:rowOff>178445</xdr:rowOff>
    </xdr:from>
    <xdr:to>
      <xdr:col>11</xdr:col>
      <xdr:colOff>195070</xdr:colOff>
      <xdr:row>1928</xdr:row>
      <xdr:rowOff>10170</xdr:rowOff>
    </xdr:to>
    <xdr:cxnSp macro="_xll.PtreeEvent_ObjectClick">
      <xdr:nvCxnSpPr>
        <xdr:cNvPr id="3822" name="PTObj_DBranchDLine_1_954">
          <a:extLst>
            <a:ext uri="{FF2B5EF4-FFF2-40B4-BE49-F238E27FC236}">
              <a16:creationId xmlns:a16="http://schemas.microsoft.com/office/drawing/2014/main" id="{3FA5A002-A1EC-4C80-A906-0BCF0F8BA913}"/>
            </a:ext>
          </a:extLst>
        </xdr:cNvPr>
        <xdr:cNvCxnSpPr/>
      </xdr:nvCxnSpPr>
      <xdr:spPr>
        <a:xfrm>
          <a:off x="19997545" y="348555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1926</xdr:row>
      <xdr:rowOff>6350</xdr:rowOff>
    </xdr:from>
    <xdr:to>
      <xdr:col>10</xdr:col>
      <xdr:colOff>1388870</xdr:colOff>
      <xdr:row>1926</xdr:row>
      <xdr:rowOff>6350</xdr:rowOff>
    </xdr:to>
    <xdr:cxnSp macro="_xll.PtreeEvent_ObjectClick">
      <xdr:nvCxnSpPr>
        <xdr:cNvPr id="3819" name="PTObj_DBranchHLine_1_953">
          <a:extLst>
            <a:ext uri="{FF2B5EF4-FFF2-40B4-BE49-F238E27FC236}">
              <a16:creationId xmlns:a16="http://schemas.microsoft.com/office/drawing/2014/main" id="{BC48C348-71E0-4D02-85B7-53586526FB38}"/>
            </a:ext>
          </a:extLst>
        </xdr:cNvPr>
        <xdr:cNvCxnSpPr/>
      </xdr:nvCxnSpPr>
      <xdr:spPr>
        <a:xfrm>
          <a:off x="18730720" y="348564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1924</xdr:row>
      <xdr:rowOff>1290</xdr:rowOff>
    </xdr:from>
    <xdr:to>
      <xdr:col>10</xdr:col>
      <xdr:colOff>204595</xdr:colOff>
      <xdr:row>1926</xdr:row>
      <xdr:rowOff>6350</xdr:rowOff>
    </xdr:to>
    <xdr:cxnSp macro="_xll.PtreeEvent_ObjectClick">
      <xdr:nvCxnSpPr>
        <xdr:cNvPr id="3818" name="PTObj_DBranchDLine_1_953">
          <a:extLst>
            <a:ext uri="{FF2B5EF4-FFF2-40B4-BE49-F238E27FC236}">
              <a16:creationId xmlns:a16="http://schemas.microsoft.com/office/drawing/2014/main" id="{988B02D8-DFA1-468C-BA22-B390D2946474}"/>
            </a:ext>
          </a:extLst>
        </xdr:cNvPr>
        <xdr:cNvCxnSpPr/>
      </xdr:nvCxnSpPr>
      <xdr:spPr>
        <a:xfrm>
          <a:off x="18578320" y="348197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1924</xdr:row>
      <xdr:rowOff>2530</xdr:rowOff>
    </xdr:from>
    <xdr:to>
      <xdr:col>9</xdr:col>
      <xdr:colOff>1392681</xdr:colOff>
      <xdr:row>1924</xdr:row>
      <xdr:rowOff>2530</xdr:rowOff>
    </xdr:to>
    <xdr:cxnSp macro="_xll.PtreeEvent_ObjectClick">
      <xdr:nvCxnSpPr>
        <xdr:cNvPr id="3815" name="PTObj_DBranchHLine_1_952">
          <a:extLst>
            <a:ext uri="{FF2B5EF4-FFF2-40B4-BE49-F238E27FC236}">
              <a16:creationId xmlns:a16="http://schemas.microsoft.com/office/drawing/2014/main" id="{4AD66D33-D96C-4160-9B77-F4E3D75F8DC9}"/>
            </a:ext>
          </a:extLst>
        </xdr:cNvPr>
        <xdr:cNvCxnSpPr/>
      </xdr:nvCxnSpPr>
      <xdr:spPr>
        <a:xfrm>
          <a:off x="17306734" y="348198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1921</xdr:row>
      <xdr:rowOff>178420</xdr:rowOff>
    </xdr:from>
    <xdr:to>
      <xdr:col>9</xdr:col>
      <xdr:colOff>209359</xdr:colOff>
      <xdr:row>1924</xdr:row>
      <xdr:rowOff>2530</xdr:rowOff>
    </xdr:to>
    <xdr:cxnSp macro="_xll.PtreeEvent_ObjectClick">
      <xdr:nvCxnSpPr>
        <xdr:cNvPr id="3814" name="PTObj_DBranchDLine_1_952">
          <a:extLst>
            <a:ext uri="{FF2B5EF4-FFF2-40B4-BE49-F238E27FC236}">
              <a16:creationId xmlns:a16="http://schemas.microsoft.com/office/drawing/2014/main" id="{7D784BF3-D0A1-4C78-8C3B-6F601B6E25C2}"/>
            </a:ext>
          </a:extLst>
        </xdr:cNvPr>
        <xdr:cNvCxnSpPr/>
      </xdr:nvCxnSpPr>
      <xdr:spPr>
        <a:xfrm>
          <a:off x="17154334" y="3478313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1921</xdr:row>
      <xdr:rowOff>179710</xdr:rowOff>
    </xdr:from>
    <xdr:to>
      <xdr:col>8</xdr:col>
      <xdr:colOff>1398397</xdr:colOff>
      <xdr:row>1921</xdr:row>
      <xdr:rowOff>179710</xdr:rowOff>
    </xdr:to>
    <xdr:cxnSp macro="_xll.PtreeEvent_ObjectClick">
      <xdr:nvCxnSpPr>
        <xdr:cNvPr id="3811" name="PTObj_DBranchHLine_1_951">
          <a:extLst>
            <a:ext uri="{FF2B5EF4-FFF2-40B4-BE49-F238E27FC236}">
              <a16:creationId xmlns:a16="http://schemas.microsoft.com/office/drawing/2014/main" id="{ED67BE4E-4655-4A5D-BBEE-1E59B664B2E0}"/>
            </a:ext>
          </a:extLst>
        </xdr:cNvPr>
        <xdr:cNvCxnSpPr/>
      </xdr:nvCxnSpPr>
      <xdr:spPr>
        <a:xfrm>
          <a:off x="15884652" y="347832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1921</xdr:row>
      <xdr:rowOff>179710</xdr:rowOff>
    </xdr:from>
    <xdr:to>
      <xdr:col>8</xdr:col>
      <xdr:colOff>216027</xdr:colOff>
      <xdr:row>1930</xdr:row>
      <xdr:rowOff>4142</xdr:rowOff>
    </xdr:to>
    <xdr:cxnSp macro="_xll.PtreeEvent_ObjectClick">
      <xdr:nvCxnSpPr>
        <xdr:cNvPr id="3810" name="PTObj_DBranchDLine_1_951">
          <a:extLst>
            <a:ext uri="{FF2B5EF4-FFF2-40B4-BE49-F238E27FC236}">
              <a16:creationId xmlns:a16="http://schemas.microsoft.com/office/drawing/2014/main" id="{F1F08886-7E52-4B7E-98BE-C3C01C11AC04}"/>
            </a:ext>
          </a:extLst>
        </xdr:cNvPr>
        <xdr:cNvCxnSpPr/>
      </xdr:nvCxnSpPr>
      <xdr:spPr>
        <a:xfrm flipV="1">
          <a:off x="15732252" y="3478326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1930</xdr:row>
      <xdr:rowOff>13965</xdr:rowOff>
    </xdr:from>
    <xdr:to>
      <xdr:col>7</xdr:col>
      <xdr:colOff>1402207</xdr:colOff>
      <xdr:row>1930</xdr:row>
      <xdr:rowOff>13965</xdr:rowOff>
    </xdr:to>
    <xdr:cxnSp macro="_xll.PtreeEvent_ObjectClick">
      <xdr:nvCxnSpPr>
        <xdr:cNvPr id="3807" name="PTObj_DBranchHLine_1_955">
          <a:extLst>
            <a:ext uri="{FF2B5EF4-FFF2-40B4-BE49-F238E27FC236}">
              <a16:creationId xmlns:a16="http://schemas.microsoft.com/office/drawing/2014/main" id="{A5D8C377-B88B-49E9-B41D-B563965F948F}"/>
            </a:ext>
          </a:extLst>
        </xdr:cNvPr>
        <xdr:cNvCxnSpPr/>
      </xdr:nvCxnSpPr>
      <xdr:spPr>
        <a:xfrm>
          <a:off x="14460665" y="349295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1919</xdr:row>
      <xdr:rowOff>174625</xdr:rowOff>
    </xdr:from>
    <xdr:to>
      <xdr:col>7</xdr:col>
      <xdr:colOff>220790</xdr:colOff>
      <xdr:row>1930</xdr:row>
      <xdr:rowOff>13965</xdr:rowOff>
    </xdr:to>
    <xdr:cxnSp macro="_xll.PtreeEvent_ObjectClick">
      <xdr:nvCxnSpPr>
        <xdr:cNvPr id="3806" name="PTObj_DBranchDLine_1_955">
          <a:extLst>
            <a:ext uri="{FF2B5EF4-FFF2-40B4-BE49-F238E27FC236}">
              <a16:creationId xmlns:a16="http://schemas.microsoft.com/office/drawing/2014/main" id="{8B2B7059-B6EE-401D-8243-AD559A497487}"/>
            </a:ext>
          </a:extLst>
        </xdr:cNvPr>
        <xdr:cNvCxnSpPr/>
      </xdr:nvCxnSpPr>
      <xdr:spPr>
        <a:xfrm>
          <a:off x="14308265" y="347465650"/>
          <a:ext cx="152400" cy="18300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1917</xdr:row>
      <xdr:rowOff>172095</xdr:rowOff>
    </xdr:from>
    <xdr:to>
      <xdr:col>11</xdr:col>
      <xdr:colOff>1386015</xdr:colOff>
      <xdr:row>1917</xdr:row>
      <xdr:rowOff>172095</xdr:rowOff>
    </xdr:to>
    <xdr:cxnSp macro="_xll.PtreeEvent_ObjectClick">
      <xdr:nvCxnSpPr>
        <xdr:cNvPr id="3803" name="PTObj_DBranchHLine_1_949">
          <a:extLst>
            <a:ext uri="{FF2B5EF4-FFF2-40B4-BE49-F238E27FC236}">
              <a16:creationId xmlns:a16="http://schemas.microsoft.com/office/drawing/2014/main" id="{D195A6FB-7CAF-446D-A72E-3698EAB1F74F}"/>
            </a:ext>
          </a:extLst>
        </xdr:cNvPr>
        <xdr:cNvCxnSpPr/>
      </xdr:nvCxnSpPr>
      <xdr:spPr>
        <a:xfrm>
          <a:off x="20149945" y="347101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1915</xdr:row>
      <xdr:rowOff>163215</xdr:rowOff>
    </xdr:from>
    <xdr:to>
      <xdr:col>11</xdr:col>
      <xdr:colOff>195070</xdr:colOff>
      <xdr:row>1917</xdr:row>
      <xdr:rowOff>172095</xdr:rowOff>
    </xdr:to>
    <xdr:cxnSp macro="_xll.PtreeEvent_ObjectClick">
      <xdr:nvCxnSpPr>
        <xdr:cNvPr id="3802" name="PTObj_DBranchDLine_1_949">
          <a:extLst>
            <a:ext uri="{FF2B5EF4-FFF2-40B4-BE49-F238E27FC236}">
              <a16:creationId xmlns:a16="http://schemas.microsoft.com/office/drawing/2014/main" id="{66E0220E-0717-44B7-A2B7-DACA4DE3B36D}"/>
            </a:ext>
          </a:extLst>
        </xdr:cNvPr>
        <xdr:cNvCxnSpPr/>
      </xdr:nvCxnSpPr>
      <xdr:spPr>
        <a:xfrm>
          <a:off x="19997545" y="346730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1915</xdr:row>
      <xdr:rowOff>168275</xdr:rowOff>
    </xdr:from>
    <xdr:to>
      <xdr:col>10</xdr:col>
      <xdr:colOff>1388870</xdr:colOff>
      <xdr:row>1915</xdr:row>
      <xdr:rowOff>168275</xdr:rowOff>
    </xdr:to>
    <xdr:cxnSp macro="_xll.PtreeEvent_ObjectClick">
      <xdr:nvCxnSpPr>
        <xdr:cNvPr id="3799" name="PTObj_DBranchHLine_1_948">
          <a:extLst>
            <a:ext uri="{FF2B5EF4-FFF2-40B4-BE49-F238E27FC236}">
              <a16:creationId xmlns:a16="http://schemas.microsoft.com/office/drawing/2014/main" id="{6327EACC-2DF7-400E-A31A-D2B8C6608831}"/>
            </a:ext>
          </a:extLst>
        </xdr:cNvPr>
        <xdr:cNvCxnSpPr/>
      </xdr:nvCxnSpPr>
      <xdr:spPr>
        <a:xfrm>
          <a:off x="18730720" y="346735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1913</xdr:row>
      <xdr:rowOff>159395</xdr:rowOff>
    </xdr:from>
    <xdr:to>
      <xdr:col>10</xdr:col>
      <xdr:colOff>204595</xdr:colOff>
      <xdr:row>1915</xdr:row>
      <xdr:rowOff>168275</xdr:rowOff>
    </xdr:to>
    <xdr:cxnSp macro="_xll.PtreeEvent_ObjectClick">
      <xdr:nvCxnSpPr>
        <xdr:cNvPr id="3798" name="PTObj_DBranchDLine_1_948">
          <a:extLst>
            <a:ext uri="{FF2B5EF4-FFF2-40B4-BE49-F238E27FC236}">
              <a16:creationId xmlns:a16="http://schemas.microsoft.com/office/drawing/2014/main" id="{36271E4A-B20B-4982-8A7B-5E11476DF676}"/>
            </a:ext>
          </a:extLst>
        </xdr:cNvPr>
        <xdr:cNvCxnSpPr/>
      </xdr:nvCxnSpPr>
      <xdr:spPr>
        <a:xfrm>
          <a:off x="18578320" y="346364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1913</xdr:row>
      <xdr:rowOff>164455</xdr:rowOff>
    </xdr:from>
    <xdr:to>
      <xdr:col>9</xdr:col>
      <xdr:colOff>1392681</xdr:colOff>
      <xdr:row>1913</xdr:row>
      <xdr:rowOff>164455</xdr:rowOff>
    </xdr:to>
    <xdr:cxnSp macro="_xll.PtreeEvent_ObjectClick">
      <xdr:nvCxnSpPr>
        <xdr:cNvPr id="3795" name="PTObj_DBranchHLine_1_947">
          <a:extLst>
            <a:ext uri="{FF2B5EF4-FFF2-40B4-BE49-F238E27FC236}">
              <a16:creationId xmlns:a16="http://schemas.microsoft.com/office/drawing/2014/main" id="{82F686AD-1ADB-452A-AEA1-599F31813E84}"/>
            </a:ext>
          </a:extLst>
        </xdr:cNvPr>
        <xdr:cNvCxnSpPr/>
      </xdr:nvCxnSpPr>
      <xdr:spPr>
        <a:xfrm>
          <a:off x="17306734" y="346369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1911</xdr:row>
      <xdr:rowOff>151755</xdr:rowOff>
    </xdr:from>
    <xdr:to>
      <xdr:col>9</xdr:col>
      <xdr:colOff>209359</xdr:colOff>
      <xdr:row>1913</xdr:row>
      <xdr:rowOff>164455</xdr:rowOff>
    </xdr:to>
    <xdr:cxnSp macro="_xll.PtreeEvent_ObjectClick">
      <xdr:nvCxnSpPr>
        <xdr:cNvPr id="3794" name="PTObj_DBranchDLine_1_947">
          <a:extLst>
            <a:ext uri="{FF2B5EF4-FFF2-40B4-BE49-F238E27FC236}">
              <a16:creationId xmlns:a16="http://schemas.microsoft.com/office/drawing/2014/main" id="{1DE4716A-9655-43F2-B694-3FCA5F2F410C}"/>
            </a:ext>
          </a:extLst>
        </xdr:cNvPr>
        <xdr:cNvCxnSpPr/>
      </xdr:nvCxnSpPr>
      <xdr:spPr>
        <a:xfrm>
          <a:off x="17154334" y="345994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1911</xdr:row>
      <xdr:rowOff>160660</xdr:rowOff>
    </xdr:from>
    <xdr:to>
      <xdr:col>8</xdr:col>
      <xdr:colOff>1398397</xdr:colOff>
      <xdr:row>1911</xdr:row>
      <xdr:rowOff>160660</xdr:rowOff>
    </xdr:to>
    <xdr:cxnSp macro="_xll.PtreeEvent_ObjectClick">
      <xdr:nvCxnSpPr>
        <xdr:cNvPr id="3791" name="PTObj_DBranchHLine_1_946">
          <a:extLst>
            <a:ext uri="{FF2B5EF4-FFF2-40B4-BE49-F238E27FC236}">
              <a16:creationId xmlns:a16="http://schemas.microsoft.com/office/drawing/2014/main" id="{77B260A8-C676-4C42-BE26-EE0F52AB7E6F}"/>
            </a:ext>
          </a:extLst>
        </xdr:cNvPr>
        <xdr:cNvCxnSpPr/>
      </xdr:nvCxnSpPr>
      <xdr:spPr>
        <a:xfrm>
          <a:off x="15888463" y="346003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1909</xdr:row>
      <xdr:rowOff>147017</xdr:rowOff>
    </xdr:from>
    <xdr:to>
      <xdr:col>8</xdr:col>
      <xdr:colOff>219838</xdr:colOff>
      <xdr:row>1911</xdr:row>
      <xdr:rowOff>160660</xdr:rowOff>
    </xdr:to>
    <xdr:cxnSp macro="_xll.PtreeEvent_ObjectClick">
      <xdr:nvCxnSpPr>
        <xdr:cNvPr id="3790" name="PTObj_DBranchDLine_1_946">
          <a:extLst>
            <a:ext uri="{FF2B5EF4-FFF2-40B4-BE49-F238E27FC236}">
              <a16:creationId xmlns:a16="http://schemas.microsoft.com/office/drawing/2014/main" id="{B81CEAA4-E7B3-4FBB-A21C-E16305A600A7}"/>
            </a:ext>
          </a:extLst>
        </xdr:cNvPr>
        <xdr:cNvCxnSpPr/>
      </xdr:nvCxnSpPr>
      <xdr:spPr>
        <a:xfrm>
          <a:off x="15736063" y="3456282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1907</xdr:row>
      <xdr:rowOff>153045</xdr:rowOff>
    </xdr:from>
    <xdr:to>
      <xdr:col>11</xdr:col>
      <xdr:colOff>1386967</xdr:colOff>
      <xdr:row>1907</xdr:row>
      <xdr:rowOff>153045</xdr:rowOff>
    </xdr:to>
    <xdr:cxnSp macro="_xll.PtreeEvent_ObjectClick">
      <xdr:nvCxnSpPr>
        <xdr:cNvPr id="3787" name="PTObj_DBranchHLine_1_944">
          <a:extLst>
            <a:ext uri="{FF2B5EF4-FFF2-40B4-BE49-F238E27FC236}">
              <a16:creationId xmlns:a16="http://schemas.microsoft.com/office/drawing/2014/main" id="{1AB678AF-9386-40FB-B1FB-A5D6B3CEA7D8}"/>
            </a:ext>
          </a:extLst>
        </xdr:cNvPr>
        <xdr:cNvCxnSpPr/>
      </xdr:nvCxnSpPr>
      <xdr:spPr>
        <a:xfrm>
          <a:off x="20149945" y="345272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1905</xdr:row>
      <xdr:rowOff>140345</xdr:rowOff>
    </xdr:from>
    <xdr:to>
      <xdr:col>11</xdr:col>
      <xdr:colOff>195070</xdr:colOff>
      <xdr:row>1907</xdr:row>
      <xdr:rowOff>153045</xdr:rowOff>
    </xdr:to>
    <xdr:cxnSp macro="_xll.PtreeEvent_ObjectClick">
      <xdr:nvCxnSpPr>
        <xdr:cNvPr id="3786" name="PTObj_DBranchDLine_1_944">
          <a:extLst>
            <a:ext uri="{FF2B5EF4-FFF2-40B4-BE49-F238E27FC236}">
              <a16:creationId xmlns:a16="http://schemas.microsoft.com/office/drawing/2014/main" id="{33E7EE30-981D-4A8E-A764-5C2BE4CAA57B}"/>
            </a:ext>
          </a:extLst>
        </xdr:cNvPr>
        <xdr:cNvCxnSpPr/>
      </xdr:nvCxnSpPr>
      <xdr:spPr>
        <a:xfrm>
          <a:off x="19997545" y="344897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1905</xdr:row>
      <xdr:rowOff>149225</xdr:rowOff>
    </xdr:from>
    <xdr:to>
      <xdr:col>10</xdr:col>
      <xdr:colOff>1388870</xdr:colOff>
      <xdr:row>1905</xdr:row>
      <xdr:rowOff>149225</xdr:rowOff>
    </xdr:to>
    <xdr:cxnSp macro="_xll.PtreeEvent_ObjectClick">
      <xdr:nvCxnSpPr>
        <xdr:cNvPr id="3783" name="PTObj_DBranchHLine_1_943">
          <a:extLst>
            <a:ext uri="{FF2B5EF4-FFF2-40B4-BE49-F238E27FC236}">
              <a16:creationId xmlns:a16="http://schemas.microsoft.com/office/drawing/2014/main" id="{0187663B-2FF7-4895-88E8-7CCA74321DB6}"/>
            </a:ext>
          </a:extLst>
        </xdr:cNvPr>
        <xdr:cNvCxnSpPr/>
      </xdr:nvCxnSpPr>
      <xdr:spPr>
        <a:xfrm>
          <a:off x="18730720" y="344906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1903</xdr:row>
      <xdr:rowOff>144165</xdr:rowOff>
    </xdr:from>
    <xdr:to>
      <xdr:col>10</xdr:col>
      <xdr:colOff>204595</xdr:colOff>
      <xdr:row>1905</xdr:row>
      <xdr:rowOff>149225</xdr:rowOff>
    </xdr:to>
    <xdr:cxnSp macro="_xll.PtreeEvent_ObjectClick">
      <xdr:nvCxnSpPr>
        <xdr:cNvPr id="3782" name="PTObj_DBranchDLine_1_943">
          <a:extLst>
            <a:ext uri="{FF2B5EF4-FFF2-40B4-BE49-F238E27FC236}">
              <a16:creationId xmlns:a16="http://schemas.microsoft.com/office/drawing/2014/main" id="{9A86C036-FBE3-498E-B887-8191EC6885C2}"/>
            </a:ext>
          </a:extLst>
        </xdr:cNvPr>
        <xdr:cNvCxnSpPr/>
      </xdr:nvCxnSpPr>
      <xdr:spPr>
        <a:xfrm>
          <a:off x="18578320" y="344539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1903</xdr:row>
      <xdr:rowOff>145405</xdr:rowOff>
    </xdr:from>
    <xdr:to>
      <xdr:col>9</xdr:col>
      <xdr:colOff>1392681</xdr:colOff>
      <xdr:row>1903</xdr:row>
      <xdr:rowOff>145405</xdr:rowOff>
    </xdr:to>
    <xdr:cxnSp macro="_xll.PtreeEvent_ObjectClick">
      <xdr:nvCxnSpPr>
        <xdr:cNvPr id="3779" name="PTObj_DBranchHLine_1_942">
          <a:extLst>
            <a:ext uri="{FF2B5EF4-FFF2-40B4-BE49-F238E27FC236}">
              <a16:creationId xmlns:a16="http://schemas.microsoft.com/office/drawing/2014/main" id="{D8550632-4BF3-480B-97A6-8D82D77732C6}"/>
            </a:ext>
          </a:extLst>
        </xdr:cNvPr>
        <xdr:cNvCxnSpPr/>
      </xdr:nvCxnSpPr>
      <xdr:spPr>
        <a:xfrm>
          <a:off x="17306734" y="344540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1901</xdr:row>
      <xdr:rowOff>140320</xdr:rowOff>
    </xdr:from>
    <xdr:to>
      <xdr:col>9</xdr:col>
      <xdr:colOff>209359</xdr:colOff>
      <xdr:row>1903</xdr:row>
      <xdr:rowOff>145405</xdr:rowOff>
    </xdr:to>
    <xdr:cxnSp macro="_xll.PtreeEvent_ObjectClick">
      <xdr:nvCxnSpPr>
        <xdr:cNvPr id="3778" name="PTObj_DBranchDLine_1_942">
          <a:extLst>
            <a:ext uri="{FF2B5EF4-FFF2-40B4-BE49-F238E27FC236}">
              <a16:creationId xmlns:a16="http://schemas.microsoft.com/office/drawing/2014/main" id="{D88E492B-4D6A-47BE-83BE-A8126936DAAB}"/>
            </a:ext>
          </a:extLst>
        </xdr:cNvPr>
        <xdr:cNvCxnSpPr/>
      </xdr:nvCxnSpPr>
      <xdr:spPr>
        <a:xfrm>
          <a:off x="17154334" y="3441737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1901</xdr:row>
      <xdr:rowOff>141610</xdr:rowOff>
    </xdr:from>
    <xdr:to>
      <xdr:col>8</xdr:col>
      <xdr:colOff>1398397</xdr:colOff>
      <xdr:row>1901</xdr:row>
      <xdr:rowOff>141610</xdr:rowOff>
    </xdr:to>
    <xdr:cxnSp macro="_xll.PtreeEvent_ObjectClick">
      <xdr:nvCxnSpPr>
        <xdr:cNvPr id="3775" name="PTObj_DBranchHLine_1_941">
          <a:extLst>
            <a:ext uri="{FF2B5EF4-FFF2-40B4-BE49-F238E27FC236}">
              <a16:creationId xmlns:a16="http://schemas.microsoft.com/office/drawing/2014/main" id="{EF30308B-0E9E-45B3-8FE6-FF655FE111D0}"/>
            </a:ext>
          </a:extLst>
        </xdr:cNvPr>
        <xdr:cNvCxnSpPr/>
      </xdr:nvCxnSpPr>
      <xdr:spPr>
        <a:xfrm>
          <a:off x="15884652" y="344175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1901</xdr:row>
      <xdr:rowOff>141610</xdr:rowOff>
    </xdr:from>
    <xdr:to>
      <xdr:col>8</xdr:col>
      <xdr:colOff>216027</xdr:colOff>
      <xdr:row>1909</xdr:row>
      <xdr:rowOff>147017</xdr:rowOff>
    </xdr:to>
    <xdr:cxnSp macro="_xll.PtreeEvent_ObjectClick">
      <xdr:nvCxnSpPr>
        <xdr:cNvPr id="3774" name="PTObj_DBranchDLine_1_941">
          <a:extLst>
            <a:ext uri="{FF2B5EF4-FFF2-40B4-BE49-F238E27FC236}">
              <a16:creationId xmlns:a16="http://schemas.microsoft.com/office/drawing/2014/main" id="{768D28C2-C154-48E8-B7D1-64064A3A0038}"/>
            </a:ext>
          </a:extLst>
        </xdr:cNvPr>
        <xdr:cNvCxnSpPr/>
      </xdr:nvCxnSpPr>
      <xdr:spPr>
        <a:xfrm flipV="1">
          <a:off x="15732252" y="3441750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1909</xdr:row>
      <xdr:rowOff>156840</xdr:rowOff>
    </xdr:from>
    <xdr:to>
      <xdr:col>7</xdr:col>
      <xdr:colOff>1402207</xdr:colOff>
      <xdr:row>1909</xdr:row>
      <xdr:rowOff>156840</xdr:rowOff>
    </xdr:to>
    <xdr:cxnSp macro="_xll.PtreeEvent_ObjectClick">
      <xdr:nvCxnSpPr>
        <xdr:cNvPr id="3771" name="PTObj_DBranchHLine_1_945">
          <a:extLst>
            <a:ext uri="{FF2B5EF4-FFF2-40B4-BE49-F238E27FC236}">
              <a16:creationId xmlns:a16="http://schemas.microsoft.com/office/drawing/2014/main" id="{44979C1A-7A35-49CF-BFD9-7974779E10BB}"/>
            </a:ext>
          </a:extLst>
        </xdr:cNvPr>
        <xdr:cNvCxnSpPr/>
      </xdr:nvCxnSpPr>
      <xdr:spPr>
        <a:xfrm>
          <a:off x="14462570" y="3456381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1909</xdr:row>
      <xdr:rowOff>156840</xdr:rowOff>
    </xdr:from>
    <xdr:to>
      <xdr:col>7</xdr:col>
      <xdr:colOff>222695</xdr:colOff>
      <xdr:row>1919</xdr:row>
      <xdr:rowOff>176510</xdr:rowOff>
    </xdr:to>
    <xdr:cxnSp macro="_xll.PtreeEvent_ObjectClick">
      <xdr:nvCxnSpPr>
        <xdr:cNvPr id="3770" name="PTObj_DBranchDLine_1_945">
          <a:extLst>
            <a:ext uri="{FF2B5EF4-FFF2-40B4-BE49-F238E27FC236}">
              <a16:creationId xmlns:a16="http://schemas.microsoft.com/office/drawing/2014/main" id="{FA0B7BFE-4D8D-46C3-9F89-482932AA0BE1}"/>
            </a:ext>
          </a:extLst>
        </xdr:cNvPr>
        <xdr:cNvCxnSpPr/>
      </xdr:nvCxnSpPr>
      <xdr:spPr>
        <a:xfrm flipV="1">
          <a:off x="14310170" y="345638115"/>
          <a:ext cx="152400" cy="1829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1919</xdr:row>
      <xdr:rowOff>175890</xdr:rowOff>
    </xdr:from>
    <xdr:to>
      <xdr:col>6</xdr:col>
      <xdr:colOff>1407922</xdr:colOff>
      <xdr:row>1919</xdr:row>
      <xdr:rowOff>175890</xdr:rowOff>
    </xdr:to>
    <xdr:cxnSp macro="_xll.PtreeEvent_ObjectClick">
      <xdr:nvCxnSpPr>
        <xdr:cNvPr id="3767" name="PTObj_DBranchHLine_1_950">
          <a:extLst>
            <a:ext uri="{FF2B5EF4-FFF2-40B4-BE49-F238E27FC236}">
              <a16:creationId xmlns:a16="http://schemas.microsoft.com/office/drawing/2014/main" id="{F77A86F6-FAC0-4314-A8BB-93F56BAE5A26}"/>
            </a:ext>
          </a:extLst>
        </xdr:cNvPr>
        <xdr:cNvCxnSpPr/>
      </xdr:nvCxnSpPr>
      <xdr:spPr>
        <a:xfrm>
          <a:off x="13036677" y="3474669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1899</xdr:row>
      <xdr:rowOff>136525</xdr:rowOff>
    </xdr:from>
    <xdr:to>
      <xdr:col>6</xdr:col>
      <xdr:colOff>225552</xdr:colOff>
      <xdr:row>1919</xdr:row>
      <xdr:rowOff>175890</xdr:rowOff>
    </xdr:to>
    <xdr:cxnSp macro="_xll.PtreeEvent_ObjectClick">
      <xdr:nvCxnSpPr>
        <xdr:cNvPr id="3766" name="PTObj_DBranchDLine_1_950">
          <a:extLst>
            <a:ext uri="{FF2B5EF4-FFF2-40B4-BE49-F238E27FC236}">
              <a16:creationId xmlns:a16="http://schemas.microsoft.com/office/drawing/2014/main" id="{EA0856E6-FD46-4FDC-A610-A268136F50CE}"/>
            </a:ext>
          </a:extLst>
        </xdr:cNvPr>
        <xdr:cNvCxnSpPr/>
      </xdr:nvCxnSpPr>
      <xdr:spPr>
        <a:xfrm>
          <a:off x="12884276" y="343808050"/>
          <a:ext cx="152401" cy="36588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1897</xdr:row>
      <xdr:rowOff>133995</xdr:rowOff>
    </xdr:from>
    <xdr:to>
      <xdr:col>11</xdr:col>
      <xdr:colOff>1386015</xdr:colOff>
      <xdr:row>1897</xdr:row>
      <xdr:rowOff>133995</xdr:rowOff>
    </xdr:to>
    <xdr:cxnSp macro="_xll.PtreeEvent_ObjectClick">
      <xdr:nvCxnSpPr>
        <xdr:cNvPr id="3763" name="PTObj_DBranchHLine_1_939">
          <a:extLst>
            <a:ext uri="{FF2B5EF4-FFF2-40B4-BE49-F238E27FC236}">
              <a16:creationId xmlns:a16="http://schemas.microsoft.com/office/drawing/2014/main" id="{041B2B2E-25FF-4755-9CDA-7F7848D9B22C}"/>
            </a:ext>
          </a:extLst>
        </xdr:cNvPr>
        <xdr:cNvCxnSpPr/>
      </xdr:nvCxnSpPr>
      <xdr:spPr>
        <a:xfrm>
          <a:off x="20149945" y="343443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1895</xdr:row>
      <xdr:rowOff>125115</xdr:rowOff>
    </xdr:from>
    <xdr:to>
      <xdr:col>11</xdr:col>
      <xdr:colOff>195070</xdr:colOff>
      <xdr:row>1897</xdr:row>
      <xdr:rowOff>133995</xdr:rowOff>
    </xdr:to>
    <xdr:cxnSp macro="_xll.PtreeEvent_ObjectClick">
      <xdr:nvCxnSpPr>
        <xdr:cNvPr id="3762" name="PTObj_DBranchDLine_1_939">
          <a:extLst>
            <a:ext uri="{FF2B5EF4-FFF2-40B4-BE49-F238E27FC236}">
              <a16:creationId xmlns:a16="http://schemas.microsoft.com/office/drawing/2014/main" id="{A5497D72-8612-4F8B-92BC-356928D32D42}"/>
            </a:ext>
          </a:extLst>
        </xdr:cNvPr>
        <xdr:cNvCxnSpPr/>
      </xdr:nvCxnSpPr>
      <xdr:spPr>
        <a:xfrm>
          <a:off x="19997545" y="343072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1895</xdr:row>
      <xdr:rowOff>130175</xdr:rowOff>
    </xdr:from>
    <xdr:to>
      <xdr:col>10</xdr:col>
      <xdr:colOff>1388870</xdr:colOff>
      <xdr:row>1895</xdr:row>
      <xdr:rowOff>130175</xdr:rowOff>
    </xdr:to>
    <xdr:cxnSp macro="_xll.PtreeEvent_ObjectClick">
      <xdr:nvCxnSpPr>
        <xdr:cNvPr id="3759" name="PTObj_DBranchHLine_1_938">
          <a:extLst>
            <a:ext uri="{FF2B5EF4-FFF2-40B4-BE49-F238E27FC236}">
              <a16:creationId xmlns:a16="http://schemas.microsoft.com/office/drawing/2014/main" id="{6A64EACA-4B73-412B-B60E-E2F2CBC82DC5}"/>
            </a:ext>
          </a:extLst>
        </xdr:cNvPr>
        <xdr:cNvCxnSpPr/>
      </xdr:nvCxnSpPr>
      <xdr:spPr>
        <a:xfrm>
          <a:off x="18730720" y="343077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1893</xdr:row>
      <xdr:rowOff>121295</xdr:rowOff>
    </xdr:from>
    <xdr:to>
      <xdr:col>10</xdr:col>
      <xdr:colOff>204595</xdr:colOff>
      <xdr:row>1895</xdr:row>
      <xdr:rowOff>130175</xdr:rowOff>
    </xdr:to>
    <xdr:cxnSp macro="_xll.PtreeEvent_ObjectClick">
      <xdr:nvCxnSpPr>
        <xdr:cNvPr id="3758" name="PTObj_DBranchDLine_1_938">
          <a:extLst>
            <a:ext uri="{FF2B5EF4-FFF2-40B4-BE49-F238E27FC236}">
              <a16:creationId xmlns:a16="http://schemas.microsoft.com/office/drawing/2014/main" id="{E0B2D040-73EC-4DC3-AA0A-4B610E599F9B}"/>
            </a:ext>
          </a:extLst>
        </xdr:cNvPr>
        <xdr:cNvCxnSpPr/>
      </xdr:nvCxnSpPr>
      <xdr:spPr>
        <a:xfrm>
          <a:off x="18578320" y="342706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1893</xdr:row>
      <xdr:rowOff>126355</xdr:rowOff>
    </xdr:from>
    <xdr:to>
      <xdr:col>9</xdr:col>
      <xdr:colOff>1392681</xdr:colOff>
      <xdr:row>1893</xdr:row>
      <xdr:rowOff>126355</xdr:rowOff>
    </xdr:to>
    <xdr:cxnSp macro="_xll.PtreeEvent_ObjectClick">
      <xdr:nvCxnSpPr>
        <xdr:cNvPr id="3755" name="PTObj_DBranchHLine_1_937">
          <a:extLst>
            <a:ext uri="{FF2B5EF4-FFF2-40B4-BE49-F238E27FC236}">
              <a16:creationId xmlns:a16="http://schemas.microsoft.com/office/drawing/2014/main" id="{731BCC29-D549-42ED-87F1-15138AECE341}"/>
            </a:ext>
          </a:extLst>
        </xdr:cNvPr>
        <xdr:cNvCxnSpPr/>
      </xdr:nvCxnSpPr>
      <xdr:spPr>
        <a:xfrm>
          <a:off x="17306734" y="342712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1891</xdr:row>
      <xdr:rowOff>113655</xdr:rowOff>
    </xdr:from>
    <xdr:to>
      <xdr:col>9</xdr:col>
      <xdr:colOff>209359</xdr:colOff>
      <xdr:row>1893</xdr:row>
      <xdr:rowOff>126355</xdr:rowOff>
    </xdr:to>
    <xdr:cxnSp macro="_xll.PtreeEvent_ObjectClick">
      <xdr:nvCxnSpPr>
        <xdr:cNvPr id="3754" name="PTObj_DBranchDLine_1_937">
          <a:extLst>
            <a:ext uri="{FF2B5EF4-FFF2-40B4-BE49-F238E27FC236}">
              <a16:creationId xmlns:a16="http://schemas.microsoft.com/office/drawing/2014/main" id="{87B4166A-C408-42D9-A7D7-3BB3741179B1}"/>
            </a:ext>
          </a:extLst>
        </xdr:cNvPr>
        <xdr:cNvCxnSpPr/>
      </xdr:nvCxnSpPr>
      <xdr:spPr>
        <a:xfrm>
          <a:off x="17154334" y="342337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1891</xdr:row>
      <xdr:rowOff>122560</xdr:rowOff>
    </xdr:from>
    <xdr:to>
      <xdr:col>8</xdr:col>
      <xdr:colOff>1398397</xdr:colOff>
      <xdr:row>1891</xdr:row>
      <xdr:rowOff>122560</xdr:rowOff>
    </xdr:to>
    <xdr:cxnSp macro="_xll.PtreeEvent_ObjectClick">
      <xdr:nvCxnSpPr>
        <xdr:cNvPr id="3751" name="PTObj_DBranchHLine_1_936">
          <a:extLst>
            <a:ext uri="{FF2B5EF4-FFF2-40B4-BE49-F238E27FC236}">
              <a16:creationId xmlns:a16="http://schemas.microsoft.com/office/drawing/2014/main" id="{E2927CB9-3899-411F-AB72-321D63721506}"/>
            </a:ext>
          </a:extLst>
        </xdr:cNvPr>
        <xdr:cNvCxnSpPr/>
      </xdr:nvCxnSpPr>
      <xdr:spPr>
        <a:xfrm>
          <a:off x="15888463" y="342346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1889</xdr:row>
      <xdr:rowOff>108917</xdr:rowOff>
    </xdr:from>
    <xdr:to>
      <xdr:col>8</xdr:col>
      <xdr:colOff>219838</xdr:colOff>
      <xdr:row>1891</xdr:row>
      <xdr:rowOff>122560</xdr:rowOff>
    </xdr:to>
    <xdr:cxnSp macro="_xll.PtreeEvent_ObjectClick">
      <xdr:nvCxnSpPr>
        <xdr:cNvPr id="3750" name="PTObj_DBranchDLine_1_936">
          <a:extLst>
            <a:ext uri="{FF2B5EF4-FFF2-40B4-BE49-F238E27FC236}">
              <a16:creationId xmlns:a16="http://schemas.microsoft.com/office/drawing/2014/main" id="{AFA95E7D-CF40-4D12-9ED4-95C8E989BA58}"/>
            </a:ext>
          </a:extLst>
        </xdr:cNvPr>
        <xdr:cNvCxnSpPr/>
      </xdr:nvCxnSpPr>
      <xdr:spPr>
        <a:xfrm>
          <a:off x="15736063" y="3419706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1887</xdr:row>
      <xdr:rowOff>114945</xdr:rowOff>
    </xdr:from>
    <xdr:to>
      <xdr:col>11</xdr:col>
      <xdr:colOff>1386967</xdr:colOff>
      <xdr:row>1887</xdr:row>
      <xdr:rowOff>114945</xdr:rowOff>
    </xdr:to>
    <xdr:cxnSp macro="_xll.PtreeEvent_ObjectClick">
      <xdr:nvCxnSpPr>
        <xdr:cNvPr id="3747" name="PTObj_DBranchHLine_1_934">
          <a:extLst>
            <a:ext uri="{FF2B5EF4-FFF2-40B4-BE49-F238E27FC236}">
              <a16:creationId xmlns:a16="http://schemas.microsoft.com/office/drawing/2014/main" id="{B3605D5C-F523-44E5-85D4-74BA48063151}"/>
            </a:ext>
          </a:extLst>
        </xdr:cNvPr>
        <xdr:cNvCxnSpPr/>
      </xdr:nvCxnSpPr>
      <xdr:spPr>
        <a:xfrm>
          <a:off x="20149945" y="341614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1885</xdr:row>
      <xdr:rowOff>102245</xdr:rowOff>
    </xdr:from>
    <xdr:to>
      <xdr:col>11</xdr:col>
      <xdr:colOff>195070</xdr:colOff>
      <xdr:row>1887</xdr:row>
      <xdr:rowOff>114945</xdr:rowOff>
    </xdr:to>
    <xdr:cxnSp macro="_xll.PtreeEvent_ObjectClick">
      <xdr:nvCxnSpPr>
        <xdr:cNvPr id="3746" name="PTObj_DBranchDLine_1_934">
          <a:extLst>
            <a:ext uri="{FF2B5EF4-FFF2-40B4-BE49-F238E27FC236}">
              <a16:creationId xmlns:a16="http://schemas.microsoft.com/office/drawing/2014/main" id="{AE2389E2-6E98-4AF1-BD5C-265D94BA47F7}"/>
            </a:ext>
          </a:extLst>
        </xdr:cNvPr>
        <xdr:cNvCxnSpPr/>
      </xdr:nvCxnSpPr>
      <xdr:spPr>
        <a:xfrm>
          <a:off x="19997545" y="341240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1885</xdr:row>
      <xdr:rowOff>111125</xdr:rowOff>
    </xdr:from>
    <xdr:to>
      <xdr:col>10</xdr:col>
      <xdr:colOff>1388870</xdr:colOff>
      <xdr:row>1885</xdr:row>
      <xdr:rowOff>111125</xdr:rowOff>
    </xdr:to>
    <xdr:cxnSp macro="_xll.PtreeEvent_ObjectClick">
      <xdr:nvCxnSpPr>
        <xdr:cNvPr id="3743" name="PTObj_DBranchHLine_1_933">
          <a:extLst>
            <a:ext uri="{FF2B5EF4-FFF2-40B4-BE49-F238E27FC236}">
              <a16:creationId xmlns:a16="http://schemas.microsoft.com/office/drawing/2014/main" id="{052211CC-DDC5-4F7D-AB12-0F6B1AE61992}"/>
            </a:ext>
          </a:extLst>
        </xdr:cNvPr>
        <xdr:cNvCxnSpPr/>
      </xdr:nvCxnSpPr>
      <xdr:spPr>
        <a:xfrm>
          <a:off x="18730720" y="341249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1883</xdr:row>
      <xdr:rowOff>106065</xdr:rowOff>
    </xdr:from>
    <xdr:to>
      <xdr:col>10</xdr:col>
      <xdr:colOff>204595</xdr:colOff>
      <xdr:row>1885</xdr:row>
      <xdr:rowOff>111125</xdr:rowOff>
    </xdr:to>
    <xdr:cxnSp macro="_xll.PtreeEvent_ObjectClick">
      <xdr:nvCxnSpPr>
        <xdr:cNvPr id="3742" name="PTObj_DBranchDLine_1_933">
          <a:extLst>
            <a:ext uri="{FF2B5EF4-FFF2-40B4-BE49-F238E27FC236}">
              <a16:creationId xmlns:a16="http://schemas.microsoft.com/office/drawing/2014/main" id="{95F8EE18-3B6C-4744-A36E-1D9D234675C4}"/>
            </a:ext>
          </a:extLst>
        </xdr:cNvPr>
        <xdr:cNvCxnSpPr/>
      </xdr:nvCxnSpPr>
      <xdr:spPr>
        <a:xfrm>
          <a:off x="18578320" y="340881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1883</xdr:row>
      <xdr:rowOff>107305</xdr:rowOff>
    </xdr:from>
    <xdr:to>
      <xdr:col>9</xdr:col>
      <xdr:colOff>1392681</xdr:colOff>
      <xdr:row>1883</xdr:row>
      <xdr:rowOff>107305</xdr:rowOff>
    </xdr:to>
    <xdr:cxnSp macro="_xll.PtreeEvent_ObjectClick">
      <xdr:nvCxnSpPr>
        <xdr:cNvPr id="3739" name="PTObj_DBranchHLine_1_932">
          <a:extLst>
            <a:ext uri="{FF2B5EF4-FFF2-40B4-BE49-F238E27FC236}">
              <a16:creationId xmlns:a16="http://schemas.microsoft.com/office/drawing/2014/main" id="{DDFF72D8-7D30-46A4-A775-F53CA6D1AEE3}"/>
            </a:ext>
          </a:extLst>
        </xdr:cNvPr>
        <xdr:cNvCxnSpPr/>
      </xdr:nvCxnSpPr>
      <xdr:spPr>
        <a:xfrm>
          <a:off x="17306734" y="340883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1881</xdr:row>
      <xdr:rowOff>102220</xdr:rowOff>
    </xdr:from>
    <xdr:to>
      <xdr:col>9</xdr:col>
      <xdr:colOff>209359</xdr:colOff>
      <xdr:row>1883</xdr:row>
      <xdr:rowOff>107305</xdr:rowOff>
    </xdr:to>
    <xdr:cxnSp macro="_xll.PtreeEvent_ObjectClick">
      <xdr:nvCxnSpPr>
        <xdr:cNvPr id="3738" name="PTObj_DBranchDLine_1_932">
          <a:extLst>
            <a:ext uri="{FF2B5EF4-FFF2-40B4-BE49-F238E27FC236}">
              <a16:creationId xmlns:a16="http://schemas.microsoft.com/office/drawing/2014/main" id="{96686680-D2AD-45F4-B223-6734A06737B6}"/>
            </a:ext>
          </a:extLst>
        </xdr:cNvPr>
        <xdr:cNvCxnSpPr/>
      </xdr:nvCxnSpPr>
      <xdr:spPr>
        <a:xfrm>
          <a:off x="17154334" y="3405161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1881</xdr:row>
      <xdr:rowOff>103510</xdr:rowOff>
    </xdr:from>
    <xdr:to>
      <xdr:col>8</xdr:col>
      <xdr:colOff>1398397</xdr:colOff>
      <xdr:row>1881</xdr:row>
      <xdr:rowOff>103510</xdr:rowOff>
    </xdr:to>
    <xdr:cxnSp macro="_xll.PtreeEvent_ObjectClick">
      <xdr:nvCxnSpPr>
        <xdr:cNvPr id="3735" name="PTObj_DBranchHLine_1_931">
          <a:extLst>
            <a:ext uri="{FF2B5EF4-FFF2-40B4-BE49-F238E27FC236}">
              <a16:creationId xmlns:a16="http://schemas.microsoft.com/office/drawing/2014/main" id="{70682CC8-F484-4402-8557-828592AD4715}"/>
            </a:ext>
          </a:extLst>
        </xdr:cNvPr>
        <xdr:cNvCxnSpPr/>
      </xdr:nvCxnSpPr>
      <xdr:spPr>
        <a:xfrm>
          <a:off x="15884652" y="340517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1881</xdr:row>
      <xdr:rowOff>103510</xdr:rowOff>
    </xdr:from>
    <xdr:to>
      <xdr:col>8</xdr:col>
      <xdr:colOff>216027</xdr:colOff>
      <xdr:row>1889</xdr:row>
      <xdr:rowOff>108917</xdr:rowOff>
    </xdr:to>
    <xdr:cxnSp macro="_xll.PtreeEvent_ObjectClick">
      <xdr:nvCxnSpPr>
        <xdr:cNvPr id="3734" name="PTObj_DBranchDLine_1_931">
          <a:extLst>
            <a:ext uri="{FF2B5EF4-FFF2-40B4-BE49-F238E27FC236}">
              <a16:creationId xmlns:a16="http://schemas.microsoft.com/office/drawing/2014/main" id="{BEF1375A-83F0-492D-80D6-317DB2847A15}"/>
            </a:ext>
          </a:extLst>
        </xdr:cNvPr>
        <xdr:cNvCxnSpPr/>
      </xdr:nvCxnSpPr>
      <xdr:spPr>
        <a:xfrm flipV="1">
          <a:off x="15732252" y="3405174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1889</xdr:row>
      <xdr:rowOff>118740</xdr:rowOff>
    </xdr:from>
    <xdr:to>
      <xdr:col>7</xdr:col>
      <xdr:colOff>1402207</xdr:colOff>
      <xdr:row>1889</xdr:row>
      <xdr:rowOff>118740</xdr:rowOff>
    </xdr:to>
    <xdr:cxnSp macro="_xll.PtreeEvent_ObjectClick">
      <xdr:nvCxnSpPr>
        <xdr:cNvPr id="3731" name="PTObj_DBranchHLine_1_935">
          <a:extLst>
            <a:ext uri="{FF2B5EF4-FFF2-40B4-BE49-F238E27FC236}">
              <a16:creationId xmlns:a16="http://schemas.microsoft.com/office/drawing/2014/main" id="{6654DDA0-1698-4030-BABC-099137F7BD36}"/>
            </a:ext>
          </a:extLst>
        </xdr:cNvPr>
        <xdr:cNvCxnSpPr/>
      </xdr:nvCxnSpPr>
      <xdr:spPr>
        <a:xfrm>
          <a:off x="14460665" y="341980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1879</xdr:row>
      <xdr:rowOff>98425</xdr:rowOff>
    </xdr:from>
    <xdr:to>
      <xdr:col>7</xdr:col>
      <xdr:colOff>220790</xdr:colOff>
      <xdr:row>1889</xdr:row>
      <xdr:rowOff>118740</xdr:rowOff>
    </xdr:to>
    <xdr:cxnSp macro="_xll.PtreeEvent_ObjectClick">
      <xdr:nvCxnSpPr>
        <xdr:cNvPr id="3730" name="PTObj_DBranchDLine_1_935">
          <a:extLst>
            <a:ext uri="{FF2B5EF4-FFF2-40B4-BE49-F238E27FC236}">
              <a16:creationId xmlns:a16="http://schemas.microsoft.com/office/drawing/2014/main" id="{2E114BA6-3615-4333-92B6-19E2674C5877}"/>
            </a:ext>
          </a:extLst>
        </xdr:cNvPr>
        <xdr:cNvCxnSpPr/>
      </xdr:nvCxnSpPr>
      <xdr:spPr>
        <a:xfrm>
          <a:off x="14308265" y="340150450"/>
          <a:ext cx="152400" cy="18300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1877</xdr:row>
      <xdr:rowOff>95895</xdr:rowOff>
    </xdr:from>
    <xdr:to>
      <xdr:col>11</xdr:col>
      <xdr:colOff>1386015</xdr:colOff>
      <xdr:row>1877</xdr:row>
      <xdr:rowOff>95895</xdr:rowOff>
    </xdr:to>
    <xdr:cxnSp macro="_xll.PtreeEvent_ObjectClick">
      <xdr:nvCxnSpPr>
        <xdr:cNvPr id="3727" name="PTObj_DBranchHLine_1_929">
          <a:extLst>
            <a:ext uri="{FF2B5EF4-FFF2-40B4-BE49-F238E27FC236}">
              <a16:creationId xmlns:a16="http://schemas.microsoft.com/office/drawing/2014/main" id="{AEEDA2A8-BE4D-44D9-9E52-D6081DD67C14}"/>
            </a:ext>
          </a:extLst>
        </xdr:cNvPr>
        <xdr:cNvCxnSpPr/>
      </xdr:nvCxnSpPr>
      <xdr:spPr>
        <a:xfrm>
          <a:off x="20149945" y="339785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1875</xdr:row>
      <xdr:rowOff>87015</xdr:rowOff>
    </xdr:from>
    <xdr:to>
      <xdr:col>11</xdr:col>
      <xdr:colOff>195070</xdr:colOff>
      <xdr:row>1877</xdr:row>
      <xdr:rowOff>95895</xdr:rowOff>
    </xdr:to>
    <xdr:cxnSp macro="_xll.PtreeEvent_ObjectClick">
      <xdr:nvCxnSpPr>
        <xdr:cNvPr id="3726" name="PTObj_DBranchDLine_1_929">
          <a:extLst>
            <a:ext uri="{FF2B5EF4-FFF2-40B4-BE49-F238E27FC236}">
              <a16:creationId xmlns:a16="http://schemas.microsoft.com/office/drawing/2014/main" id="{623DE4EA-F4C2-4829-98EC-7F2BBD7D9E98}"/>
            </a:ext>
          </a:extLst>
        </xdr:cNvPr>
        <xdr:cNvCxnSpPr/>
      </xdr:nvCxnSpPr>
      <xdr:spPr>
        <a:xfrm>
          <a:off x="19997545" y="339415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1875</xdr:row>
      <xdr:rowOff>92075</xdr:rowOff>
    </xdr:from>
    <xdr:to>
      <xdr:col>10</xdr:col>
      <xdr:colOff>1388870</xdr:colOff>
      <xdr:row>1875</xdr:row>
      <xdr:rowOff>92075</xdr:rowOff>
    </xdr:to>
    <xdr:cxnSp macro="_xll.PtreeEvent_ObjectClick">
      <xdr:nvCxnSpPr>
        <xdr:cNvPr id="3723" name="PTObj_DBranchHLine_1_928">
          <a:extLst>
            <a:ext uri="{FF2B5EF4-FFF2-40B4-BE49-F238E27FC236}">
              <a16:creationId xmlns:a16="http://schemas.microsoft.com/office/drawing/2014/main" id="{A0CEF163-7271-406C-B8F3-8B531867F721}"/>
            </a:ext>
          </a:extLst>
        </xdr:cNvPr>
        <xdr:cNvCxnSpPr/>
      </xdr:nvCxnSpPr>
      <xdr:spPr>
        <a:xfrm>
          <a:off x="18730720" y="339420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1873</xdr:row>
      <xdr:rowOff>76547</xdr:rowOff>
    </xdr:from>
    <xdr:to>
      <xdr:col>10</xdr:col>
      <xdr:colOff>204595</xdr:colOff>
      <xdr:row>1875</xdr:row>
      <xdr:rowOff>92075</xdr:rowOff>
    </xdr:to>
    <xdr:cxnSp macro="_xll.PtreeEvent_ObjectClick">
      <xdr:nvCxnSpPr>
        <xdr:cNvPr id="3722" name="PTObj_DBranchDLine_1_928">
          <a:extLst>
            <a:ext uri="{FF2B5EF4-FFF2-40B4-BE49-F238E27FC236}">
              <a16:creationId xmlns:a16="http://schemas.microsoft.com/office/drawing/2014/main" id="{5FE55643-440F-47F3-B7B3-96A4BD4A5EDD}"/>
            </a:ext>
          </a:extLst>
        </xdr:cNvPr>
        <xdr:cNvCxnSpPr/>
      </xdr:nvCxnSpPr>
      <xdr:spPr>
        <a:xfrm>
          <a:off x="18578320" y="3390427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1873</xdr:row>
      <xdr:rowOff>88255</xdr:rowOff>
    </xdr:from>
    <xdr:to>
      <xdr:col>9</xdr:col>
      <xdr:colOff>1392681</xdr:colOff>
      <xdr:row>1873</xdr:row>
      <xdr:rowOff>88255</xdr:rowOff>
    </xdr:to>
    <xdr:cxnSp macro="_xll.PtreeEvent_ObjectClick">
      <xdr:nvCxnSpPr>
        <xdr:cNvPr id="3719" name="PTObj_DBranchHLine_1_927">
          <a:extLst>
            <a:ext uri="{FF2B5EF4-FFF2-40B4-BE49-F238E27FC236}">
              <a16:creationId xmlns:a16="http://schemas.microsoft.com/office/drawing/2014/main" id="{E503F152-7F46-4BC3-A0CD-4E51A7960705}"/>
            </a:ext>
          </a:extLst>
        </xdr:cNvPr>
        <xdr:cNvCxnSpPr/>
      </xdr:nvCxnSpPr>
      <xdr:spPr>
        <a:xfrm>
          <a:off x="17306734" y="339054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1871</xdr:row>
      <xdr:rowOff>75555</xdr:rowOff>
    </xdr:from>
    <xdr:to>
      <xdr:col>9</xdr:col>
      <xdr:colOff>209359</xdr:colOff>
      <xdr:row>1873</xdr:row>
      <xdr:rowOff>88255</xdr:rowOff>
    </xdr:to>
    <xdr:cxnSp macro="_xll.PtreeEvent_ObjectClick">
      <xdr:nvCxnSpPr>
        <xdr:cNvPr id="3718" name="PTObj_DBranchDLine_1_927">
          <a:extLst>
            <a:ext uri="{FF2B5EF4-FFF2-40B4-BE49-F238E27FC236}">
              <a16:creationId xmlns:a16="http://schemas.microsoft.com/office/drawing/2014/main" id="{9B254844-AED4-41AB-ADD7-AA5E238F2512}"/>
            </a:ext>
          </a:extLst>
        </xdr:cNvPr>
        <xdr:cNvCxnSpPr/>
      </xdr:nvCxnSpPr>
      <xdr:spPr>
        <a:xfrm>
          <a:off x="17154334" y="338679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1871</xdr:row>
      <xdr:rowOff>84460</xdr:rowOff>
    </xdr:from>
    <xdr:to>
      <xdr:col>8</xdr:col>
      <xdr:colOff>1398397</xdr:colOff>
      <xdr:row>1871</xdr:row>
      <xdr:rowOff>84460</xdr:rowOff>
    </xdr:to>
    <xdr:cxnSp macro="_xll.PtreeEvent_ObjectClick">
      <xdr:nvCxnSpPr>
        <xdr:cNvPr id="3715" name="PTObj_DBranchHLine_1_926">
          <a:extLst>
            <a:ext uri="{FF2B5EF4-FFF2-40B4-BE49-F238E27FC236}">
              <a16:creationId xmlns:a16="http://schemas.microsoft.com/office/drawing/2014/main" id="{250CEC3A-50A6-46FB-87F0-FB79FC251444}"/>
            </a:ext>
          </a:extLst>
        </xdr:cNvPr>
        <xdr:cNvCxnSpPr/>
      </xdr:nvCxnSpPr>
      <xdr:spPr>
        <a:xfrm>
          <a:off x="15888463" y="338688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1869</xdr:row>
      <xdr:rowOff>75580</xdr:rowOff>
    </xdr:from>
    <xdr:to>
      <xdr:col>8</xdr:col>
      <xdr:colOff>219838</xdr:colOff>
      <xdr:row>1871</xdr:row>
      <xdr:rowOff>84460</xdr:rowOff>
    </xdr:to>
    <xdr:cxnSp macro="_xll.PtreeEvent_ObjectClick">
      <xdr:nvCxnSpPr>
        <xdr:cNvPr id="3714" name="PTObj_DBranchDLine_1_926">
          <a:extLst>
            <a:ext uri="{FF2B5EF4-FFF2-40B4-BE49-F238E27FC236}">
              <a16:creationId xmlns:a16="http://schemas.microsoft.com/office/drawing/2014/main" id="{294B6158-2322-4303-957D-B42A4452D79F}"/>
            </a:ext>
          </a:extLst>
        </xdr:cNvPr>
        <xdr:cNvCxnSpPr/>
      </xdr:nvCxnSpPr>
      <xdr:spPr>
        <a:xfrm>
          <a:off x="15736063" y="3383178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1867</xdr:row>
      <xdr:rowOff>76845</xdr:rowOff>
    </xdr:from>
    <xdr:to>
      <xdr:col>11</xdr:col>
      <xdr:colOff>1386967</xdr:colOff>
      <xdr:row>1867</xdr:row>
      <xdr:rowOff>76845</xdr:rowOff>
    </xdr:to>
    <xdr:cxnSp macro="_xll.PtreeEvent_ObjectClick">
      <xdr:nvCxnSpPr>
        <xdr:cNvPr id="3711" name="PTObj_DBranchHLine_1_924">
          <a:extLst>
            <a:ext uri="{FF2B5EF4-FFF2-40B4-BE49-F238E27FC236}">
              <a16:creationId xmlns:a16="http://schemas.microsoft.com/office/drawing/2014/main" id="{FF5F78C1-2ED9-4DBF-B7B4-3BDA6D16156E}"/>
            </a:ext>
          </a:extLst>
        </xdr:cNvPr>
        <xdr:cNvCxnSpPr/>
      </xdr:nvCxnSpPr>
      <xdr:spPr>
        <a:xfrm>
          <a:off x="20149945" y="337957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1865</xdr:row>
      <xdr:rowOff>70817</xdr:rowOff>
    </xdr:from>
    <xdr:to>
      <xdr:col>11</xdr:col>
      <xdr:colOff>195070</xdr:colOff>
      <xdr:row>1867</xdr:row>
      <xdr:rowOff>76845</xdr:rowOff>
    </xdr:to>
    <xdr:cxnSp macro="_xll.PtreeEvent_ObjectClick">
      <xdr:nvCxnSpPr>
        <xdr:cNvPr id="3710" name="PTObj_DBranchDLine_1_924">
          <a:extLst>
            <a:ext uri="{FF2B5EF4-FFF2-40B4-BE49-F238E27FC236}">
              <a16:creationId xmlns:a16="http://schemas.microsoft.com/office/drawing/2014/main" id="{E95610BF-43A6-4CF4-9B4B-EE88BE9F691D}"/>
            </a:ext>
          </a:extLst>
        </xdr:cNvPr>
        <xdr:cNvCxnSpPr/>
      </xdr:nvCxnSpPr>
      <xdr:spPr>
        <a:xfrm>
          <a:off x="19997545" y="3375891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1865</xdr:row>
      <xdr:rowOff>73025</xdr:rowOff>
    </xdr:from>
    <xdr:to>
      <xdr:col>10</xdr:col>
      <xdr:colOff>1388870</xdr:colOff>
      <xdr:row>1865</xdr:row>
      <xdr:rowOff>73025</xdr:rowOff>
    </xdr:to>
    <xdr:cxnSp macro="_xll.PtreeEvent_ObjectClick">
      <xdr:nvCxnSpPr>
        <xdr:cNvPr id="3707" name="PTObj_DBranchHLine_1_923">
          <a:extLst>
            <a:ext uri="{FF2B5EF4-FFF2-40B4-BE49-F238E27FC236}">
              <a16:creationId xmlns:a16="http://schemas.microsoft.com/office/drawing/2014/main" id="{8B0E0D14-FE92-47FA-8D72-30326000D608}"/>
            </a:ext>
          </a:extLst>
        </xdr:cNvPr>
        <xdr:cNvCxnSpPr/>
      </xdr:nvCxnSpPr>
      <xdr:spPr>
        <a:xfrm>
          <a:off x="18730720" y="337591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1863</xdr:row>
      <xdr:rowOff>68883</xdr:rowOff>
    </xdr:from>
    <xdr:to>
      <xdr:col>10</xdr:col>
      <xdr:colOff>204595</xdr:colOff>
      <xdr:row>1865</xdr:row>
      <xdr:rowOff>73025</xdr:rowOff>
    </xdr:to>
    <xdr:cxnSp macro="_xll.PtreeEvent_ObjectClick">
      <xdr:nvCxnSpPr>
        <xdr:cNvPr id="3706" name="PTObj_DBranchDLine_1_923">
          <a:extLst>
            <a:ext uri="{FF2B5EF4-FFF2-40B4-BE49-F238E27FC236}">
              <a16:creationId xmlns:a16="http://schemas.microsoft.com/office/drawing/2014/main" id="{754C6206-C2C5-4263-93C3-958C30DC7096}"/>
            </a:ext>
          </a:extLst>
        </xdr:cNvPr>
        <xdr:cNvCxnSpPr/>
      </xdr:nvCxnSpPr>
      <xdr:spPr>
        <a:xfrm>
          <a:off x="18578320" y="3372253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1863</xdr:row>
      <xdr:rowOff>69205</xdr:rowOff>
    </xdr:from>
    <xdr:to>
      <xdr:col>9</xdr:col>
      <xdr:colOff>1392681</xdr:colOff>
      <xdr:row>1863</xdr:row>
      <xdr:rowOff>69205</xdr:rowOff>
    </xdr:to>
    <xdr:cxnSp macro="_xll.PtreeEvent_ObjectClick">
      <xdr:nvCxnSpPr>
        <xdr:cNvPr id="3703" name="PTObj_DBranchHLine_1_922">
          <a:extLst>
            <a:ext uri="{FF2B5EF4-FFF2-40B4-BE49-F238E27FC236}">
              <a16:creationId xmlns:a16="http://schemas.microsoft.com/office/drawing/2014/main" id="{11CFD854-0F4E-439C-9344-91EEA1590FF5}"/>
            </a:ext>
          </a:extLst>
        </xdr:cNvPr>
        <xdr:cNvCxnSpPr/>
      </xdr:nvCxnSpPr>
      <xdr:spPr>
        <a:xfrm>
          <a:off x="17306734" y="337225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1861</xdr:row>
      <xdr:rowOff>63153</xdr:rowOff>
    </xdr:from>
    <xdr:to>
      <xdr:col>9</xdr:col>
      <xdr:colOff>209359</xdr:colOff>
      <xdr:row>1863</xdr:row>
      <xdr:rowOff>69205</xdr:rowOff>
    </xdr:to>
    <xdr:cxnSp macro="_xll.PtreeEvent_ObjectClick">
      <xdr:nvCxnSpPr>
        <xdr:cNvPr id="3702" name="PTObj_DBranchDLine_1_922">
          <a:extLst>
            <a:ext uri="{FF2B5EF4-FFF2-40B4-BE49-F238E27FC236}">
              <a16:creationId xmlns:a16="http://schemas.microsoft.com/office/drawing/2014/main" id="{F84855AD-1E38-4A06-B98C-BE19E4483834}"/>
            </a:ext>
          </a:extLst>
        </xdr:cNvPr>
        <xdr:cNvCxnSpPr/>
      </xdr:nvCxnSpPr>
      <xdr:spPr>
        <a:xfrm>
          <a:off x="17154334" y="3368576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1861</xdr:row>
      <xdr:rowOff>65410</xdr:rowOff>
    </xdr:from>
    <xdr:to>
      <xdr:col>8</xdr:col>
      <xdr:colOff>1398397</xdr:colOff>
      <xdr:row>1861</xdr:row>
      <xdr:rowOff>65410</xdr:rowOff>
    </xdr:to>
    <xdr:cxnSp macro="_xll.PtreeEvent_ObjectClick">
      <xdr:nvCxnSpPr>
        <xdr:cNvPr id="3699" name="PTObj_DBranchHLine_1_921">
          <a:extLst>
            <a:ext uri="{FF2B5EF4-FFF2-40B4-BE49-F238E27FC236}">
              <a16:creationId xmlns:a16="http://schemas.microsoft.com/office/drawing/2014/main" id="{AB412EF2-C45B-49CD-BBD8-BD1FF4FB5B37}"/>
            </a:ext>
          </a:extLst>
        </xdr:cNvPr>
        <xdr:cNvCxnSpPr/>
      </xdr:nvCxnSpPr>
      <xdr:spPr>
        <a:xfrm>
          <a:off x="15884652" y="336859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1861</xdr:row>
      <xdr:rowOff>65410</xdr:rowOff>
    </xdr:from>
    <xdr:to>
      <xdr:col>8</xdr:col>
      <xdr:colOff>216027</xdr:colOff>
      <xdr:row>1869</xdr:row>
      <xdr:rowOff>75580</xdr:rowOff>
    </xdr:to>
    <xdr:cxnSp macro="_xll.PtreeEvent_ObjectClick">
      <xdr:nvCxnSpPr>
        <xdr:cNvPr id="3698" name="PTObj_DBranchDLine_1_921">
          <a:extLst>
            <a:ext uri="{FF2B5EF4-FFF2-40B4-BE49-F238E27FC236}">
              <a16:creationId xmlns:a16="http://schemas.microsoft.com/office/drawing/2014/main" id="{50D80B1C-A1A8-4DE9-BCC0-0CAE7271F94D}"/>
            </a:ext>
          </a:extLst>
        </xdr:cNvPr>
        <xdr:cNvCxnSpPr/>
      </xdr:nvCxnSpPr>
      <xdr:spPr>
        <a:xfrm flipV="1">
          <a:off x="15732252" y="3368598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1869</xdr:row>
      <xdr:rowOff>80640</xdr:rowOff>
    </xdr:from>
    <xdr:to>
      <xdr:col>7</xdr:col>
      <xdr:colOff>1402207</xdr:colOff>
      <xdr:row>1869</xdr:row>
      <xdr:rowOff>80640</xdr:rowOff>
    </xdr:to>
    <xdr:cxnSp macro="_xll.PtreeEvent_ObjectClick">
      <xdr:nvCxnSpPr>
        <xdr:cNvPr id="3695" name="PTObj_DBranchHLine_1_925">
          <a:extLst>
            <a:ext uri="{FF2B5EF4-FFF2-40B4-BE49-F238E27FC236}">
              <a16:creationId xmlns:a16="http://schemas.microsoft.com/office/drawing/2014/main" id="{ED0BB2BD-BBCA-49C5-ACC3-AE4846F4BE5D}"/>
            </a:ext>
          </a:extLst>
        </xdr:cNvPr>
        <xdr:cNvCxnSpPr/>
      </xdr:nvCxnSpPr>
      <xdr:spPr>
        <a:xfrm>
          <a:off x="14462570" y="3383229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1869</xdr:row>
      <xdr:rowOff>80640</xdr:rowOff>
    </xdr:from>
    <xdr:to>
      <xdr:col>7</xdr:col>
      <xdr:colOff>222695</xdr:colOff>
      <xdr:row>1879</xdr:row>
      <xdr:rowOff>100310</xdr:rowOff>
    </xdr:to>
    <xdr:cxnSp macro="_xll.PtreeEvent_ObjectClick">
      <xdr:nvCxnSpPr>
        <xdr:cNvPr id="3694" name="PTObj_DBranchDLine_1_925">
          <a:extLst>
            <a:ext uri="{FF2B5EF4-FFF2-40B4-BE49-F238E27FC236}">
              <a16:creationId xmlns:a16="http://schemas.microsoft.com/office/drawing/2014/main" id="{A355CC77-EF1C-44E1-A679-27EDD5E225FF}"/>
            </a:ext>
          </a:extLst>
        </xdr:cNvPr>
        <xdr:cNvCxnSpPr/>
      </xdr:nvCxnSpPr>
      <xdr:spPr>
        <a:xfrm flipV="1">
          <a:off x="14310170" y="338322915"/>
          <a:ext cx="152400" cy="1829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1879</xdr:row>
      <xdr:rowOff>99690</xdr:rowOff>
    </xdr:from>
    <xdr:to>
      <xdr:col>6</xdr:col>
      <xdr:colOff>1407922</xdr:colOff>
      <xdr:row>1879</xdr:row>
      <xdr:rowOff>99690</xdr:rowOff>
    </xdr:to>
    <xdr:cxnSp macro="_xll.PtreeEvent_ObjectClick">
      <xdr:nvCxnSpPr>
        <xdr:cNvPr id="3691" name="PTObj_DBranchHLine_1_930">
          <a:extLst>
            <a:ext uri="{FF2B5EF4-FFF2-40B4-BE49-F238E27FC236}">
              <a16:creationId xmlns:a16="http://schemas.microsoft.com/office/drawing/2014/main" id="{D86E785E-EF4E-4A39-80BE-C84D3B164437}"/>
            </a:ext>
          </a:extLst>
        </xdr:cNvPr>
        <xdr:cNvCxnSpPr/>
      </xdr:nvCxnSpPr>
      <xdr:spPr>
        <a:xfrm>
          <a:off x="13034772" y="3401517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1879</xdr:row>
      <xdr:rowOff>99690</xdr:rowOff>
    </xdr:from>
    <xdr:to>
      <xdr:col>6</xdr:col>
      <xdr:colOff>223647</xdr:colOff>
      <xdr:row>1899</xdr:row>
      <xdr:rowOff>138410</xdr:rowOff>
    </xdr:to>
    <xdr:cxnSp macro="_xll.PtreeEvent_ObjectClick">
      <xdr:nvCxnSpPr>
        <xdr:cNvPr id="3690" name="PTObj_DBranchDLine_1_930">
          <a:extLst>
            <a:ext uri="{FF2B5EF4-FFF2-40B4-BE49-F238E27FC236}">
              <a16:creationId xmlns:a16="http://schemas.microsoft.com/office/drawing/2014/main" id="{A6835FA8-7C19-4205-B92C-04016315CB10}"/>
            </a:ext>
          </a:extLst>
        </xdr:cNvPr>
        <xdr:cNvCxnSpPr/>
      </xdr:nvCxnSpPr>
      <xdr:spPr>
        <a:xfrm flipV="1">
          <a:off x="12882372" y="340151715"/>
          <a:ext cx="152400" cy="3658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1899</xdr:row>
      <xdr:rowOff>137790</xdr:rowOff>
    </xdr:from>
    <xdr:to>
      <xdr:col>5</xdr:col>
      <xdr:colOff>1411732</xdr:colOff>
      <xdr:row>1899</xdr:row>
      <xdr:rowOff>137790</xdr:rowOff>
    </xdr:to>
    <xdr:cxnSp macro="_xll.PtreeEvent_ObjectClick">
      <xdr:nvCxnSpPr>
        <xdr:cNvPr id="3687" name="PTObj_DBranchHLine_1_940">
          <a:extLst>
            <a:ext uri="{FF2B5EF4-FFF2-40B4-BE49-F238E27FC236}">
              <a16:creationId xmlns:a16="http://schemas.microsoft.com/office/drawing/2014/main" id="{33882C23-B443-407A-83A8-E3EAE63E503B}"/>
            </a:ext>
          </a:extLst>
        </xdr:cNvPr>
        <xdr:cNvCxnSpPr/>
      </xdr:nvCxnSpPr>
      <xdr:spPr>
        <a:xfrm>
          <a:off x="11608880" y="3438093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1859</xdr:row>
      <xdr:rowOff>56530</xdr:rowOff>
    </xdr:from>
    <xdr:to>
      <xdr:col>5</xdr:col>
      <xdr:colOff>226505</xdr:colOff>
      <xdr:row>1899</xdr:row>
      <xdr:rowOff>137790</xdr:rowOff>
    </xdr:to>
    <xdr:cxnSp macro="_xll.PtreeEvent_ObjectClick">
      <xdr:nvCxnSpPr>
        <xdr:cNvPr id="3686" name="PTObj_DBranchDLine_1_940">
          <a:extLst>
            <a:ext uri="{FF2B5EF4-FFF2-40B4-BE49-F238E27FC236}">
              <a16:creationId xmlns:a16="http://schemas.microsoft.com/office/drawing/2014/main" id="{78700DFF-C6A0-4B59-A62D-6EB2090183B4}"/>
            </a:ext>
          </a:extLst>
        </xdr:cNvPr>
        <xdr:cNvCxnSpPr/>
      </xdr:nvCxnSpPr>
      <xdr:spPr>
        <a:xfrm>
          <a:off x="11456480" y="336489055"/>
          <a:ext cx="152400" cy="73202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1857</xdr:row>
      <xdr:rowOff>57795</xdr:rowOff>
    </xdr:from>
    <xdr:to>
      <xdr:col>11</xdr:col>
      <xdr:colOff>1394589</xdr:colOff>
      <xdr:row>1857</xdr:row>
      <xdr:rowOff>57795</xdr:rowOff>
    </xdr:to>
    <xdr:cxnSp macro="_xll.PtreeEvent_ObjectClick">
      <xdr:nvCxnSpPr>
        <xdr:cNvPr id="3683" name="PTObj_DBranchHLine_1_919">
          <a:extLst>
            <a:ext uri="{FF2B5EF4-FFF2-40B4-BE49-F238E27FC236}">
              <a16:creationId xmlns:a16="http://schemas.microsoft.com/office/drawing/2014/main" id="{61CE2E02-57D6-4E46-A375-CC517FB46833}"/>
            </a:ext>
          </a:extLst>
        </xdr:cNvPr>
        <xdr:cNvCxnSpPr/>
      </xdr:nvCxnSpPr>
      <xdr:spPr>
        <a:xfrm>
          <a:off x="20149945" y="3361283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1855</xdr:row>
      <xdr:rowOff>41300</xdr:rowOff>
    </xdr:from>
    <xdr:to>
      <xdr:col>11</xdr:col>
      <xdr:colOff>195070</xdr:colOff>
      <xdr:row>1857</xdr:row>
      <xdr:rowOff>57795</xdr:rowOff>
    </xdr:to>
    <xdr:cxnSp macro="_xll.PtreeEvent_ObjectClick">
      <xdr:nvCxnSpPr>
        <xdr:cNvPr id="3682" name="PTObj_DBranchDLine_1_919">
          <a:extLst>
            <a:ext uri="{FF2B5EF4-FFF2-40B4-BE49-F238E27FC236}">
              <a16:creationId xmlns:a16="http://schemas.microsoft.com/office/drawing/2014/main" id="{C623716B-11F3-4F2A-A17D-F0D87E516483}"/>
            </a:ext>
          </a:extLst>
        </xdr:cNvPr>
        <xdr:cNvCxnSpPr/>
      </xdr:nvCxnSpPr>
      <xdr:spPr>
        <a:xfrm>
          <a:off x="19997545" y="3357499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1855</xdr:row>
      <xdr:rowOff>53975</xdr:rowOff>
    </xdr:from>
    <xdr:to>
      <xdr:col>10</xdr:col>
      <xdr:colOff>1388870</xdr:colOff>
      <xdr:row>1855</xdr:row>
      <xdr:rowOff>53975</xdr:rowOff>
    </xdr:to>
    <xdr:cxnSp macro="_xll.PtreeEvent_ObjectClick">
      <xdr:nvCxnSpPr>
        <xdr:cNvPr id="3679" name="PTObj_DBranchHLine_1_918">
          <a:extLst>
            <a:ext uri="{FF2B5EF4-FFF2-40B4-BE49-F238E27FC236}">
              <a16:creationId xmlns:a16="http://schemas.microsoft.com/office/drawing/2014/main" id="{A310A800-A2CC-4430-B5F7-9CA25FD240D0}"/>
            </a:ext>
          </a:extLst>
        </xdr:cNvPr>
        <xdr:cNvCxnSpPr/>
      </xdr:nvCxnSpPr>
      <xdr:spPr>
        <a:xfrm>
          <a:off x="18730720" y="335762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1853</xdr:row>
      <xdr:rowOff>38447</xdr:rowOff>
    </xdr:from>
    <xdr:to>
      <xdr:col>10</xdr:col>
      <xdr:colOff>204595</xdr:colOff>
      <xdr:row>1855</xdr:row>
      <xdr:rowOff>53975</xdr:rowOff>
    </xdr:to>
    <xdr:cxnSp macro="_xll.PtreeEvent_ObjectClick">
      <xdr:nvCxnSpPr>
        <xdr:cNvPr id="3678" name="PTObj_DBranchDLine_1_918">
          <a:extLst>
            <a:ext uri="{FF2B5EF4-FFF2-40B4-BE49-F238E27FC236}">
              <a16:creationId xmlns:a16="http://schemas.microsoft.com/office/drawing/2014/main" id="{9AF2DE1F-3563-449A-9243-2289DB5AC664}"/>
            </a:ext>
          </a:extLst>
        </xdr:cNvPr>
        <xdr:cNvCxnSpPr/>
      </xdr:nvCxnSpPr>
      <xdr:spPr>
        <a:xfrm>
          <a:off x="18578320" y="3353851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1853</xdr:row>
      <xdr:rowOff>50155</xdr:rowOff>
    </xdr:from>
    <xdr:to>
      <xdr:col>9</xdr:col>
      <xdr:colOff>1392681</xdr:colOff>
      <xdr:row>1853</xdr:row>
      <xdr:rowOff>50155</xdr:rowOff>
    </xdr:to>
    <xdr:cxnSp macro="_xll.PtreeEvent_ObjectClick">
      <xdr:nvCxnSpPr>
        <xdr:cNvPr id="3675" name="PTObj_DBranchHLine_1_917">
          <a:extLst>
            <a:ext uri="{FF2B5EF4-FFF2-40B4-BE49-F238E27FC236}">
              <a16:creationId xmlns:a16="http://schemas.microsoft.com/office/drawing/2014/main" id="{FBE64EE1-F715-4E2D-9007-11DD17EDB23F}"/>
            </a:ext>
          </a:extLst>
        </xdr:cNvPr>
        <xdr:cNvCxnSpPr/>
      </xdr:nvCxnSpPr>
      <xdr:spPr>
        <a:xfrm>
          <a:off x="17306734" y="335396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1851</xdr:row>
      <xdr:rowOff>37455</xdr:rowOff>
    </xdr:from>
    <xdr:to>
      <xdr:col>9</xdr:col>
      <xdr:colOff>209359</xdr:colOff>
      <xdr:row>1853</xdr:row>
      <xdr:rowOff>50155</xdr:rowOff>
    </xdr:to>
    <xdr:cxnSp macro="_xll.PtreeEvent_ObjectClick">
      <xdr:nvCxnSpPr>
        <xdr:cNvPr id="3674" name="PTObj_DBranchDLine_1_917">
          <a:extLst>
            <a:ext uri="{FF2B5EF4-FFF2-40B4-BE49-F238E27FC236}">
              <a16:creationId xmlns:a16="http://schemas.microsoft.com/office/drawing/2014/main" id="{DA589C38-DB60-4EFA-8BBD-3B594905334A}"/>
            </a:ext>
          </a:extLst>
        </xdr:cNvPr>
        <xdr:cNvCxnSpPr/>
      </xdr:nvCxnSpPr>
      <xdr:spPr>
        <a:xfrm>
          <a:off x="17154334" y="335022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1851</xdr:row>
      <xdr:rowOff>46360</xdr:rowOff>
    </xdr:from>
    <xdr:to>
      <xdr:col>8</xdr:col>
      <xdr:colOff>1398397</xdr:colOff>
      <xdr:row>1851</xdr:row>
      <xdr:rowOff>46360</xdr:rowOff>
    </xdr:to>
    <xdr:cxnSp macro="_xll.PtreeEvent_ObjectClick">
      <xdr:nvCxnSpPr>
        <xdr:cNvPr id="3671" name="PTObj_DBranchHLine_1_916">
          <a:extLst>
            <a:ext uri="{FF2B5EF4-FFF2-40B4-BE49-F238E27FC236}">
              <a16:creationId xmlns:a16="http://schemas.microsoft.com/office/drawing/2014/main" id="{B4F9937B-A4A2-4758-B7F2-ADE9064F4583}"/>
            </a:ext>
          </a:extLst>
        </xdr:cNvPr>
        <xdr:cNvCxnSpPr/>
      </xdr:nvCxnSpPr>
      <xdr:spPr>
        <a:xfrm>
          <a:off x="15888463" y="335031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1849</xdr:row>
      <xdr:rowOff>37480</xdr:rowOff>
    </xdr:from>
    <xdr:to>
      <xdr:col>8</xdr:col>
      <xdr:colOff>219838</xdr:colOff>
      <xdr:row>1851</xdr:row>
      <xdr:rowOff>46360</xdr:rowOff>
    </xdr:to>
    <xdr:cxnSp macro="_xll.PtreeEvent_ObjectClick">
      <xdr:nvCxnSpPr>
        <xdr:cNvPr id="3670" name="PTObj_DBranchDLine_1_916">
          <a:extLst>
            <a:ext uri="{FF2B5EF4-FFF2-40B4-BE49-F238E27FC236}">
              <a16:creationId xmlns:a16="http://schemas.microsoft.com/office/drawing/2014/main" id="{8B9FE582-A3C3-4B6B-8031-9404FBFAEDE7}"/>
            </a:ext>
          </a:extLst>
        </xdr:cNvPr>
        <xdr:cNvCxnSpPr/>
      </xdr:nvCxnSpPr>
      <xdr:spPr>
        <a:xfrm>
          <a:off x="15736063" y="3346602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1847</xdr:row>
      <xdr:rowOff>38745</xdr:rowOff>
    </xdr:from>
    <xdr:to>
      <xdr:col>11</xdr:col>
      <xdr:colOff>1386967</xdr:colOff>
      <xdr:row>1847</xdr:row>
      <xdr:rowOff>38745</xdr:rowOff>
    </xdr:to>
    <xdr:cxnSp macro="_xll.PtreeEvent_ObjectClick">
      <xdr:nvCxnSpPr>
        <xdr:cNvPr id="3667" name="PTObj_DBranchHLine_1_914">
          <a:extLst>
            <a:ext uri="{FF2B5EF4-FFF2-40B4-BE49-F238E27FC236}">
              <a16:creationId xmlns:a16="http://schemas.microsoft.com/office/drawing/2014/main" id="{65BF3CC8-36AA-4DF8-8E8C-2A1446053A22}"/>
            </a:ext>
          </a:extLst>
        </xdr:cNvPr>
        <xdr:cNvCxnSpPr/>
      </xdr:nvCxnSpPr>
      <xdr:spPr>
        <a:xfrm>
          <a:off x="20149945" y="334299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1845</xdr:row>
      <xdr:rowOff>32717</xdr:rowOff>
    </xdr:from>
    <xdr:to>
      <xdr:col>11</xdr:col>
      <xdr:colOff>195070</xdr:colOff>
      <xdr:row>1847</xdr:row>
      <xdr:rowOff>38745</xdr:rowOff>
    </xdr:to>
    <xdr:cxnSp macro="_xll.PtreeEvent_ObjectClick">
      <xdr:nvCxnSpPr>
        <xdr:cNvPr id="3666" name="PTObj_DBranchDLine_1_914">
          <a:extLst>
            <a:ext uri="{FF2B5EF4-FFF2-40B4-BE49-F238E27FC236}">
              <a16:creationId xmlns:a16="http://schemas.microsoft.com/office/drawing/2014/main" id="{2CCA7FBB-C950-4E78-BE3A-18E1D87F3A8B}"/>
            </a:ext>
          </a:extLst>
        </xdr:cNvPr>
        <xdr:cNvCxnSpPr/>
      </xdr:nvCxnSpPr>
      <xdr:spPr>
        <a:xfrm>
          <a:off x="19997545" y="3339315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1845</xdr:row>
      <xdr:rowOff>34925</xdr:rowOff>
    </xdr:from>
    <xdr:to>
      <xdr:col>10</xdr:col>
      <xdr:colOff>1388870</xdr:colOff>
      <xdr:row>1845</xdr:row>
      <xdr:rowOff>34925</xdr:rowOff>
    </xdr:to>
    <xdr:cxnSp macro="_xll.PtreeEvent_ObjectClick">
      <xdr:nvCxnSpPr>
        <xdr:cNvPr id="3663" name="PTObj_DBranchHLine_1_913">
          <a:extLst>
            <a:ext uri="{FF2B5EF4-FFF2-40B4-BE49-F238E27FC236}">
              <a16:creationId xmlns:a16="http://schemas.microsoft.com/office/drawing/2014/main" id="{23F3AE2E-B360-4C8D-A61E-4209D4D5402A}"/>
            </a:ext>
          </a:extLst>
        </xdr:cNvPr>
        <xdr:cNvCxnSpPr/>
      </xdr:nvCxnSpPr>
      <xdr:spPr>
        <a:xfrm>
          <a:off x="18730720" y="333933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1843</xdr:row>
      <xdr:rowOff>30783</xdr:rowOff>
    </xdr:from>
    <xdr:to>
      <xdr:col>10</xdr:col>
      <xdr:colOff>204595</xdr:colOff>
      <xdr:row>1845</xdr:row>
      <xdr:rowOff>34925</xdr:rowOff>
    </xdr:to>
    <xdr:cxnSp macro="_xll.PtreeEvent_ObjectClick">
      <xdr:nvCxnSpPr>
        <xdr:cNvPr id="3662" name="PTObj_DBranchDLine_1_913">
          <a:extLst>
            <a:ext uri="{FF2B5EF4-FFF2-40B4-BE49-F238E27FC236}">
              <a16:creationId xmlns:a16="http://schemas.microsoft.com/office/drawing/2014/main" id="{9C5B1F1E-69EC-4908-8E47-2AC385D30A04}"/>
            </a:ext>
          </a:extLst>
        </xdr:cNvPr>
        <xdr:cNvCxnSpPr/>
      </xdr:nvCxnSpPr>
      <xdr:spPr>
        <a:xfrm>
          <a:off x="18578320" y="3335677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1843</xdr:row>
      <xdr:rowOff>31105</xdr:rowOff>
    </xdr:from>
    <xdr:to>
      <xdr:col>9</xdr:col>
      <xdr:colOff>1392681</xdr:colOff>
      <xdr:row>1843</xdr:row>
      <xdr:rowOff>31105</xdr:rowOff>
    </xdr:to>
    <xdr:cxnSp macro="_xll.PtreeEvent_ObjectClick">
      <xdr:nvCxnSpPr>
        <xdr:cNvPr id="3659" name="PTObj_DBranchHLine_1_912">
          <a:extLst>
            <a:ext uri="{FF2B5EF4-FFF2-40B4-BE49-F238E27FC236}">
              <a16:creationId xmlns:a16="http://schemas.microsoft.com/office/drawing/2014/main" id="{D22986F9-AA61-4AF6-AAF0-B998022F0983}"/>
            </a:ext>
          </a:extLst>
        </xdr:cNvPr>
        <xdr:cNvCxnSpPr/>
      </xdr:nvCxnSpPr>
      <xdr:spPr>
        <a:xfrm>
          <a:off x="17306734" y="333568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1841</xdr:row>
      <xdr:rowOff>25053</xdr:rowOff>
    </xdr:from>
    <xdr:to>
      <xdr:col>9</xdr:col>
      <xdr:colOff>209359</xdr:colOff>
      <xdr:row>1843</xdr:row>
      <xdr:rowOff>31105</xdr:rowOff>
    </xdr:to>
    <xdr:cxnSp macro="_xll.PtreeEvent_ObjectClick">
      <xdr:nvCxnSpPr>
        <xdr:cNvPr id="3658" name="PTObj_DBranchDLine_1_912">
          <a:extLst>
            <a:ext uri="{FF2B5EF4-FFF2-40B4-BE49-F238E27FC236}">
              <a16:creationId xmlns:a16="http://schemas.microsoft.com/office/drawing/2014/main" id="{9633A802-F275-4A71-BCB1-B2FAD85B9D74}"/>
            </a:ext>
          </a:extLst>
        </xdr:cNvPr>
        <xdr:cNvCxnSpPr/>
      </xdr:nvCxnSpPr>
      <xdr:spPr>
        <a:xfrm>
          <a:off x="17154334" y="3332000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1841</xdr:row>
      <xdr:rowOff>27310</xdr:rowOff>
    </xdr:from>
    <xdr:to>
      <xdr:col>8</xdr:col>
      <xdr:colOff>1398397</xdr:colOff>
      <xdr:row>1841</xdr:row>
      <xdr:rowOff>27310</xdr:rowOff>
    </xdr:to>
    <xdr:cxnSp macro="_xll.PtreeEvent_ObjectClick">
      <xdr:nvCxnSpPr>
        <xdr:cNvPr id="3655" name="PTObj_DBranchHLine_1_911">
          <a:extLst>
            <a:ext uri="{FF2B5EF4-FFF2-40B4-BE49-F238E27FC236}">
              <a16:creationId xmlns:a16="http://schemas.microsoft.com/office/drawing/2014/main" id="{B0E416E4-93D7-4F27-B080-699B082B94F3}"/>
            </a:ext>
          </a:extLst>
        </xdr:cNvPr>
        <xdr:cNvCxnSpPr/>
      </xdr:nvCxnSpPr>
      <xdr:spPr>
        <a:xfrm>
          <a:off x="15884652" y="333202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1841</xdr:row>
      <xdr:rowOff>27310</xdr:rowOff>
    </xdr:from>
    <xdr:to>
      <xdr:col>8</xdr:col>
      <xdr:colOff>216027</xdr:colOff>
      <xdr:row>1849</xdr:row>
      <xdr:rowOff>37480</xdr:rowOff>
    </xdr:to>
    <xdr:cxnSp macro="_xll.PtreeEvent_ObjectClick">
      <xdr:nvCxnSpPr>
        <xdr:cNvPr id="3654" name="PTObj_DBranchDLine_1_911">
          <a:extLst>
            <a:ext uri="{FF2B5EF4-FFF2-40B4-BE49-F238E27FC236}">
              <a16:creationId xmlns:a16="http://schemas.microsoft.com/office/drawing/2014/main" id="{1AAC9E65-894D-4954-A113-A787365C8979}"/>
            </a:ext>
          </a:extLst>
        </xdr:cNvPr>
        <xdr:cNvCxnSpPr/>
      </xdr:nvCxnSpPr>
      <xdr:spPr>
        <a:xfrm flipV="1">
          <a:off x="15732252" y="3332022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1849</xdr:row>
      <xdr:rowOff>42540</xdr:rowOff>
    </xdr:from>
    <xdr:to>
      <xdr:col>7</xdr:col>
      <xdr:colOff>1402207</xdr:colOff>
      <xdr:row>1849</xdr:row>
      <xdr:rowOff>42540</xdr:rowOff>
    </xdr:to>
    <xdr:cxnSp macro="_xll.PtreeEvent_ObjectClick">
      <xdr:nvCxnSpPr>
        <xdr:cNvPr id="3651" name="PTObj_DBranchHLine_1_915">
          <a:extLst>
            <a:ext uri="{FF2B5EF4-FFF2-40B4-BE49-F238E27FC236}">
              <a16:creationId xmlns:a16="http://schemas.microsoft.com/office/drawing/2014/main" id="{33A09C1C-33AA-4931-96C3-23FB8FFB5BA1}"/>
            </a:ext>
          </a:extLst>
        </xdr:cNvPr>
        <xdr:cNvCxnSpPr/>
      </xdr:nvCxnSpPr>
      <xdr:spPr>
        <a:xfrm>
          <a:off x="14460665" y="334665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1839</xdr:row>
      <xdr:rowOff>18430</xdr:rowOff>
    </xdr:from>
    <xdr:to>
      <xdr:col>7</xdr:col>
      <xdr:colOff>220790</xdr:colOff>
      <xdr:row>1849</xdr:row>
      <xdr:rowOff>42540</xdr:rowOff>
    </xdr:to>
    <xdr:cxnSp macro="_xll.PtreeEvent_ObjectClick">
      <xdr:nvCxnSpPr>
        <xdr:cNvPr id="3650" name="PTObj_DBranchDLine_1_915">
          <a:extLst>
            <a:ext uri="{FF2B5EF4-FFF2-40B4-BE49-F238E27FC236}">
              <a16:creationId xmlns:a16="http://schemas.microsoft.com/office/drawing/2014/main" id="{9C2D8E32-5E8F-47E0-804D-95AE15367F9C}"/>
            </a:ext>
          </a:extLst>
        </xdr:cNvPr>
        <xdr:cNvCxnSpPr/>
      </xdr:nvCxnSpPr>
      <xdr:spPr>
        <a:xfrm>
          <a:off x="14308265" y="332831455"/>
          <a:ext cx="152400" cy="1833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1837</xdr:row>
      <xdr:rowOff>19695</xdr:rowOff>
    </xdr:from>
    <xdr:to>
      <xdr:col>11</xdr:col>
      <xdr:colOff>1394589</xdr:colOff>
      <xdr:row>1837</xdr:row>
      <xdr:rowOff>19695</xdr:rowOff>
    </xdr:to>
    <xdr:cxnSp macro="_xll.PtreeEvent_ObjectClick">
      <xdr:nvCxnSpPr>
        <xdr:cNvPr id="3647" name="PTObj_DBranchHLine_1_909">
          <a:extLst>
            <a:ext uri="{FF2B5EF4-FFF2-40B4-BE49-F238E27FC236}">
              <a16:creationId xmlns:a16="http://schemas.microsoft.com/office/drawing/2014/main" id="{A0E5C9BF-71EB-4447-9317-F86E75E19EFC}"/>
            </a:ext>
          </a:extLst>
        </xdr:cNvPr>
        <xdr:cNvCxnSpPr/>
      </xdr:nvCxnSpPr>
      <xdr:spPr>
        <a:xfrm>
          <a:off x="20149945" y="3324707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1835</xdr:row>
      <xdr:rowOff>3200</xdr:rowOff>
    </xdr:from>
    <xdr:to>
      <xdr:col>11</xdr:col>
      <xdr:colOff>195070</xdr:colOff>
      <xdr:row>1837</xdr:row>
      <xdr:rowOff>19695</xdr:rowOff>
    </xdr:to>
    <xdr:cxnSp macro="_xll.PtreeEvent_ObjectClick">
      <xdr:nvCxnSpPr>
        <xdr:cNvPr id="3646" name="PTObj_DBranchDLine_1_909">
          <a:extLst>
            <a:ext uri="{FF2B5EF4-FFF2-40B4-BE49-F238E27FC236}">
              <a16:creationId xmlns:a16="http://schemas.microsoft.com/office/drawing/2014/main" id="{88ED5077-E4D4-41F1-A9F5-F7EC1682E52E}"/>
            </a:ext>
          </a:extLst>
        </xdr:cNvPr>
        <xdr:cNvCxnSpPr/>
      </xdr:nvCxnSpPr>
      <xdr:spPr>
        <a:xfrm>
          <a:off x="19997545" y="3320923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1835</xdr:row>
      <xdr:rowOff>15875</xdr:rowOff>
    </xdr:from>
    <xdr:to>
      <xdr:col>10</xdr:col>
      <xdr:colOff>1388870</xdr:colOff>
      <xdr:row>1835</xdr:row>
      <xdr:rowOff>15875</xdr:rowOff>
    </xdr:to>
    <xdr:cxnSp macro="_xll.PtreeEvent_ObjectClick">
      <xdr:nvCxnSpPr>
        <xdr:cNvPr id="3643" name="PTObj_DBranchHLine_1_908">
          <a:extLst>
            <a:ext uri="{FF2B5EF4-FFF2-40B4-BE49-F238E27FC236}">
              <a16:creationId xmlns:a16="http://schemas.microsoft.com/office/drawing/2014/main" id="{37C1A3D3-105E-4EEE-BEA2-D7B4519B68A6}"/>
            </a:ext>
          </a:extLst>
        </xdr:cNvPr>
        <xdr:cNvCxnSpPr/>
      </xdr:nvCxnSpPr>
      <xdr:spPr>
        <a:xfrm>
          <a:off x="18730720" y="332105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1833</xdr:row>
      <xdr:rowOff>347</xdr:rowOff>
    </xdr:from>
    <xdr:to>
      <xdr:col>10</xdr:col>
      <xdr:colOff>204595</xdr:colOff>
      <xdr:row>1835</xdr:row>
      <xdr:rowOff>15875</xdr:rowOff>
    </xdr:to>
    <xdr:cxnSp macro="_xll.PtreeEvent_ObjectClick">
      <xdr:nvCxnSpPr>
        <xdr:cNvPr id="3642" name="PTObj_DBranchDLine_1_908">
          <a:extLst>
            <a:ext uri="{FF2B5EF4-FFF2-40B4-BE49-F238E27FC236}">
              <a16:creationId xmlns:a16="http://schemas.microsoft.com/office/drawing/2014/main" id="{0EEAA276-B6E4-49B9-BBDB-AB23D2DFA58B}"/>
            </a:ext>
          </a:extLst>
        </xdr:cNvPr>
        <xdr:cNvCxnSpPr/>
      </xdr:nvCxnSpPr>
      <xdr:spPr>
        <a:xfrm>
          <a:off x="18578320" y="3317275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1833</xdr:row>
      <xdr:rowOff>12055</xdr:rowOff>
    </xdr:from>
    <xdr:to>
      <xdr:col>9</xdr:col>
      <xdr:colOff>1392681</xdr:colOff>
      <xdr:row>1833</xdr:row>
      <xdr:rowOff>12055</xdr:rowOff>
    </xdr:to>
    <xdr:cxnSp macro="_xll.PtreeEvent_ObjectClick">
      <xdr:nvCxnSpPr>
        <xdr:cNvPr id="3639" name="PTObj_DBranchHLine_1_907">
          <a:extLst>
            <a:ext uri="{FF2B5EF4-FFF2-40B4-BE49-F238E27FC236}">
              <a16:creationId xmlns:a16="http://schemas.microsoft.com/office/drawing/2014/main" id="{2F250AB3-A1B9-4005-9C6D-C3397FA5E309}"/>
            </a:ext>
          </a:extLst>
        </xdr:cNvPr>
        <xdr:cNvCxnSpPr/>
      </xdr:nvCxnSpPr>
      <xdr:spPr>
        <a:xfrm>
          <a:off x="17306734" y="331739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1830</xdr:row>
      <xdr:rowOff>180330</xdr:rowOff>
    </xdr:from>
    <xdr:to>
      <xdr:col>9</xdr:col>
      <xdr:colOff>209359</xdr:colOff>
      <xdr:row>1833</xdr:row>
      <xdr:rowOff>12055</xdr:rowOff>
    </xdr:to>
    <xdr:cxnSp macro="_xll.PtreeEvent_ObjectClick">
      <xdr:nvCxnSpPr>
        <xdr:cNvPr id="3638" name="PTObj_DBranchDLine_1_907">
          <a:extLst>
            <a:ext uri="{FF2B5EF4-FFF2-40B4-BE49-F238E27FC236}">
              <a16:creationId xmlns:a16="http://schemas.microsoft.com/office/drawing/2014/main" id="{79611710-747B-4615-BA44-625DA16EE6E5}"/>
            </a:ext>
          </a:extLst>
        </xdr:cNvPr>
        <xdr:cNvCxnSpPr/>
      </xdr:nvCxnSpPr>
      <xdr:spPr>
        <a:xfrm>
          <a:off x="17154334" y="331364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1831</xdr:row>
      <xdr:rowOff>8260</xdr:rowOff>
    </xdr:from>
    <xdr:to>
      <xdr:col>8</xdr:col>
      <xdr:colOff>1398397</xdr:colOff>
      <xdr:row>1831</xdr:row>
      <xdr:rowOff>8260</xdr:rowOff>
    </xdr:to>
    <xdr:cxnSp macro="_xll.PtreeEvent_ObjectClick">
      <xdr:nvCxnSpPr>
        <xdr:cNvPr id="3635" name="PTObj_DBranchHLine_1_906">
          <a:extLst>
            <a:ext uri="{FF2B5EF4-FFF2-40B4-BE49-F238E27FC236}">
              <a16:creationId xmlns:a16="http://schemas.microsoft.com/office/drawing/2014/main" id="{BFE125EC-9A6B-45D0-8E53-F182E20E60B3}"/>
            </a:ext>
          </a:extLst>
        </xdr:cNvPr>
        <xdr:cNvCxnSpPr/>
      </xdr:nvCxnSpPr>
      <xdr:spPr>
        <a:xfrm>
          <a:off x="15888463" y="331373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1828</xdr:row>
      <xdr:rowOff>180355</xdr:rowOff>
    </xdr:from>
    <xdr:to>
      <xdr:col>8</xdr:col>
      <xdr:colOff>219838</xdr:colOff>
      <xdr:row>1831</xdr:row>
      <xdr:rowOff>8260</xdr:rowOff>
    </xdr:to>
    <xdr:cxnSp macro="_xll.PtreeEvent_ObjectClick">
      <xdr:nvCxnSpPr>
        <xdr:cNvPr id="3634" name="PTObj_DBranchDLine_1_906">
          <a:extLst>
            <a:ext uri="{FF2B5EF4-FFF2-40B4-BE49-F238E27FC236}">
              <a16:creationId xmlns:a16="http://schemas.microsoft.com/office/drawing/2014/main" id="{0CE09E07-687D-4082-BB34-38E69EBE723D}"/>
            </a:ext>
          </a:extLst>
        </xdr:cNvPr>
        <xdr:cNvCxnSpPr/>
      </xdr:nvCxnSpPr>
      <xdr:spPr>
        <a:xfrm>
          <a:off x="15736063" y="3310026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1827</xdr:row>
      <xdr:rowOff>645</xdr:rowOff>
    </xdr:from>
    <xdr:to>
      <xdr:col>11</xdr:col>
      <xdr:colOff>1386967</xdr:colOff>
      <xdr:row>1827</xdr:row>
      <xdr:rowOff>645</xdr:rowOff>
    </xdr:to>
    <xdr:cxnSp macro="_xll.PtreeEvent_ObjectClick">
      <xdr:nvCxnSpPr>
        <xdr:cNvPr id="3631" name="PTObj_DBranchHLine_1_904">
          <a:extLst>
            <a:ext uri="{FF2B5EF4-FFF2-40B4-BE49-F238E27FC236}">
              <a16:creationId xmlns:a16="http://schemas.microsoft.com/office/drawing/2014/main" id="{E764392F-F898-43B0-810E-1B002255E5BB}"/>
            </a:ext>
          </a:extLst>
        </xdr:cNvPr>
        <xdr:cNvCxnSpPr/>
      </xdr:nvCxnSpPr>
      <xdr:spPr>
        <a:xfrm>
          <a:off x="20149945" y="330641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1824</xdr:row>
      <xdr:rowOff>175592</xdr:rowOff>
    </xdr:from>
    <xdr:to>
      <xdr:col>11</xdr:col>
      <xdr:colOff>195070</xdr:colOff>
      <xdr:row>1827</xdr:row>
      <xdr:rowOff>645</xdr:rowOff>
    </xdr:to>
    <xdr:cxnSp macro="_xll.PtreeEvent_ObjectClick">
      <xdr:nvCxnSpPr>
        <xdr:cNvPr id="3630" name="PTObj_DBranchDLine_1_904">
          <a:extLst>
            <a:ext uri="{FF2B5EF4-FFF2-40B4-BE49-F238E27FC236}">
              <a16:creationId xmlns:a16="http://schemas.microsoft.com/office/drawing/2014/main" id="{1A13E0CF-3A7A-428F-A324-9DFE91129567}"/>
            </a:ext>
          </a:extLst>
        </xdr:cNvPr>
        <xdr:cNvCxnSpPr/>
      </xdr:nvCxnSpPr>
      <xdr:spPr>
        <a:xfrm>
          <a:off x="19997545" y="3302739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1824</xdr:row>
      <xdr:rowOff>177800</xdr:rowOff>
    </xdr:from>
    <xdr:to>
      <xdr:col>10</xdr:col>
      <xdr:colOff>1388870</xdr:colOff>
      <xdr:row>1824</xdr:row>
      <xdr:rowOff>177800</xdr:rowOff>
    </xdr:to>
    <xdr:cxnSp macro="_xll.PtreeEvent_ObjectClick">
      <xdr:nvCxnSpPr>
        <xdr:cNvPr id="3627" name="PTObj_DBranchHLine_1_903">
          <a:extLst>
            <a:ext uri="{FF2B5EF4-FFF2-40B4-BE49-F238E27FC236}">
              <a16:creationId xmlns:a16="http://schemas.microsoft.com/office/drawing/2014/main" id="{0E333100-74C4-4ED1-B6C2-BA72CEFC6DA5}"/>
            </a:ext>
          </a:extLst>
        </xdr:cNvPr>
        <xdr:cNvCxnSpPr/>
      </xdr:nvCxnSpPr>
      <xdr:spPr>
        <a:xfrm>
          <a:off x="18730720" y="330276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1822</xdr:row>
      <xdr:rowOff>173658</xdr:rowOff>
    </xdr:from>
    <xdr:to>
      <xdr:col>10</xdr:col>
      <xdr:colOff>204595</xdr:colOff>
      <xdr:row>1824</xdr:row>
      <xdr:rowOff>177800</xdr:rowOff>
    </xdr:to>
    <xdr:cxnSp macro="_xll.PtreeEvent_ObjectClick">
      <xdr:nvCxnSpPr>
        <xdr:cNvPr id="3626" name="PTObj_DBranchDLine_1_903">
          <a:extLst>
            <a:ext uri="{FF2B5EF4-FFF2-40B4-BE49-F238E27FC236}">
              <a16:creationId xmlns:a16="http://schemas.microsoft.com/office/drawing/2014/main" id="{F07E3B75-33EF-4BEC-A135-D706A0F8E4FE}"/>
            </a:ext>
          </a:extLst>
        </xdr:cNvPr>
        <xdr:cNvCxnSpPr/>
      </xdr:nvCxnSpPr>
      <xdr:spPr>
        <a:xfrm>
          <a:off x="18578320" y="3299101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1822</xdr:row>
      <xdr:rowOff>173980</xdr:rowOff>
    </xdr:from>
    <xdr:to>
      <xdr:col>9</xdr:col>
      <xdr:colOff>1392681</xdr:colOff>
      <xdr:row>1822</xdr:row>
      <xdr:rowOff>173980</xdr:rowOff>
    </xdr:to>
    <xdr:cxnSp macro="_xll.PtreeEvent_ObjectClick">
      <xdr:nvCxnSpPr>
        <xdr:cNvPr id="3623" name="PTObj_DBranchHLine_1_902">
          <a:extLst>
            <a:ext uri="{FF2B5EF4-FFF2-40B4-BE49-F238E27FC236}">
              <a16:creationId xmlns:a16="http://schemas.microsoft.com/office/drawing/2014/main" id="{B13433A0-6FFB-416E-B7A4-BDBC7CCE79C8}"/>
            </a:ext>
          </a:extLst>
        </xdr:cNvPr>
        <xdr:cNvCxnSpPr/>
      </xdr:nvCxnSpPr>
      <xdr:spPr>
        <a:xfrm>
          <a:off x="17306734" y="329910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1820</xdr:row>
      <xdr:rowOff>167928</xdr:rowOff>
    </xdr:from>
    <xdr:to>
      <xdr:col>9</xdr:col>
      <xdr:colOff>209359</xdr:colOff>
      <xdr:row>1822</xdr:row>
      <xdr:rowOff>173980</xdr:rowOff>
    </xdr:to>
    <xdr:cxnSp macro="_xll.PtreeEvent_ObjectClick">
      <xdr:nvCxnSpPr>
        <xdr:cNvPr id="3622" name="PTObj_DBranchDLine_1_902">
          <a:extLst>
            <a:ext uri="{FF2B5EF4-FFF2-40B4-BE49-F238E27FC236}">
              <a16:creationId xmlns:a16="http://schemas.microsoft.com/office/drawing/2014/main" id="{F8634FE5-583A-4992-8D27-0E5767E85241}"/>
            </a:ext>
          </a:extLst>
        </xdr:cNvPr>
        <xdr:cNvCxnSpPr/>
      </xdr:nvCxnSpPr>
      <xdr:spPr>
        <a:xfrm>
          <a:off x="17154334" y="3295424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1820</xdr:row>
      <xdr:rowOff>170185</xdr:rowOff>
    </xdr:from>
    <xdr:to>
      <xdr:col>8</xdr:col>
      <xdr:colOff>1398397</xdr:colOff>
      <xdr:row>1820</xdr:row>
      <xdr:rowOff>170185</xdr:rowOff>
    </xdr:to>
    <xdr:cxnSp macro="_xll.PtreeEvent_ObjectClick">
      <xdr:nvCxnSpPr>
        <xdr:cNvPr id="3619" name="PTObj_DBranchHLine_1_901">
          <a:extLst>
            <a:ext uri="{FF2B5EF4-FFF2-40B4-BE49-F238E27FC236}">
              <a16:creationId xmlns:a16="http://schemas.microsoft.com/office/drawing/2014/main" id="{254A2EF7-D936-437D-B47E-CB1782D5AD38}"/>
            </a:ext>
          </a:extLst>
        </xdr:cNvPr>
        <xdr:cNvCxnSpPr/>
      </xdr:nvCxnSpPr>
      <xdr:spPr>
        <a:xfrm>
          <a:off x="15884652" y="329544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1820</xdr:row>
      <xdr:rowOff>170185</xdr:rowOff>
    </xdr:from>
    <xdr:to>
      <xdr:col>8</xdr:col>
      <xdr:colOff>216027</xdr:colOff>
      <xdr:row>1828</xdr:row>
      <xdr:rowOff>180355</xdr:rowOff>
    </xdr:to>
    <xdr:cxnSp macro="_xll.PtreeEvent_ObjectClick">
      <xdr:nvCxnSpPr>
        <xdr:cNvPr id="3618" name="PTObj_DBranchDLine_1_901">
          <a:extLst>
            <a:ext uri="{FF2B5EF4-FFF2-40B4-BE49-F238E27FC236}">
              <a16:creationId xmlns:a16="http://schemas.microsoft.com/office/drawing/2014/main" id="{0B358CF8-4051-41C1-9FA4-1F0976DCEACC}"/>
            </a:ext>
          </a:extLst>
        </xdr:cNvPr>
        <xdr:cNvCxnSpPr/>
      </xdr:nvCxnSpPr>
      <xdr:spPr>
        <a:xfrm flipV="1">
          <a:off x="15732252" y="3295446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1829</xdr:row>
      <xdr:rowOff>4440</xdr:rowOff>
    </xdr:from>
    <xdr:to>
      <xdr:col>7</xdr:col>
      <xdr:colOff>1402207</xdr:colOff>
      <xdr:row>1829</xdr:row>
      <xdr:rowOff>4440</xdr:rowOff>
    </xdr:to>
    <xdr:cxnSp macro="_xll.PtreeEvent_ObjectClick">
      <xdr:nvCxnSpPr>
        <xdr:cNvPr id="3615" name="PTObj_DBranchHLine_1_905">
          <a:extLst>
            <a:ext uri="{FF2B5EF4-FFF2-40B4-BE49-F238E27FC236}">
              <a16:creationId xmlns:a16="http://schemas.microsoft.com/office/drawing/2014/main" id="{6006F63A-6D6C-4AC6-AC15-35588D925811}"/>
            </a:ext>
          </a:extLst>
        </xdr:cNvPr>
        <xdr:cNvCxnSpPr/>
      </xdr:nvCxnSpPr>
      <xdr:spPr>
        <a:xfrm>
          <a:off x="14462570" y="3310077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1829</xdr:row>
      <xdr:rowOff>4440</xdr:rowOff>
    </xdr:from>
    <xdr:to>
      <xdr:col>7</xdr:col>
      <xdr:colOff>222695</xdr:colOff>
      <xdr:row>1839</xdr:row>
      <xdr:rowOff>18430</xdr:rowOff>
    </xdr:to>
    <xdr:cxnSp macro="_xll.PtreeEvent_ObjectClick">
      <xdr:nvCxnSpPr>
        <xdr:cNvPr id="3614" name="PTObj_DBranchDLine_1_905">
          <a:extLst>
            <a:ext uri="{FF2B5EF4-FFF2-40B4-BE49-F238E27FC236}">
              <a16:creationId xmlns:a16="http://schemas.microsoft.com/office/drawing/2014/main" id="{8DA1A04D-2CF0-4AF1-BA1A-1D28892897BB}"/>
            </a:ext>
          </a:extLst>
        </xdr:cNvPr>
        <xdr:cNvCxnSpPr/>
      </xdr:nvCxnSpPr>
      <xdr:spPr>
        <a:xfrm flipV="1">
          <a:off x="14310170" y="3310077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1839</xdr:row>
      <xdr:rowOff>23490</xdr:rowOff>
    </xdr:from>
    <xdr:to>
      <xdr:col>6</xdr:col>
      <xdr:colOff>1407922</xdr:colOff>
      <xdr:row>1839</xdr:row>
      <xdr:rowOff>23490</xdr:rowOff>
    </xdr:to>
    <xdr:cxnSp macro="_xll.PtreeEvent_ObjectClick">
      <xdr:nvCxnSpPr>
        <xdr:cNvPr id="3611" name="PTObj_DBranchHLine_1_910">
          <a:extLst>
            <a:ext uri="{FF2B5EF4-FFF2-40B4-BE49-F238E27FC236}">
              <a16:creationId xmlns:a16="http://schemas.microsoft.com/office/drawing/2014/main" id="{0A672527-E522-4C31-91E9-777F2E173928}"/>
            </a:ext>
          </a:extLst>
        </xdr:cNvPr>
        <xdr:cNvCxnSpPr/>
      </xdr:nvCxnSpPr>
      <xdr:spPr>
        <a:xfrm>
          <a:off x="13036677" y="332836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1818</xdr:row>
      <xdr:rowOff>161305</xdr:rowOff>
    </xdr:from>
    <xdr:to>
      <xdr:col>6</xdr:col>
      <xdr:colOff>225552</xdr:colOff>
      <xdr:row>1839</xdr:row>
      <xdr:rowOff>23490</xdr:rowOff>
    </xdr:to>
    <xdr:cxnSp macro="_xll.PtreeEvent_ObjectClick">
      <xdr:nvCxnSpPr>
        <xdr:cNvPr id="3610" name="PTObj_DBranchDLine_1_910">
          <a:extLst>
            <a:ext uri="{FF2B5EF4-FFF2-40B4-BE49-F238E27FC236}">
              <a16:creationId xmlns:a16="http://schemas.microsoft.com/office/drawing/2014/main" id="{D62B3292-5EB4-4969-8107-9EA5B615045F}"/>
            </a:ext>
          </a:extLst>
        </xdr:cNvPr>
        <xdr:cNvCxnSpPr/>
      </xdr:nvCxnSpPr>
      <xdr:spPr>
        <a:xfrm>
          <a:off x="12884276" y="329173855"/>
          <a:ext cx="152401" cy="36626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1816</xdr:row>
      <xdr:rowOff>162570</xdr:rowOff>
    </xdr:from>
    <xdr:to>
      <xdr:col>11</xdr:col>
      <xdr:colOff>1394589</xdr:colOff>
      <xdr:row>1816</xdr:row>
      <xdr:rowOff>162570</xdr:rowOff>
    </xdr:to>
    <xdr:cxnSp macro="_xll.PtreeEvent_ObjectClick">
      <xdr:nvCxnSpPr>
        <xdr:cNvPr id="3607" name="PTObj_DBranchHLine_1_899">
          <a:extLst>
            <a:ext uri="{FF2B5EF4-FFF2-40B4-BE49-F238E27FC236}">
              <a16:creationId xmlns:a16="http://schemas.microsoft.com/office/drawing/2014/main" id="{960400CE-5958-47D1-83A9-CD8C21CBFDFE}"/>
            </a:ext>
          </a:extLst>
        </xdr:cNvPr>
        <xdr:cNvCxnSpPr/>
      </xdr:nvCxnSpPr>
      <xdr:spPr>
        <a:xfrm>
          <a:off x="20149945" y="3288131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1814</xdr:row>
      <xdr:rowOff>146075</xdr:rowOff>
    </xdr:from>
    <xdr:to>
      <xdr:col>11</xdr:col>
      <xdr:colOff>195070</xdr:colOff>
      <xdr:row>1816</xdr:row>
      <xdr:rowOff>162570</xdr:rowOff>
    </xdr:to>
    <xdr:cxnSp macro="_xll.PtreeEvent_ObjectClick">
      <xdr:nvCxnSpPr>
        <xdr:cNvPr id="3606" name="PTObj_DBranchDLine_1_899">
          <a:extLst>
            <a:ext uri="{FF2B5EF4-FFF2-40B4-BE49-F238E27FC236}">
              <a16:creationId xmlns:a16="http://schemas.microsoft.com/office/drawing/2014/main" id="{C8A01F00-FD58-4744-98ED-5149BC738CF7}"/>
            </a:ext>
          </a:extLst>
        </xdr:cNvPr>
        <xdr:cNvCxnSpPr/>
      </xdr:nvCxnSpPr>
      <xdr:spPr>
        <a:xfrm>
          <a:off x="19997545" y="3284347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1814</xdr:row>
      <xdr:rowOff>158750</xdr:rowOff>
    </xdr:from>
    <xdr:to>
      <xdr:col>10</xdr:col>
      <xdr:colOff>1388870</xdr:colOff>
      <xdr:row>1814</xdr:row>
      <xdr:rowOff>158750</xdr:rowOff>
    </xdr:to>
    <xdr:cxnSp macro="_xll.PtreeEvent_ObjectClick">
      <xdr:nvCxnSpPr>
        <xdr:cNvPr id="3603" name="PTObj_DBranchHLine_1_898">
          <a:extLst>
            <a:ext uri="{FF2B5EF4-FFF2-40B4-BE49-F238E27FC236}">
              <a16:creationId xmlns:a16="http://schemas.microsoft.com/office/drawing/2014/main" id="{E836999C-50C8-4A8F-ACB4-4BD5FA193B9B}"/>
            </a:ext>
          </a:extLst>
        </xdr:cNvPr>
        <xdr:cNvCxnSpPr/>
      </xdr:nvCxnSpPr>
      <xdr:spPr>
        <a:xfrm>
          <a:off x="18730720" y="328447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1812</xdr:row>
      <xdr:rowOff>143222</xdr:rowOff>
    </xdr:from>
    <xdr:to>
      <xdr:col>10</xdr:col>
      <xdr:colOff>204595</xdr:colOff>
      <xdr:row>1814</xdr:row>
      <xdr:rowOff>158750</xdr:rowOff>
    </xdr:to>
    <xdr:cxnSp macro="_xll.PtreeEvent_ObjectClick">
      <xdr:nvCxnSpPr>
        <xdr:cNvPr id="3602" name="PTObj_DBranchDLine_1_898">
          <a:extLst>
            <a:ext uri="{FF2B5EF4-FFF2-40B4-BE49-F238E27FC236}">
              <a16:creationId xmlns:a16="http://schemas.microsoft.com/office/drawing/2014/main" id="{AE0D85C5-C9F5-4A1E-A262-AAECF1EAD3D6}"/>
            </a:ext>
          </a:extLst>
        </xdr:cNvPr>
        <xdr:cNvCxnSpPr/>
      </xdr:nvCxnSpPr>
      <xdr:spPr>
        <a:xfrm>
          <a:off x="18578320" y="3280699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1812</xdr:row>
      <xdr:rowOff>154930</xdr:rowOff>
    </xdr:from>
    <xdr:to>
      <xdr:col>9</xdr:col>
      <xdr:colOff>1392681</xdr:colOff>
      <xdr:row>1812</xdr:row>
      <xdr:rowOff>154930</xdr:rowOff>
    </xdr:to>
    <xdr:cxnSp macro="_xll.PtreeEvent_ObjectClick">
      <xdr:nvCxnSpPr>
        <xdr:cNvPr id="3599" name="PTObj_DBranchHLine_1_897">
          <a:extLst>
            <a:ext uri="{FF2B5EF4-FFF2-40B4-BE49-F238E27FC236}">
              <a16:creationId xmlns:a16="http://schemas.microsoft.com/office/drawing/2014/main" id="{10168EA6-B04D-4AB7-91A7-46D12FB35DA6}"/>
            </a:ext>
          </a:extLst>
        </xdr:cNvPr>
        <xdr:cNvCxnSpPr/>
      </xdr:nvCxnSpPr>
      <xdr:spPr>
        <a:xfrm>
          <a:off x="17306734" y="328081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1810</xdr:row>
      <xdr:rowOff>142230</xdr:rowOff>
    </xdr:from>
    <xdr:to>
      <xdr:col>9</xdr:col>
      <xdr:colOff>209359</xdr:colOff>
      <xdr:row>1812</xdr:row>
      <xdr:rowOff>154930</xdr:rowOff>
    </xdr:to>
    <xdr:cxnSp macro="_xll.PtreeEvent_ObjectClick">
      <xdr:nvCxnSpPr>
        <xdr:cNvPr id="3598" name="PTObj_DBranchDLine_1_897">
          <a:extLst>
            <a:ext uri="{FF2B5EF4-FFF2-40B4-BE49-F238E27FC236}">
              <a16:creationId xmlns:a16="http://schemas.microsoft.com/office/drawing/2014/main" id="{760A9DA9-B7C5-4F45-BE76-1ACAF41F03F4}"/>
            </a:ext>
          </a:extLst>
        </xdr:cNvPr>
        <xdr:cNvCxnSpPr/>
      </xdr:nvCxnSpPr>
      <xdr:spPr>
        <a:xfrm>
          <a:off x="17154334" y="327706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1810</xdr:row>
      <xdr:rowOff>151135</xdr:rowOff>
    </xdr:from>
    <xdr:to>
      <xdr:col>8</xdr:col>
      <xdr:colOff>1398397</xdr:colOff>
      <xdr:row>1810</xdr:row>
      <xdr:rowOff>151135</xdr:rowOff>
    </xdr:to>
    <xdr:cxnSp macro="_xll.PtreeEvent_ObjectClick">
      <xdr:nvCxnSpPr>
        <xdr:cNvPr id="3595" name="PTObj_DBranchHLine_1_896">
          <a:extLst>
            <a:ext uri="{FF2B5EF4-FFF2-40B4-BE49-F238E27FC236}">
              <a16:creationId xmlns:a16="http://schemas.microsoft.com/office/drawing/2014/main" id="{4C7AADC5-0435-436E-9CEF-B14156176A93}"/>
            </a:ext>
          </a:extLst>
        </xdr:cNvPr>
        <xdr:cNvCxnSpPr/>
      </xdr:nvCxnSpPr>
      <xdr:spPr>
        <a:xfrm>
          <a:off x="15888463" y="327715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1808</xdr:row>
      <xdr:rowOff>142255</xdr:rowOff>
    </xdr:from>
    <xdr:to>
      <xdr:col>8</xdr:col>
      <xdr:colOff>219838</xdr:colOff>
      <xdr:row>1810</xdr:row>
      <xdr:rowOff>151135</xdr:rowOff>
    </xdr:to>
    <xdr:cxnSp macro="_xll.PtreeEvent_ObjectClick">
      <xdr:nvCxnSpPr>
        <xdr:cNvPr id="3594" name="PTObj_DBranchDLine_1_896">
          <a:extLst>
            <a:ext uri="{FF2B5EF4-FFF2-40B4-BE49-F238E27FC236}">
              <a16:creationId xmlns:a16="http://schemas.microsoft.com/office/drawing/2014/main" id="{D95EFB0B-8F87-4879-A473-1EDFDAA4D997}"/>
            </a:ext>
          </a:extLst>
        </xdr:cNvPr>
        <xdr:cNvCxnSpPr/>
      </xdr:nvCxnSpPr>
      <xdr:spPr>
        <a:xfrm>
          <a:off x="15736063" y="3273450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1806</xdr:row>
      <xdr:rowOff>143520</xdr:rowOff>
    </xdr:from>
    <xdr:to>
      <xdr:col>11</xdr:col>
      <xdr:colOff>1386967</xdr:colOff>
      <xdr:row>1806</xdr:row>
      <xdr:rowOff>143520</xdr:rowOff>
    </xdr:to>
    <xdr:cxnSp macro="_xll.PtreeEvent_ObjectClick">
      <xdr:nvCxnSpPr>
        <xdr:cNvPr id="3591" name="PTObj_DBranchHLine_1_894">
          <a:extLst>
            <a:ext uri="{FF2B5EF4-FFF2-40B4-BE49-F238E27FC236}">
              <a16:creationId xmlns:a16="http://schemas.microsoft.com/office/drawing/2014/main" id="{A71C0394-D305-46CF-AC9E-981313C20AA8}"/>
            </a:ext>
          </a:extLst>
        </xdr:cNvPr>
        <xdr:cNvCxnSpPr/>
      </xdr:nvCxnSpPr>
      <xdr:spPr>
        <a:xfrm>
          <a:off x="20149945" y="326984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1804</xdr:row>
      <xdr:rowOff>137492</xdr:rowOff>
    </xdr:from>
    <xdr:to>
      <xdr:col>11</xdr:col>
      <xdr:colOff>195070</xdr:colOff>
      <xdr:row>1806</xdr:row>
      <xdr:rowOff>143520</xdr:rowOff>
    </xdr:to>
    <xdr:cxnSp macro="_xll.PtreeEvent_ObjectClick">
      <xdr:nvCxnSpPr>
        <xdr:cNvPr id="3590" name="PTObj_DBranchDLine_1_894">
          <a:extLst>
            <a:ext uri="{FF2B5EF4-FFF2-40B4-BE49-F238E27FC236}">
              <a16:creationId xmlns:a16="http://schemas.microsoft.com/office/drawing/2014/main" id="{F97D0610-667D-4DA2-82E4-A80CD6CB31AF}"/>
            </a:ext>
          </a:extLst>
        </xdr:cNvPr>
        <xdr:cNvCxnSpPr/>
      </xdr:nvCxnSpPr>
      <xdr:spPr>
        <a:xfrm>
          <a:off x="19997545" y="3266163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1804</xdr:row>
      <xdr:rowOff>139700</xdr:rowOff>
    </xdr:from>
    <xdr:to>
      <xdr:col>10</xdr:col>
      <xdr:colOff>1388870</xdr:colOff>
      <xdr:row>1804</xdr:row>
      <xdr:rowOff>139700</xdr:rowOff>
    </xdr:to>
    <xdr:cxnSp macro="_xll.PtreeEvent_ObjectClick">
      <xdr:nvCxnSpPr>
        <xdr:cNvPr id="3587" name="PTObj_DBranchHLine_1_893">
          <a:extLst>
            <a:ext uri="{FF2B5EF4-FFF2-40B4-BE49-F238E27FC236}">
              <a16:creationId xmlns:a16="http://schemas.microsoft.com/office/drawing/2014/main" id="{70FDFD18-5559-4C9D-954E-1C5F1E1556E6}"/>
            </a:ext>
          </a:extLst>
        </xdr:cNvPr>
        <xdr:cNvCxnSpPr/>
      </xdr:nvCxnSpPr>
      <xdr:spPr>
        <a:xfrm>
          <a:off x="18730720" y="326618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1802</xdr:row>
      <xdr:rowOff>135558</xdr:rowOff>
    </xdr:from>
    <xdr:to>
      <xdr:col>10</xdr:col>
      <xdr:colOff>204595</xdr:colOff>
      <xdr:row>1804</xdr:row>
      <xdr:rowOff>139700</xdr:rowOff>
    </xdr:to>
    <xdr:cxnSp macro="_xll.PtreeEvent_ObjectClick">
      <xdr:nvCxnSpPr>
        <xdr:cNvPr id="3586" name="PTObj_DBranchDLine_1_893">
          <a:extLst>
            <a:ext uri="{FF2B5EF4-FFF2-40B4-BE49-F238E27FC236}">
              <a16:creationId xmlns:a16="http://schemas.microsoft.com/office/drawing/2014/main" id="{0DA25806-AA07-4BC5-A782-69BEE61D90CE}"/>
            </a:ext>
          </a:extLst>
        </xdr:cNvPr>
        <xdr:cNvCxnSpPr/>
      </xdr:nvCxnSpPr>
      <xdr:spPr>
        <a:xfrm>
          <a:off x="18578320" y="3262525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1802</xdr:row>
      <xdr:rowOff>135880</xdr:rowOff>
    </xdr:from>
    <xdr:to>
      <xdr:col>9</xdr:col>
      <xdr:colOff>1392681</xdr:colOff>
      <xdr:row>1802</xdr:row>
      <xdr:rowOff>135880</xdr:rowOff>
    </xdr:to>
    <xdr:cxnSp macro="_xll.PtreeEvent_ObjectClick">
      <xdr:nvCxnSpPr>
        <xdr:cNvPr id="3583" name="PTObj_DBranchHLine_1_892">
          <a:extLst>
            <a:ext uri="{FF2B5EF4-FFF2-40B4-BE49-F238E27FC236}">
              <a16:creationId xmlns:a16="http://schemas.microsoft.com/office/drawing/2014/main" id="{A134D3E7-459B-46A0-9E2E-44FA3DEECF15}"/>
            </a:ext>
          </a:extLst>
        </xdr:cNvPr>
        <xdr:cNvCxnSpPr/>
      </xdr:nvCxnSpPr>
      <xdr:spPr>
        <a:xfrm>
          <a:off x="17306734" y="326252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1800</xdr:row>
      <xdr:rowOff>129828</xdr:rowOff>
    </xdr:from>
    <xdr:to>
      <xdr:col>9</xdr:col>
      <xdr:colOff>209359</xdr:colOff>
      <xdr:row>1802</xdr:row>
      <xdr:rowOff>135880</xdr:rowOff>
    </xdr:to>
    <xdr:cxnSp macro="_xll.PtreeEvent_ObjectClick">
      <xdr:nvCxnSpPr>
        <xdr:cNvPr id="3582" name="PTObj_DBranchDLine_1_892">
          <a:extLst>
            <a:ext uri="{FF2B5EF4-FFF2-40B4-BE49-F238E27FC236}">
              <a16:creationId xmlns:a16="http://schemas.microsoft.com/office/drawing/2014/main" id="{9CF26506-7557-497F-9BA5-536C00DE54EA}"/>
            </a:ext>
          </a:extLst>
        </xdr:cNvPr>
        <xdr:cNvCxnSpPr/>
      </xdr:nvCxnSpPr>
      <xdr:spPr>
        <a:xfrm>
          <a:off x="17154334" y="3258848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1800</xdr:row>
      <xdr:rowOff>132085</xdr:rowOff>
    </xdr:from>
    <xdr:to>
      <xdr:col>8</xdr:col>
      <xdr:colOff>1398397</xdr:colOff>
      <xdr:row>1800</xdr:row>
      <xdr:rowOff>132085</xdr:rowOff>
    </xdr:to>
    <xdr:cxnSp macro="_xll.PtreeEvent_ObjectClick">
      <xdr:nvCxnSpPr>
        <xdr:cNvPr id="3579" name="PTObj_DBranchHLine_1_891">
          <a:extLst>
            <a:ext uri="{FF2B5EF4-FFF2-40B4-BE49-F238E27FC236}">
              <a16:creationId xmlns:a16="http://schemas.microsoft.com/office/drawing/2014/main" id="{732035E6-9449-4015-B56B-49E999207AA7}"/>
            </a:ext>
          </a:extLst>
        </xdr:cNvPr>
        <xdr:cNvCxnSpPr/>
      </xdr:nvCxnSpPr>
      <xdr:spPr>
        <a:xfrm>
          <a:off x="15884652" y="325887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1800</xdr:row>
      <xdr:rowOff>132085</xdr:rowOff>
    </xdr:from>
    <xdr:to>
      <xdr:col>8</xdr:col>
      <xdr:colOff>216027</xdr:colOff>
      <xdr:row>1808</xdr:row>
      <xdr:rowOff>142255</xdr:rowOff>
    </xdr:to>
    <xdr:cxnSp macro="_xll.PtreeEvent_ObjectClick">
      <xdr:nvCxnSpPr>
        <xdr:cNvPr id="3578" name="PTObj_DBranchDLine_1_891">
          <a:extLst>
            <a:ext uri="{FF2B5EF4-FFF2-40B4-BE49-F238E27FC236}">
              <a16:creationId xmlns:a16="http://schemas.microsoft.com/office/drawing/2014/main" id="{E5CF3E99-AC79-4171-A159-EC83341A5C15}"/>
            </a:ext>
          </a:extLst>
        </xdr:cNvPr>
        <xdr:cNvCxnSpPr/>
      </xdr:nvCxnSpPr>
      <xdr:spPr>
        <a:xfrm flipV="1">
          <a:off x="15732252" y="3258870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1808</xdr:row>
      <xdr:rowOff>147315</xdr:rowOff>
    </xdr:from>
    <xdr:to>
      <xdr:col>7</xdr:col>
      <xdr:colOff>1402207</xdr:colOff>
      <xdr:row>1808</xdr:row>
      <xdr:rowOff>147315</xdr:rowOff>
    </xdr:to>
    <xdr:cxnSp macro="_xll.PtreeEvent_ObjectClick">
      <xdr:nvCxnSpPr>
        <xdr:cNvPr id="3575" name="PTObj_DBranchHLine_1_895">
          <a:extLst>
            <a:ext uri="{FF2B5EF4-FFF2-40B4-BE49-F238E27FC236}">
              <a16:creationId xmlns:a16="http://schemas.microsoft.com/office/drawing/2014/main" id="{CF315868-31F6-4881-AC2B-E910D17F7AB5}"/>
            </a:ext>
          </a:extLst>
        </xdr:cNvPr>
        <xdr:cNvCxnSpPr/>
      </xdr:nvCxnSpPr>
      <xdr:spPr>
        <a:xfrm>
          <a:off x="14460665" y="3273501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1798</xdr:row>
      <xdr:rowOff>123205</xdr:rowOff>
    </xdr:from>
    <xdr:to>
      <xdr:col>7</xdr:col>
      <xdr:colOff>220790</xdr:colOff>
      <xdr:row>1808</xdr:row>
      <xdr:rowOff>147315</xdr:rowOff>
    </xdr:to>
    <xdr:cxnSp macro="_xll.PtreeEvent_ObjectClick">
      <xdr:nvCxnSpPr>
        <xdr:cNvPr id="3574" name="PTObj_DBranchDLine_1_895">
          <a:extLst>
            <a:ext uri="{FF2B5EF4-FFF2-40B4-BE49-F238E27FC236}">
              <a16:creationId xmlns:a16="http://schemas.microsoft.com/office/drawing/2014/main" id="{A6C84A11-9EFE-41D4-951C-F750346C3E22}"/>
            </a:ext>
          </a:extLst>
        </xdr:cNvPr>
        <xdr:cNvCxnSpPr/>
      </xdr:nvCxnSpPr>
      <xdr:spPr>
        <a:xfrm>
          <a:off x="14308265" y="325516255"/>
          <a:ext cx="152400" cy="1833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1796</xdr:row>
      <xdr:rowOff>124470</xdr:rowOff>
    </xdr:from>
    <xdr:to>
      <xdr:col>11</xdr:col>
      <xdr:colOff>1394589</xdr:colOff>
      <xdr:row>1796</xdr:row>
      <xdr:rowOff>124470</xdr:rowOff>
    </xdr:to>
    <xdr:cxnSp macro="_xll.PtreeEvent_ObjectClick">
      <xdr:nvCxnSpPr>
        <xdr:cNvPr id="3571" name="PTObj_DBranchHLine_1_889">
          <a:extLst>
            <a:ext uri="{FF2B5EF4-FFF2-40B4-BE49-F238E27FC236}">
              <a16:creationId xmlns:a16="http://schemas.microsoft.com/office/drawing/2014/main" id="{7917362E-33CF-41B4-86D9-7D50247A9E1E}"/>
            </a:ext>
          </a:extLst>
        </xdr:cNvPr>
        <xdr:cNvCxnSpPr/>
      </xdr:nvCxnSpPr>
      <xdr:spPr>
        <a:xfrm>
          <a:off x="20149945" y="3251555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1794</xdr:row>
      <xdr:rowOff>107975</xdr:rowOff>
    </xdr:from>
    <xdr:to>
      <xdr:col>11</xdr:col>
      <xdr:colOff>195070</xdr:colOff>
      <xdr:row>1796</xdr:row>
      <xdr:rowOff>124470</xdr:rowOff>
    </xdr:to>
    <xdr:cxnSp macro="_xll.PtreeEvent_ObjectClick">
      <xdr:nvCxnSpPr>
        <xdr:cNvPr id="3570" name="PTObj_DBranchDLine_1_889">
          <a:extLst>
            <a:ext uri="{FF2B5EF4-FFF2-40B4-BE49-F238E27FC236}">
              <a16:creationId xmlns:a16="http://schemas.microsoft.com/office/drawing/2014/main" id="{5C3331ED-C7E7-4549-ABE3-64E3091B4DDA}"/>
            </a:ext>
          </a:extLst>
        </xdr:cNvPr>
        <xdr:cNvCxnSpPr/>
      </xdr:nvCxnSpPr>
      <xdr:spPr>
        <a:xfrm>
          <a:off x="19997545" y="3247771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1794</xdr:row>
      <xdr:rowOff>120650</xdr:rowOff>
    </xdr:from>
    <xdr:to>
      <xdr:col>10</xdr:col>
      <xdr:colOff>1388870</xdr:colOff>
      <xdr:row>1794</xdr:row>
      <xdr:rowOff>120650</xdr:rowOff>
    </xdr:to>
    <xdr:cxnSp macro="_xll.PtreeEvent_ObjectClick">
      <xdr:nvCxnSpPr>
        <xdr:cNvPr id="3567" name="PTObj_DBranchHLine_1_888">
          <a:extLst>
            <a:ext uri="{FF2B5EF4-FFF2-40B4-BE49-F238E27FC236}">
              <a16:creationId xmlns:a16="http://schemas.microsoft.com/office/drawing/2014/main" id="{5877DCA9-2949-4EEB-B9EC-662B886F70C8}"/>
            </a:ext>
          </a:extLst>
        </xdr:cNvPr>
        <xdr:cNvCxnSpPr/>
      </xdr:nvCxnSpPr>
      <xdr:spPr>
        <a:xfrm>
          <a:off x="18730720" y="324789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1792</xdr:row>
      <xdr:rowOff>105122</xdr:rowOff>
    </xdr:from>
    <xdr:to>
      <xdr:col>10</xdr:col>
      <xdr:colOff>204595</xdr:colOff>
      <xdr:row>1794</xdr:row>
      <xdr:rowOff>120650</xdr:rowOff>
    </xdr:to>
    <xdr:cxnSp macro="_xll.PtreeEvent_ObjectClick">
      <xdr:nvCxnSpPr>
        <xdr:cNvPr id="3566" name="PTObj_DBranchDLine_1_888">
          <a:extLst>
            <a:ext uri="{FF2B5EF4-FFF2-40B4-BE49-F238E27FC236}">
              <a16:creationId xmlns:a16="http://schemas.microsoft.com/office/drawing/2014/main" id="{A7150695-57CC-4A01-8B5B-4F66CB2E891A}"/>
            </a:ext>
          </a:extLst>
        </xdr:cNvPr>
        <xdr:cNvCxnSpPr/>
      </xdr:nvCxnSpPr>
      <xdr:spPr>
        <a:xfrm>
          <a:off x="18578320" y="3244123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1792</xdr:row>
      <xdr:rowOff>116830</xdr:rowOff>
    </xdr:from>
    <xdr:to>
      <xdr:col>9</xdr:col>
      <xdr:colOff>1392681</xdr:colOff>
      <xdr:row>1792</xdr:row>
      <xdr:rowOff>116830</xdr:rowOff>
    </xdr:to>
    <xdr:cxnSp macro="_xll.PtreeEvent_ObjectClick">
      <xdr:nvCxnSpPr>
        <xdr:cNvPr id="3563" name="PTObj_DBranchHLine_1_887">
          <a:extLst>
            <a:ext uri="{FF2B5EF4-FFF2-40B4-BE49-F238E27FC236}">
              <a16:creationId xmlns:a16="http://schemas.microsoft.com/office/drawing/2014/main" id="{2F8B6331-ABC0-49CD-A769-54B75BFC2F9C}"/>
            </a:ext>
          </a:extLst>
        </xdr:cNvPr>
        <xdr:cNvCxnSpPr/>
      </xdr:nvCxnSpPr>
      <xdr:spPr>
        <a:xfrm>
          <a:off x="17306734" y="324424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1790</xdr:row>
      <xdr:rowOff>104130</xdr:rowOff>
    </xdr:from>
    <xdr:to>
      <xdr:col>9</xdr:col>
      <xdr:colOff>209359</xdr:colOff>
      <xdr:row>1792</xdr:row>
      <xdr:rowOff>116830</xdr:rowOff>
    </xdr:to>
    <xdr:cxnSp macro="_xll.PtreeEvent_ObjectClick">
      <xdr:nvCxnSpPr>
        <xdr:cNvPr id="3562" name="PTObj_DBranchDLine_1_887">
          <a:extLst>
            <a:ext uri="{FF2B5EF4-FFF2-40B4-BE49-F238E27FC236}">
              <a16:creationId xmlns:a16="http://schemas.microsoft.com/office/drawing/2014/main" id="{4512C33A-E267-4FCA-9537-8FFA9328E142}"/>
            </a:ext>
          </a:extLst>
        </xdr:cNvPr>
        <xdr:cNvCxnSpPr/>
      </xdr:nvCxnSpPr>
      <xdr:spPr>
        <a:xfrm>
          <a:off x="17154334" y="324049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1790</xdr:row>
      <xdr:rowOff>113035</xdr:rowOff>
    </xdr:from>
    <xdr:to>
      <xdr:col>8</xdr:col>
      <xdr:colOff>1398397</xdr:colOff>
      <xdr:row>1790</xdr:row>
      <xdr:rowOff>113035</xdr:rowOff>
    </xdr:to>
    <xdr:cxnSp macro="_xll.PtreeEvent_ObjectClick">
      <xdr:nvCxnSpPr>
        <xdr:cNvPr id="3559" name="PTObj_DBranchHLine_1_886">
          <a:extLst>
            <a:ext uri="{FF2B5EF4-FFF2-40B4-BE49-F238E27FC236}">
              <a16:creationId xmlns:a16="http://schemas.microsoft.com/office/drawing/2014/main" id="{9176821A-60AC-4BF8-A896-96934DFD0FED}"/>
            </a:ext>
          </a:extLst>
        </xdr:cNvPr>
        <xdr:cNvCxnSpPr/>
      </xdr:nvCxnSpPr>
      <xdr:spPr>
        <a:xfrm>
          <a:off x="15888463" y="324058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1788</xdr:row>
      <xdr:rowOff>104155</xdr:rowOff>
    </xdr:from>
    <xdr:to>
      <xdr:col>8</xdr:col>
      <xdr:colOff>219838</xdr:colOff>
      <xdr:row>1790</xdr:row>
      <xdr:rowOff>113035</xdr:rowOff>
    </xdr:to>
    <xdr:cxnSp macro="_xll.PtreeEvent_ObjectClick">
      <xdr:nvCxnSpPr>
        <xdr:cNvPr id="3558" name="PTObj_DBranchDLine_1_886">
          <a:extLst>
            <a:ext uri="{FF2B5EF4-FFF2-40B4-BE49-F238E27FC236}">
              <a16:creationId xmlns:a16="http://schemas.microsoft.com/office/drawing/2014/main" id="{EDA6606F-0D9E-4BA0-9C0D-EFDEA24D0C2A}"/>
            </a:ext>
          </a:extLst>
        </xdr:cNvPr>
        <xdr:cNvCxnSpPr/>
      </xdr:nvCxnSpPr>
      <xdr:spPr>
        <a:xfrm>
          <a:off x="15736063" y="3236874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1786</xdr:row>
      <xdr:rowOff>105420</xdr:rowOff>
    </xdr:from>
    <xdr:to>
      <xdr:col>11</xdr:col>
      <xdr:colOff>1386967</xdr:colOff>
      <xdr:row>1786</xdr:row>
      <xdr:rowOff>105420</xdr:rowOff>
    </xdr:to>
    <xdr:cxnSp macro="_xll.PtreeEvent_ObjectClick">
      <xdr:nvCxnSpPr>
        <xdr:cNvPr id="3555" name="PTObj_DBranchHLine_1_884">
          <a:extLst>
            <a:ext uri="{FF2B5EF4-FFF2-40B4-BE49-F238E27FC236}">
              <a16:creationId xmlns:a16="http://schemas.microsoft.com/office/drawing/2014/main" id="{FCB952CD-7644-4C56-8E7A-52D426E13176}"/>
            </a:ext>
          </a:extLst>
        </xdr:cNvPr>
        <xdr:cNvCxnSpPr/>
      </xdr:nvCxnSpPr>
      <xdr:spPr>
        <a:xfrm>
          <a:off x="20149945" y="323326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1784</xdr:row>
      <xdr:rowOff>99392</xdr:rowOff>
    </xdr:from>
    <xdr:to>
      <xdr:col>11</xdr:col>
      <xdr:colOff>195070</xdr:colOff>
      <xdr:row>1786</xdr:row>
      <xdr:rowOff>105420</xdr:rowOff>
    </xdr:to>
    <xdr:cxnSp macro="_xll.PtreeEvent_ObjectClick">
      <xdr:nvCxnSpPr>
        <xdr:cNvPr id="3554" name="PTObj_DBranchDLine_1_884">
          <a:extLst>
            <a:ext uri="{FF2B5EF4-FFF2-40B4-BE49-F238E27FC236}">
              <a16:creationId xmlns:a16="http://schemas.microsoft.com/office/drawing/2014/main" id="{012FBC48-ADD1-4BFF-9A29-316F695CF03B}"/>
            </a:ext>
          </a:extLst>
        </xdr:cNvPr>
        <xdr:cNvCxnSpPr/>
      </xdr:nvCxnSpPr>
      <xdr:spPr>
        <a:xfrm>
          <a:off x="19997545" y="3229587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1784</xdr:row>
      <xdr:rowOff>101600</xdr:rowOff>
    </xdr:from>
    <xdr:to>
      <xdr:col>10</xdr:col>
      <xdr:colOff>1388870</xdr:colOff>
      <xdr:row>1784</xdr:row>
      <xdr:rowOff>101600</xdr:rowOff>
    </xdr:to>
    <xdr:cxnSp macro="_xll.PtreeEvent_ObjectClick">
      <xdr:nvCxnSpPr>
        <xdr:cNvPr id="3551" name="PTObj_DBranchHLine_1_883">
          <a:extLst>
            <a:ext uri="{FF2B5EF4-FFF2-40B4-BE49-F238E27FC236}">
              <a16:creationId xmlns:a16="http://schemas.microsoft.com/office/drawing/2014/main" id="{7E71F16C-990A-4EB5-9309-8FC6E95ECC2B}"/>
            </a:ext>
          </a:extLst>
        </xdr:cNvPr>
        <xdr:cNvCxnSpPr/>
      </xdr:nvCxnSpPr>
      <xdr:spPr>
        <a:xfrm>
          <a:off x="18730720" y="322961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1782</xdr:row>
      <xdr:rowOff>97458</xdr:rowOff>
    </xdr:from>
    <xdr:to>
      <xdr:col>10</xdr:col>
      <xdr:colOff>204595</xdr:colOff>
      <xdr:row>1784</xdr:row>
      <xdr:rowOff>101600</xdr:rowOff>
    </xdr:to>
    <xdr:cxnSp macro="_xll.PtreeEvent_ObjectClick">
      <xdr:nvCxnSpPr>
        <xdr:cNvPr id="3550" name="PTObj_DBranchDLine_1_883">
          <a:extLst>
            <a:ext uri="{FF2B5EF4-FFF2-40B4-BE49-F238E27FC236}">
              <a16:creationId xmlns:a16="http://schemas.microsoft.com/office/drawing/2014/main" id="{8F10CA4C-B530-405B-A1A5-6474A04BC7FB}"/>
            </a:ext>
          </a:extLst>
        </xdr:cNvPr>
        <xdr:cNvCxnSpPr/>
      </xdr:nvCxnSpPr>
      <xdr:spPr>
        <a:xfrm>
          <a:off x="18578320" y="3225949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1782</xdr:row>
      <xdr:rowOff>97780</xdr:rowOff>
    </xdr:from>
    <xdr:to>
      <xdr:col>9</xdr:col>
      <xdr:colOff>1392681</xdr:colOff>
      <xdr:row>1782</xdr:row>
      <xdr:rowOff>97780</xdr:rowOff>
    </xdr:to>
    <xdr:cxnSp macro="_xll.PtreeEvent_ObjectClick">
      <xdr:nvCxnSpPr>
        <xdr:cNvPr id="3547" name="PTObj_DBranchHLine_1_882">
          <a:extLst>
            <a:ext uri="{FF2B5EF4-FFF2-40B4-BE49-F238E27FC236}">
              <a16:creationId xmlns:a16="http://schemas.microsoft.com/office/drawing/2014/main" id="{B23750D7-2ED3-4A11-BD91-64C853497317}"/>
            </a:ext>
          </a:extLst>
        </xdr:cNvPr>
        <xdr:cNvCxnSpPr/>
      </xdr:nvCxnSpPr>
      <xdr:spPr>
        <a:xfrm>
          <a:off x="17306734" y="322595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1780</xdr:row>
      <xdr:rowOff>91728</xdr:rowOff>
    </xdr:from>
    <xdr:to>
      <xdr:col>9</xdr:col>
      <xdr:colOff>209359</xdr:colOff>
      <xdr:row>1782</xdr:row>
      <xdr:rowOff>97780</xdr:rowOff>
    </xdr:to>
    <xdr:cxnSp macro="_xll.PtreeEvent_ObjectClick">
      <xdr:nvCxnSpPr>
        <xdr:cNvPr id="3546" name="PTObj_DBranchDLine_1_882">
          <a:extLst>
            <a:ext uri="{FF2B5EF4-FFF2-40B4-BE49-F238E27FC236}">
              <a16:creationId xmlns:a16="http://schemas.microsoft.com/office/drawing/2014/main" id="{6881F361-C77F-4DB9-85D2-6A016F78FFD8}"/>
            </a:ext>
          </a:extLst>
        </xdr:cNvPr>
        <xdr:cNvCxnSpPr/>
      </xdr:nvCxnSpPr>
      <xdr:spPr>
        <a:xfrm>
          <a:off x="17154334" y="3222272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1780</xdr:row>
      <xdr:rowOff>93985</xdr:rowOff>
    </xdr:from>
    <xdr:to>
      <xdr:col>8</xdr:col>
      <xdr:colOff>1398397</xdr:colOff>
      <xdr:row>1780</xdr:row>
      <xdr:rowOff>93985</xdr:rowOff>
    </xdr:to>
    <xdr:cxnSp macro="_xll.PtreeEvent_ObjectClick">
      <xdr:nvCxnSpPr>
        <xdr:cNvPr id="3543" name="PTObj_DBranchHLine_1_881">
          <a:extLst>
            <a:ext uri="{FF2B5EF4-FFF2-40B4-BE49-F238E27FC236}">
              <a16:creationId xmlns:a16="http://schemas.microsoft.com/office/drawing/2014/main" id="{32ADAC55-3391-42EF-B794-1AE546225D29}"/>
            </a:ext>
          </a:extLst>
        </xdr:cNvPr>
        <xdr:cNvCxnSpPr/>
      </xdr:nvCxnSpPr>
      <xdr:spPr>
        <a:xfrm>
          <a:off x="15884652" y="322229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1780</xdr:row>
      <xdr:rowOff>93985</xdr:rowOff>
    </xdr:from>
    <xdr:to>
      <xdr:col>8</xdr:col>
      <xdr:colOff>216027</xdr:colOff>
      <xdr:row>1788</xdr:row>
      <xdr:rowOff>104155</xdr:rowOff>
    </xdr:to>
    <xdr:cxnSp macro="_xll.PtreeEvent_ObjectClick">
      <xdr:nvCxnSpPr>
        <xdr:cNvPr id="3542" name="PTObj_DBranchDLine_1_881">
          <a:extLst>
            <a:ext uri="{FF2B5EF4-FFF2-40B4-BE49-F238E27FC236}">
              <a16:creationId xmlns:a16="http://schemas.microsoft.com/office/drawing/2014/main" id="{B4DEAD47-8EC7-4951-9CE8-5FDBFE9829C9}"/>
            </a:ext>
          </a:extLst>
        </xdr:cNvPr>
        <xdr:cNvCxnSpPr/>
      </xdr:nvCxnSpPr>
      <xdr:spPr>
        <a:xfrm flipV="1">
          <a:off x="15732252" y="3222294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1788</xdr:row>
      <xdr:rowOff>109215</xdr:rowOff>
    </xdr:from>
    <xdr:to>
      <xdr:col>7</xdr:col>
      <xdr:colOff>1402207</xdr:colOff>
      <xdr:row>1788</xdr:row>
      <xdr:rowOff>109215</xdr:rowOff>
    </xdr:to>
    <xdr:cxnSp macro="_xll.PtreeEvent_ObjectClick">
      <xdr:nvCxnSpPr>
        <xdr:cNvPr id="3539" name="PTObj_DBranchHLine_1_885">
          <a:extLst>
            <a:ext uri="{FF2B5EF4-FFF2-40B4-BE49-F238E27FC236}">
              <a16:creationId xmlns:a16="http://schemas.microsoft.com/office/drawing/2014/main" id="{D9834F6B-E797-4AB8-BBD0-5EB8BB09FD85}"/>
            </a:ext>
          </a:extLst>
        </xdr:cNvPr>
        <xdr:cNvCxnSpPr/>
      </xdr:nvCxnSpPr>
      <xdr:spPr>
        <a:xfrm>
          <a:off x="14462570" y="3236925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1788</xdr:row>
      <xdr:rowOff>109215</xdr:rowOff>
    </xdr:from>
    <xdr:to>
      <xdr:col>7</xdr:col>
      <xdr:colOff>222695</xdr:colOff>
      <xdr:row>1798</xdr:row>
      <xdr:rowOff>123205</xdr:rowOff>
    </xdr:to>
    <xdr:cxnSp macro="_xll.PtreeEvent_ObjectClick">
      <xdr:nvCxnSpPr>
        <xdr:cNvPr id="3538" name="PTObj_DBranchDLine_1_885">
          <a:extLst>
            <a:ext uri="{FF2B5EF4-FFF2-40B4-BE49-F238E27FC236}">
              <a16:creationId xmlns:a16="http://schemas.microsoft.com/office/drawing/2014/main" id="{BE80D040-618F-410F-9B74-45066E706463}"/>
            </a:ext>
          </a:extLst>
        </xdr:cNvPr>
        <xdr:cNvCxnSpPr/>
      </xdr:nvCxnSpPr>
      <xdr:spPr>
        <a:xfrm flipV="1">
          <a:off x="14310170" y="3236925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1798</xdr:row>
      <xdr:rowOff>128265</xdr:rowOff>
    </xdr:from>
    <xdr:to>
      <xdr:col>6</xdr:col>
      <xdr:colOff>1407922</xdr:colOff>
      <xdr:row>1798</xdr:row>
      <xdr:rowOff>128265</xdr:rowOff>
    </xdr:to>
    <xdr:cxnSp macro="_xll.PtreeEvent_ObjectClick">
      <xdr:nvCxnSpPr>
        <xdr:cNvPr id="3535" name="PTObj_DBranchHLine_1_890">
          <a:extLst>
            <a:ext uri="{FF2B5EF4-FFF2-40B4-BE49-F238E27FC236}">
              <a16:creationId xmlns:a16="http://schemas.microsoft.com/office/drawing/2014/main" id="{350F860D-46D0-4762-BA35-28F202CAF45B}"/>
            </a:ext>
          </a:extLst>
        </xdr:cNvPr>
        <xdr:cNvCxnSpPr/>
      </xdr:nvCxnSpPr>
      <xdr:spPr>
        <a:xfrm>
          <a:off x="13034772" y="3255213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1798</xdr:row>
      <xdr:rowOff>128265</xdr:rowOff>
    </xdr:from>
    <xdr:to>
      <xdr:col>6</xdr:col>
      <xdr:colOff>223647</xdr:colOff>
      <xdr:row>1818</xdr:row>
      <xdr:rowOff>161305</xdr:rowOff>
    </xdr:to>
    <xdr:cxnSp macro="_xll.PtreeEvent_ObjectClick">
      <xdr:nvCxnSpPr>
        <xdr:cNvPr id="3534" name="PTObj_DBranchDLine_1_890">
          <a:extLst>
            <a:ext uri="{FF2B5EF4-FFF2-40B4-BE49-F238E27FC236}">
              <a16:creationId xmlns:a16="http://schemas.microsoft.com/office/drawing/2014/main" id="{0C8C2E6B-C13C-4A87-8B73-E68B83B684D0}"/>
            </a:ext>
          </a:extLst>
        </xdr:cNvPr>
        <xdr:cNvCxnSpPr/>
      </xdr:nvCxnSpPr>
      <xdr:spPr>
        <a:xfrm flipV="1">
          <a:off x="12882372" y="3255213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1818</xdr:row>
      <xdr:rowOff>166365</xdr:rowOff>
    </xdr:from>
    <xdr:to>
      <xdr:col>5</xdr:col>
      <xdr:colOff>1411732</xdr:colOff>
      <xdr:row>1818</xdr:row>
      <xdr:rowOff>166365</xdr:rowOff>
    </xdr:to>
    <xdr:cxnSp macro="_xll.PtreeEvent_ObjectClick">
      <xdr:nvCxnSpPr>
        <xdr:cNvPr id="3531" name="PTObj_DBranchHLine_1_900">
          <a:extLst>
            <a:ext uri="{FF2B5EF4-FFF2-40B4-BE49-F238E27FC236}">
              <a16:creationId xmlns:a16="http://schemas.microsoft.com/office/drawing/2014/main" id="{0DCBDB13-1C2A-4E17-9275-F91CD4534A3E}"/>
            </a:ext>
          </a:extLst>
        </xdr:cNvPr>
        <xdr:cNvCxnSpPr/>
      </xdr:nvCxnSpPr>
      <xdr:spPr>
        <a:xfrm>
          <a:off x="11610785" y="3291789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1818</xdr:row>
      <xdr:rowOff>166365</xdr:rowOff>
    </xdr:from>
    <xdr:to>
      <xdr:col>5</xdr:col>
      <xdr:colOff>228410</xdr:colOff>
      <xdr:row>1859</xdr:row>
      <xdr:rowOff>56530</xdr:rowOff>
    </xdr:to>
    <xdr:cxnSp macro="_xll.PtreeEvent_ObjectClick">
      <xdr:nvCxnSpPr>
        <xdr:cNvPr id="3530" name="PTObj_DBranchDLine_1_900">
          <a:extLst>
            <a:ext uri="{FF2B5EF4-FFF2-40B4-BE49-F238E27FC236}">
              <a16:creationId xmlns:a16="http://schemas.microsoft.com/office/drawing/2014/main" id="{88F3A8F4-67C2-4BD6-BEEC-00621DB13872}"/>
            </a:ext>
          </a:extLst>
        </xdr:cNvPr>
        <xdr:cNvCxnSpPr/>
      </xdr:nvCxnSpPr>
      <xdr:spPr>
        <a:xfrm flipV="1">
          <a:off x="11458385" y="329178915"/>
          <a:ext cx="152400" cy="73101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228409</xdr:colOff>
      <xdr:row>1859</xdr:row>
      <xdr:rowOff>61590</xdr:rowOff>
    </xdr:from>
    <xdr:to>
      <xdr:col>4</xdr:col>
      <xdr:colOff>1417447</xdr:colOff>
      <xdr:row>1859</xdr:row>
      <xdr:rowOff>61590</xdr:rowOff>
    </xdr:to>
    <xdr:cxnSp macro="_xll.PtreeEvent_ObjectClick">
      <xdr:nvCxnSpPr>
        <xdr:cNvPr id="3527" name="PTObj_DBranchHLine_1_920">
          <a:extLst>
            <a:ext uri="{FF2B5EF4-FFF2-40B4-BE49-F238E27FC236}">
              <a16:creationId xmlns:a16="http://schemas.microsoft.com/office/drawing/2014/main" id="{BB6CC524-C18F-4217-A5C4-FDCDAF06C6F0}"/>
            </a:ext>
          </a:extLst>
        </xdr:cNvPr>
        <xdr:cNvCxnSpPr/>
      </xdr:nvCxnSpPr>
      <xdr:spPr>
        <a:xfrm>
          <a:off x="10182034" y="336494115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76009</xdr:colOff>
      <xdr:row>1778</xdr:row>
      <xdr:rowOff>84138</xdr:rowOff>
    </xdr:from>
    <xdr:to>
      <xdr:col>4</xdr:col>
      <xdr:colOff>228409</xdr:colOff>
      <xdr:row>1859</xdr:row>
      <xdr:rowOff>61590</xdr:rowOff>
    </xdr:to>
    <xdr:cxnSp macro="_xll.PtreeEvent_ObjectClick">
      <xdr:nvCxnSpPr>
        <xdr:cNvPr id="3526" name="PTObj_DBranchDLine_1_920">
          <a:extLst>
            <a:ext uri="{FF2B5EF4-FFF2-40B4-BE49-F238E27FC236}">
              <a16:creationId xmlns:a16="http://schemas.microsoft.com/office/drawing/2014/main" id="{2B9A473F-EC1D-47D2-A97D-4EDEDAABA9F0}"/>
            </a:ext>
          </a:extLst>
        </xdr:cNvPr>
        <xdr:cNvCxnSpPr/>
      </xdr:nvCxnSpPr>
      <xdr:spPr>
        <a:xfrm>
          <a:off x="10029634" y="321857688"/>
          <a:ext cx="152400" cy="146364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1776</xdr:row>
      <xdr:rowOff>86370</xdr:rowOff>
    </xdr:from>
    <xdr:to>
      <xdr:col>11</xdr:col>
      <xdr:colOff>1386967</xdr:colOff>
      <xdr:row>1776</xdr:row>
      <xdr:rowOff>86370</xdr:rowOff>
    </xdr:to>
    <xdr:cxnSp macro="_xll.PtreeEvent_ObjectClick">
      <xdr:nvCxnSpPr>
        <xdr:cNvPr id="3523" name="PTObj_DBranchHLine_1_879">
          <a:extLst>
            <a:ext uri="{FF2B5EF4-FFF2-40B4-BE49-F238E27FC236}">
              <a16:creationId xmlns:a16="http://schemas.microsoft.com/office/drawing/2014/main" id="{993F9C0A-A0BE-4043-B221-F866794C482B}"/>
            </a:ext>
          </a:extLst>
        </xdr:cNvPr>
        <xdr:cNvCxnSpPr/>
      </xdr:nvCxnSpPr>
      <xdr:spPr>
        <a:xfrm>
          <a:off x="20149945" y="321497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1774</xdr:row>
      <xdr:rowOff>73670</xdr:rowOff>
    </xdr:from>
    <xdr:to>
      <xdr:col>11</xdr:col>
      <xdr:colOff>195070</xdr:colOff>
      <xdr:row>1776</xdr:row>
      <xdr:rowOff>86370</xdr:rowOff>
    </xdr:to>
    <xdr:cxnSp macro="_xll.PtreeEvent_ObjectClick">
      <xdr:nvCxnSpPr>
        <xdr:cNvPr id="3522" name="PTObj_DBranchDLine_1_879">
          <a:extLst>
            <a:ext uri="{FF2B5EF4-FFF2-40B4-BE49-F238E27FC236}">
              <a16:creationId xmlns:a16="http://schemas.microsoft.com/office/drawing/2014/main" id="{1A2EFF26-25C1-4409-9B2E-B1C7AA999FD2}"/>
            </a:ext>
          </a:extLst>
        </xdr:cNvPr>
        <xdr:cNvCxnSpPr/>
      </xdr:nvCxnSpPr>
      <xdr:spPr>
        <a:xfrm>
          <a:off x="19997545" y="321123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1774</xdr:row>
      <xdr:rowOff>82550</xdr:rowOff>
    </xdr:from>
    <xdr:to>
      <xdr:col>10</xdr:col>
      <xdr:colOff>1388870</xdr:colOff>
      <xdr:row>1774</xdr:row>
      <xdr:rowOff>82550</xdr:rowOff>
    </xdr:to>
    <xdr:cxnSp macro="_xll.PtreeEvent_ObjectClick">
      <xdr:nvCxnSpPr>
        <xdr:cNvPr id="3519" name="PTObj_DBranchHLine_1_878">
          <a:extLst>
            <a:ext uri="{FF2B5EF4-FFF2-40B4-BE49-F238E27FC236}">
              <a16:creationId xmlns:a16="http://schemas.microsoft.com/office/drawing/2014/main" id="{56F606E4-AB96-4A34-8FA0-957DFD22F8F8}"/>
            </a:ext>
          </a:extLst>
        </xdr:cNvPr>
        <xdr:cNvCxnSpPr/>
      </xdr:nvCxnSpPr>
      <xdr:spPr>
        <a:xfrm>
          <a:off x="18730720" y="321132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1772</xdr:row>
      <xdr:rowOff>77490</xdr:rowOff>
    </xdr:from>
    <xdr:to>
      <xdr:col>10</xdr:col>
      <xdr:colOff>204595</xdr:colOff>
      <xdr:row>1774</xdr:row>
      <xdr:rowOff>82550</xdr:rowOff>
    </xdr:to>
    <xdr:cxnSp macro="_xll.PtreeEvent_ObjectClick">
      <xdr:nvCxnSpPr>
        <xdr:cNvPr id="3518" name="PTObj_DBranchDLine_1_878">
          <a:extLst>
            <a:ext uri="{FF2B5EF4-FFF2-40B4-BE49-F238E27FC236}">
              <a16:creationId xmlns:a16="http://schemas.microsoft.com/office/drawing/2014/main" id="{D8FB556D-5683-4473-8E47-54C316C31FAB}"/>
            </a:ext>
          </a:extLst>
        </xdr:cNvPr>
        <xdr:cNvCxnSpPr/>
      </xdr:nvCxnSpPr>
      <xdr:spPr>
        <a:xfrm>
          <a:off x="18578320" y="320765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1772</xdr:row>
      <xdr:rowOff>78730</xdr:rowOff>
    </xdr:from>
    <xdr:to>
      <xdr:col>9</xdr:col>
      <xdr:colOff>1392681</xdr:colOff>
      <xdr:row>1772</xdr:row>
      <xdr:rowOff>78730</xdr:rowOff>
    </xdr:to>
    <xdr:cxnSp macro="_xll.PtreeEvent_ObjectClick">
      <xdr:nvCxnSpPr>
        <xdr:cNvPr id="3515" name="PTObj_DBranchHLine_1_877">
          <a:extLst>
            <a:ext uri="{FF2B5EF4-FFF2-40B4-BE49-F238E27FC236}">
              <a16:creationId xmlns:a16="http://schemas.microsoft.com/office/drawing/2014/main" id="{BE6B27AA-E803-4EE7-A991-E99DED312387}"/>
            </a:ext>
          </a:extLst>
        </xdr:cNvPr>
        <xdr:cNvCxnSpPr/>
      </xdr:nvCxnSpPr>
      <xdr:spPr>
        <a:xfrm>
          <a:off x="17306734" y="320766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1770</xdr:row>
      <xdr:rowOff>73645</xdr:rowOff>
    </xdr:from>
    <xdr:to>
      <xdr:col>9</xdr:col>
      <xdr:colOff>209359</xdr:colOff>
      <xdr:row>1772</xdr:row>
      <xdr:rowOff>78730</xdr:rowOff>
    </xdr:to>
    <xdr:cxnSp macro="_xll.PtreeEvent_ObjectClick">
      <xdr:nvCxnSpPr>
        <xdr:cNvPr id="3514" name="PTObj_DBranchDLine_1_877">
          <a:extLst>
            <a:ext uri="{FF2B5EF4-FFF2-40B4-BE49-F238E27FC236}">
              <a16:creationId xmlns:a16="http://schemas.microsoft.com/office/drawing/2014/main" id="{CFDB68E7-E44C-44F5-80F1-5AEC421A8B73}"/>
            </a:ext>
          </a:extLst>
        </xdr:cNvPr>
        <xdr:cNvCxnSpPr/>
      </xdr:nvCxnSpPr>
      <xdr:spPr>
        <a:xfrm>
          <a:off x="17154334" y="3203993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1770</xdr:row>
      <xdr:rowOff>74935</xdr:rowOff>
    </xdr:from>
    <xdr:to>
      <xdr:col>8</xdr:col>
      <xdr:colOff>1398397</xdr:colOff>
      <xdr:row>1770</xdr:row>
      <xdr:rowOff>74935</xdr:rowOff>
    </xdr:to>
    <xdr:cxnSp macro="_xll.PtreeEvent_ObjectClick">
      <xdr:nvCxnSpPr>
        <xdr:cNvPr id="3511" name="PTObj_DBranchHLine_1_876">
          <a:extLst>
            <a:ext uri="{FF2B5EF4-FFF2-40B4-BE49-F238E27FC236}">
              <a16:creationId xmlns:a16="http://schemas.microsoft.com/office/drawing/2014/main" id="{C6882F96-31F1-4480-816D-602DB52B9246}"/>
            </a:ext>
          </a:extLst>
        </xdr:cNvPr>
        <xdr:cNvCxnSpPr/>
      </xdr:nvCxnSpPr>
      <xdr:spPr>
        <a:xfrm>
          <a:off x="15888463" y="320400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1768</xdr:row>
      <xdr:rowOff>71735</xdr:rowOff>
    </xdr:from>
    <xdr:to>
      <xdr:col>8</xdr:col>
      <xdr:colOff>219838</xdr:colOff>
      <xdr:row>1770</xdr:row>
      <xdr:rowOff>74935</xdr:rowOff>
    </xdr:to>
    <xdr:cxnSp macro="_xll.PtreeEvent_ObjectClick">
      <xdr:nvCxnSpPr>
        <xdr:cNvPr id="3510" name="PTObj_DBranchDLine_1_876">
          <a:extLst>
            <a:ext uri="{FF2B5EF4-FFF2-40B4-BE49-F238E27FC236}">
              <a16:creationId xmlns:a16="http://schemas.microsoft.com/office/drawing/2014/main" id="{331A1A98-434E-49F0-8F44-CD1310E0B6AF}"/>
            </a:ext>
          </a:extLst>
        </xdr:cNvPr>
        <xdr:cNvCxnSpPr/>
      </xdr:nvCxnSpPr>
      <xdr:spPr>
        <a:xfrm>
          <a:off x="15736063" y="3200355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1766</xdr:row>
      <xdr:rowOff>67320</xdr:rowOff>
    </xdr:from>
    <xdr:to>
      <xdr:col>11</xdr:col>
      <xdr:colOff>1386015</xdr:colOff>
      <xdr:row>1766</xdr:row>
      <xdr:rowOff>67320</xdr:rowOff>
    </xdr:to>
    <xdr:cxnSp macro="_xll.PtreeEvent_ObjectClick">
      <xdr:nvCxnSpPr>
        <xdr:cNvPr id="3507" name="PTObj_DBranchHLine_1_874">
          <a:extLst>
            <a:ext uri="{FF2B5EF4-FFF2-40B4-BE49-F238E27FC236}">
              <a16:creationId xmlns:a16="http://schemas.microsoft.com/office/drawing/2014/main" id="{308FD570-6736-464B-97E2-6B5AC0130943}"/>
            </a:ext>
          </a:extLst>
        </xdr:cNvPr>
        <xdr:cNvCxnSpPr/>
      </xdr:nvCxnSpPr>
      <xdr:spPr>
        <a:xfrm>
          <a:off x="20149945" y="319669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1764</xdr:row>
      <xdr:rowOff>58440</xdr:rowOff>
    </xdr:from>
    <xdr:to>
      <xdr:col>11</xdr:col>
      <xdr:colOff>195070</xdr:colOff>
      <xdr:row>1766</xdr:row>
      <xdr:rowOff>67320</xdr:rowOff>
    </xdr:to>
    <xdr:cxnSp macro="_xll.PtreeEvent_ObjectClick">
      <xdr:nvCxnSpPr>
        <xdr:cNvPr id="3506" name="PTObj_DBranchDLine_1_874">
          <a:extLst>
            <a:ext uri="{FF2B5EF4-FFF2-40B4-BE49-F238E27FC236}">
              <a16:creationId xmlns:a16="http://schemas.microsoft.com/office/drawing/2014/main" id="{0AABEA6D-9FFA-4BD6-ACD2-665165DD2023}"/>
            </a:ext>
          </a:extLst>
        </xdr:cNvPr>
        <xdr:cNvCxnSpPr/>
      </xdr:nvCxnSpPr>
      <xdr:spPr>
        <a:xfrm>
          <a:off x="19997545" y="319298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1764</xdr:row>
      <xdr:rowOff>63500</xdr:rowOff>
    </xdr:from>
    <xdr:to>
      <xdr:col>10</xdr:col>
      <xdr:colOff>1388870</xdr:colOff>
      <xdr:row>1764</xdr:row>
      <xdr:rowOff>63500</xdr:rowOff>
    </xdr:to>
    <xdr:cxnSp macro="_xll.PtreeEvent_ObjectClick">
      <xdr:nvCxnSpPr>
        <xdr:cNvPr id="3503" name="PTObj_DBranchHLine_1_873">
          <a:extLst>
            <a:ext uri="{FF2B5EF4-FFF2-40B4-BE49-F238E27FC236}">
              <a16:creationId xmlns:a16="http://schemas.microsoft.com/office/drawing/2014/main" id="{40490F77-4CC7-49F8-8C89-CC54153DA7E9}"/>
            </a:ext>
          </a:extLst>
        </xdr:cNvPr>
        <xdr:cNvCxnSpPr/>
      </xdr:nvCxnSpPr>
      <xdr:spPr>
        <a:xfrm>
          <a:off x="18730720" y="319303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1762</xdr:row>
      <xdr:rowOff>54620</xdr:rowOff>
    </xdr:from>
    <xdr:to>
      <xdr:col>10</xdr:col>
      <xdr:colOff>204595</xdr:colOff>
      <xdr:row>1764</xdr:row>
      <xdr:rowOff>63500</xdr:rowOff>
    </xdr:to>
    <xdr:cxnSp macro="_xll.PtreeEvent_ObjectClick">
      <xdr:nvCxnSpPr>
        <xdr:cNvPr id="3502" name="PTObj_DBranchDLine_1_873">
          <a:extLst>
            <a:ext uri="{FF2B5EF4-FFF2-40B4-BE49-F238E27FC236}">
              <a16:creationId xmlns:a16="http://schemas.microsoft.com/office/drawing/2014/main" id="{85C64B08-F1C2-427D-AD46-77C5F1F494A8}"/>
            </a:ext>
          </a:extLst>
        </xdr:cNvPr>
        <xdr:cNvCxnSpPr/>
      </xdr:nvCxnSpPr>
      <xdr:spPr>
        <a:xfrm>
          <a:off x="18578320" y="318932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1762</xdr:row>
      <xdr:rowOff>59680</xdr:rowOff>
    </xdr:from>
    <xdr:to>
      <xdr:col>9</xdr:col>
      <xdr:colOff>1392681</xdr:colOff>
      <xdr:row>1762</xdr:row>
      <xdr:rowOff>59680</xdr:rowOff>
    </xdr:to>
    <xdr:cxnSp macro="_xll.PtreeEvent_ObjectClick">
      <xdr:nvCxnSpPr>
        <xdr:cNvPr id="3499" name="PTObj_DBranchHLine_1_872">
          <a:extLst>
            <a:ext uri="{FF2B5EF4-FFF2-40B4-BE49-F238E27FC236}">
              <a16:creationId xmlns:a16="http://schemas.microsoft.com/office/drawing/2014/main" id="{1A79440A-1FDD-4C72-998A-0F624F199450}"/>
            </a:ext>
          </a:extLst>
        </xdr:cNvPr>
        <xdr:cNvCxnSpPr/>
      </xdr:nvCxnSpPr>
      <xdr:spPr>
        <a:xfrm>
          <a:off x="17306734" y="318937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1760</xdr:row>
      <xdr:rowOff>46980</xdr:rowOff>
    </xdr:from>
    <xdr:to>
      <xdr:col>9</xdr:col>
      <xdr:colOff>209359</xdr:colOff>
      <xdr:row>1762</xdr:row>
      <xdr:rowOff>59680</xdr:rowOff>
    </xdr:to>
    <xdr:cxnSp macro="_xll.PtreeEvent_ObjectClick">
      <xdr:nvCxnSpPr>
        <xdr:cNvPr id="3498" name="PTObj_DBranchDLine_1_872">
          <a:extLst>
            <a:ext uri="{FF2B5EF4-FFF2-40B4-BE49-F238E27FC236}">
              <a16:creationId xmlns:a16="http://schemas.microsoft.com/office/drawing/2014/main" id="{70631B2C-662B-47FD-B972-643D434EDBA2}"/>
            </a:ext>
          </a:extLst>
        </xdr:cNvPr>
        <xdr:cNvCxnSpPr/>
      </xdr:nvCxnSpPr>
      <xdr:spPr>
        <a:xfrm>
          <a:off x="17154334" y="318562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1760</xdr:row>
      <xdr:rowOff>55885</xdr:rowOff>
    </xdr:from>
    <xdr:to>
      <xdr:col>8</xdr:col>
      <xdr:colOff>1398397</xdr:colOff>
      <xdr:row>1760</xdr:row>
      <xdr:rowOff>55885</xdr:rowOff>
    </xdr:to>
    <xdr:cxnSp macro="_xll.PtreeEvent_ObjectClick">
      <xdr:nvCxnSpPr>
        <xdr:cNvPr id="3495" name="PTObj_DBranchHLine_1_871">
          <a:extLst>
            <a:ext uri="{FF2B5EF4-FFF2-40B4-BE49-F238E27FC236}">
              <a16:creationId xmlns:a16="http://schemas.microsoft.com/office/drawing/2014/main" id="{E9D417D9-2ED9-431A-A24C-1BB715A6BB97}"/>
            </a:ext>
          </a:extLst>
        </xdr:cNvPr>
        <xdr:cNvCxnSpPr/>
      </xdr:nvCxnSpPr>
      <xdr:spPr>
        <a:xfrm>
          <a:off x="15884652" y="318571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1760</xdr:row>
      <xdr:rowOff>55885</xdr:rowOff>
    </xdr:from>
    <xdr:to>
      <xdr:col>8</xdr:col>
      <xdr:colOff>216027</xdr:colOff>
      <xdr:row>1768</xdr:row>
      <xdr:rowOff>71735</xdr:rowOff>
    </xdr:to>
    <xdr:cxnSp macro="_xll.PtreeEvent_ObjectClick">
      <xdr:nvCxnSpPr>
        <xdr:cNvPr id="3494" name="PTObj_DBranchDLine_1_871">
          <a:extLst>
            <a:ext uri="{FF2B5EF4-FFF2-40B4-BE49-F238E27FC236}">
              <a16:creationId xmlns:a16="http://schemas.microsoft.com/office/drawing/2014/main" id="{E1F14A1A-531D-4F8F-8218-3EC1968182A6}"/>
            </a:ext>
          </a:extLst>
        </xdr:cNvPr>
        <xdr:cNvCxnSpPr/>
      </xdr:nvCxnSpPr>
      <xdr:spPr>
        <a:xfrm flipV="1">
          <a:off x="15732252" y="3185718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1768</xdr:row>
      <xdr:rowOff>71115</xdr:rowOff>
    </xdr:from>
    <xdr:to>
      <xdr:col>7</xdr:col>
      <xdr:colOff>1402207</xdr:colOff>
      <xdr:row>1768</xdr:row>
      <xdr:rowOff>71115</xdr:rowOff>
    </xdr:to>
    <xdr:cxnSp macro="_xll.PtreeEvent_ObjectClick">
      <xdr:nvCxnSpPr>
        <xdr:cNvPr id="3491" name="PTObj_DBranchHLine_1_875">
          <a:extLst>
            <a:ext uri="{FF2B5EF4-FFF2-40B4-BE49-F238E27FC236}">
              <a16:creationId xmlns:a16="http://schemas.microsoft.com/office/drawing/2014/main" id="{0D53B9F7-754C-431A-9127-D98211DA7369}"/>
            </a:ext>
          </a:extLst>
        </xdr:cNvPr>
        <xdr:cNvCxnSpPr/>
      </xdr:nvCxnSpPr>
      <xdr:spPr>
        <a:xfrm>
          <a:off x="14460665" y="320034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1758</xdr:row>
      <xdr:rowOff>40332</xdr:rowOff>
    </xdr:from>
    <xdr:to>
      <xdr:col>7</xdr:col>
      <xdr:colOff>220790</xdr:colOff>
      <xdr:row>1768</xdr:row>
      <xdr:rowOff>71115</xdr:rowOff>
    </xdr:to>
    <xdr:cxnSp macro="_xll.PtreeEvent_ObjectClick">
      <xdr:nvCxnSpPr>
        <xdr:cNvPr id="3490" name="PTObj_DBranchDLine_1_875">
          <a:extLst>
            <a:ext uri="{FF2B5EF4-FFF2-40B4-BE49-F238E27FC236}">
              <a16:creationId xmlns:a16="http://schemas.microsoft.com/office/drawing/2014/main" id="{095EFD0B-F448-4DF6-A245-0EDA53FF3E63}"/>
            </a:ext>
          </a:extLst>
        </xdr:cNvPr>
        <xdr:cNvCxnSpPr/>
      </xdr:nvCxnSpPr>
      <xdr:spPr>
        <a:xfrm>
          <a:off x="14308265" y="3181943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1756</xdr:row>
      <xdr:rowOff>48270</xdr:rowOff>
    </xdr:from>
    <xdr:to>
      <xdr:col>11</xdr:col>
      <xdr:colOff>1386967</xdr:colOff>
      <xdr:row>1756</xdr:row>
      <xdr:rowOff>48270</xdr:rowOff>
    </xdr:to>
    <xdr:cxnSp macro="_xll.PtreeEvent_ObjectClick">
      <xdr:nvCxnSpPr>
        <xdr:cNvPr id="3487" name="PTObj_DBranchHLine_1_869">
          <a:extLst>
            <a:ext uri="{FF2B5EF4-FFF2-40B4-BE49-F238E27FC236}">
              <a16:creationId xmlns:a16="http://schemas.microsoft.com/office/drawing/2014/main" id="{3EEC3A02-EB3B-4FAB-A54A-5437F00CD846}"/>
            </a:ext>
          </a:extLst>
        </xdr:cNvPr>
        <xdr:cNvCxnSpPr/>
      </xdr:nvCxnSpPr>
      <xdr:spPr>
        <a:xfrm>
          <a:off x="20149945" y="317840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1754</xdr:row>
      <xdr:rowOff>35570</xdr:rowOff>
    </xdr:from>
    <xdr:to>
      <xdr:col>11</xdr:col>
      <xdr:colOff>195070</xdr:colOff>
      <xdr:row>1756</xdr:row>
      <xdr:rowOff>48270</xdr:rowOff>
    </xdr:to>
    <xdr:cxnSp macro="_xll.PtreeEvent_ObjectClick">
      <xdr:nvCxnSpPr>
        <xdr:cNvPr id="3486" name="PTObj_DBranchDLine_1_869">
          <a:extLst>
            <a:ext uri="{FF2B5EF4-FFF2-40B4-BE49-F238E27FC236}">
              <a16:creationId xmlns:a16="http://schemas.microsoft.com/office/drawing/2014/main" id="{8F766328-0C3B-4100-BA65-D06828D67BA3}"/>
            </a:ext>
          </a:extLst>
        </xdr:cNvPr>
        <xdr:cNvCxnSpPr/>
      </xdr:nvCxnSpPr>
      <xdr:spPr>
        <a:xfrm>
          <a:off x="19997545" y="317465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1754</xdr:row>
      <xdr:rowOff>44450</xdr:rowOff>
    </xdr:from>
    <xdr:to>
      <xdr:col>10</xdr:col>
      <xdr:colOff>1388870</xdr:colOff>
      <xdr:row>1754</xdr:row>
      <xdr:rowOff>44450</xdr:rowOff>
    </xdr:to>
    <xdr:cxnSp macro="_xll.PtreeEvent_ObjectClick">
      <xdr:nvCxnSpPr>
        <xdr:cNvPr id="3483" name="PTObj_DBranchHLine_1_868">
          <a:extLst>
            <a:ext uri="{FF2B5EF4-FFF2-40B4-BE49-F238E27FC236}">
              <a16:creationId xmlns:a16="http://schemas.microsoft.com/office/drawing/2014/main" id="{40E49698-5AA6-489D-B4DE-B10DA28AED83}"/>
            </a:ext>
          </a:extLst>
        </xdr:cNvPr>
        <xdr:cNvCxnSpPr/>
      </xdr:nvCxnSpPr>
      <xdr:spPr>
        <a:xfrm>
          <a:off x="18730720" y="317474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1752</xdr:row>
      <xdr:rowOff>39390</xdr:rowOff>
    </xdr:from>
    <xdr:to>
      <xdr:col>10</xdr:col>
      <xdr:colOff>204595</xdr:colOff>
      <xdr:row>1754</xdr:row>
      <xdr:rowOff>44450</xdr:rowOff>
    </xdr:to>
    <xdr:cxnSp macro="_xll.PtreeEvent_ObjectClick">
      <xdr:nvCxnSpPr>
        <xdr:cNvPr id="3482" name="PTObj_DBranchDLine_1_868">
          <a:extLst>
            <a:ext uri="{FF2B5EF4-FFF2-40B4-BE49-F238E27FC236}">
              <a16:creationId xmlns:a16="http://schemas.microsoft.com/office/drawing/2014/main" id="{B18BFD02-6928-4A09-82D9-DBFB846B5A84}"/>
            </a:ext>
          </a:extLst>
        </xdr:cNvPr>
        <xdr:cNvCxnSpPr/>
      </xdr:nvCxnSpPr>
      <xdr:spPr>
        <a:xfrm>
          <a:off x="18578320" y="317107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1752</xdr:row>
      <xdr:rowOff>40630</xdr:rowOff>
    </xdr:from>
    <xdr:to>
      <xdr:col>9</xdr:col>
      <xdr:colOff>1392681</xdr:colOff>
      <xdr:row>1752</xdr:row>
      <xdr:rowOff>40630</xdr:rowOff>
    </xdr:to>
    <xdr:cxnSp macro="_xll.PtreeEvent_ObjectClick">
      <xdr:nvCxnSpPr>
        <xdr:cNvPr id="3479" name="PTObj_DBranchHLine_1_867">
          <a:extLst>
            <a:ext uri="{FF2B5EF4-FFF2-40B4-BE49-F238E27FC236}">
              <a16:creationId xmlns:a16="http://schemas.microsoft.com/office/drawing/2014/main" id="{B3CFF112-540F-4687-AA71-3C4649577E64}"/>
            </a:ext>
          </a:extLst>
        </xdr:cNvPr>
        <xdr:cNvCxnSpPr/>
      </xdr:nvCxnSpPr>
      <xdr:spPr>
        <a:xfrm>
          <a:off x="17306734" y="317108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1750</xdr:row>
      <xdr:rowOff>35545</xdr:rowOff>
    </xdr:from>
    <xdr:to>
      <xdr:col>9</xdr:col>
      <xdr:colOff>209359</xdr:colOff>
      <xdr:row>1752</xdr:row>
      <xdr:rowOff>40630</xdr:rowOff>
    </xdr:to>
    <xdr:cxnSp macro="_xll.PtreeEvent_ObjectClick">
      <xdr:nvCxnSpPr>
        <xdr:cNvPr id="3478" name="PTObj_DBranchDLine_1_867">
          <a:extLst>
            <a:ext uri="{FF2B5EF4-FFF2-40B4-BE49-F238E27FC236}">
              <a16:creationId xmlns:a16="http://schemas.microsoft.com/office/drawing/2014/main" id="{E9B79734-6AB9-4268-A813-7B9C85810456}"/>
            </a:ext>
          </a:extLst>
        </xdr:cNvPr>
        <xdr:cNvCxnSpPr/>
      </xdr:nvCxnSpPr>
      <xdr:spPr>
        <a:xfrm>
          <a:off x="17154334" y="3167417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1750</xdr:row>
      <xdr:rowOff>36835</xdr:rowOff>
    </xdr:from>
    <xdr:to>
      <xdr:col>8</xdr:col>
      <xdr:colOff>1398397</xdr:colOff>
      <xdr:row>1750</xdr:row>
      <xdr:rowOff>36835</xdr:rowOff>
    </xdr:to>
    <xdr:cxnSp macro="_xll.PtreeEvent_ObjectClick">
      <xdr:nvCxnSpPr>
        <xdr:cNvPr id="3475" name="PTObj_DBranchHLine_1_866">
          <a:extLst>
            <a:ext uri="{FF2B5EF4-FFF2-40B4-BE49-F238E27FC236}">
              <a16:creationId xmlns:a16="http://schemas.microsoft.com/office/drawing/2014/main" id="{060727EE-B3DC-444B-9313-3E1E01851A4F}"/>
            </a:ext>
          </a:extLst>
        </xdr:cNvPr>
        <xdr:cNvCxnSpPr/>
      </xdr:nvCxnSpPr>
      <xdr:spPr>
        <a:xfrm>
          <a:off x="15888463" y="316743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1748</xdr:row>
      <xdr:rowOff>33635</xdr:rowOff>
    </xdr:from>
    <xdr:to>
      <xdr:col>8</xdr:col>
      <xdr:colOff>219838</xdr:colOff>
      <xdr:row>1750</xdr:row>
      <xdr:rowOff>36835</xdr:rowOff>
    </xdr:to>
    <xdr:cxnSp macro="_xll.PtreeEvent_ObjectClick">
      <xdr:nvCxnSpPr>
        <xdr:cNvPr id="3474" name="PTObj_DBranchDLine_1_866">
          <a:extLst>
            <a:ext uri="{FF2B5EF4-FFF2-40B4-BE49-F238E27FC236}">
              <a16:creationId xmlns:a16="http://schemas.microsoft.com/office/drawing/2014/main" id="{FBF158DC-54EB-4196-B4CA-9F4F5C5D763C}"/>
            </a:ext>
          </a:extLst>
        </xdr:cNvPr>
        <xdr:cNvCxnSpPr/>
      </xdr:nvCxnSpPr>
      <xdr:spPr>
        <a:xfrm>
          <a:off x="15736063" y="3163779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1746</xdr:row>
      <xdr:rowOff>29220</xdr:rowOff>
    </xdr:from>
    <xdr:to>
      <xdr:col>11</xdr:col>
      <xdr:colOff>1386015</xdr:colOff>
      <xdr:row>1746</xdr:row>
      <xdr:rowOff>29220</xdr:rowOff>
    </xdr:to>
    <xdr:cxnSp macro="_xll.PtreeEvent_ObjectClick">
      <xdr:nvCxnSpPr>
        <xdr:cNvPr id="3471" name="PTObj_DBranchHLine_1_864">
          <a:extLst>
            <a:ext uri="{FF2B5EF4-FFF2-40B4-BE49-F238E27FC236}">
              <a16:creationId xmlns:a16="http://schemas.microsoft.com/office/drawing/2014/main" id="{D208AAB4-0588-416A-B900-3F59E5039779}"/>
            </a:ext>
          </a:extLst>
        </xdr:cNvPr>
        <xdr:cNvCxnSpPr/>
      </xdr:nvCxnSpPr>
      <xdr:spPr>
        <a:xfrm>
          <a:off x="20149945" y="316011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1744</xdr:row>
      <xdr:rowOff>20340</xdr:rowOff>
    </xdr:from>
    <xdr:to>
      <xdr:col>11</xdr:col>
      <xdr:colOff>195070</xdr:colOff>
      <xdr:row>1746</xdr:row>
      <xdr:rowOff>29220</xdr:rowOff>
    </xdr:to>
    <xdr:cxnSp macro="_xll.PtreeEvent_ObjectClick">
      <xdr:nvCxnSpPr>
        <xdr:cNvPr id="3470" name="PTObj_DBranchDLine_1_864">
          <a:extLst>
            <a:ext uri="{FF2B5EF4-FFF2-40B4-BE49-F238E27FC236}">
              <a16:creationId xmlns:a16="http://schemas.microsoft.com/office/drawing/2014/main" id="{0D8A85BA-899C-4921-8DF1-7675F2A3B38A}"/>
            </a:ext>
          </a:extLst>
        </xdr:cNvPr>
        <xdr:cNvCxnSpPr/>
      </xdr:nvCxnSpPr>
      <xdr:spPr>
        <a:xfrm>
          <a:off x="19997545" y="315640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1744</xdr:row>
      <xdr:rowOff>25400</xdr:rowOff>
    </xdr:from>
    <xdr:to>
      <xdr:col>10</xdr:col>
      <xdr:colOff>1388870</xdr:colOff>
      <xdr:row>1744</xdr:row>
      <xdr:rowOff>25400</xdr:rowOff>
    </xdr:to>
    <xdr:cxnSp macro="_xll.PtreeEvent_ObjectClick">
      <xdr:nvCxnSpPr>
        <xdr:cNvPr id="3467" name="PTObj_DBranchHLine_1_863">
          <a:extLst>
            <a:ext uri="{FF2B5EF4-FFF2-40B4-BE49-F238E27FC236}">
              <a16:creationId xmlns:a16="http://schemas.microsoft.com/office/drawing/2014/main" id="{9F3A446E-7461-415E-A34A-313739A13DB5}"/>
            </a:ext>
          </a:extLst>
        </xdr:cNvPr>
        <xdr:cNvCxnSpPr/>
      </xdr:nvCxnSpPr>
      <xdr:spPr>
        <a:xfrm>
          <a:off x="18730720" y="315645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1742</xdr:row>
      <xdr:rowOff>16520</xdr:rowOff>
    </xdr:from>
    <xdr:to>
      <xdr:col>10</xdr:col>
      <xdr:colOff>204595</xdr:colOff>
      <xdr:row>1744</xdr:row>
      <xdr:rowOff>25400</xdr:rowOff>
    </xdr:to>
    <xdr:cxnSp macro="_xll.PtreeEvent_ObjectClick">
      <xdr:nvCxnSpPr>
        <xdr:cNvPr id="3466" name="PTObj_DBranchDLine_1_863">
          <a:extLst>
            <a:ext uri="{FF2B5EF4-FFF2-40B4-BE49-F238E27FC236}">
              <a16:creationId xmlns:a16="http://schemas.microsoft.com/office/drawing/2014/main" id="{87AB4B7C-4429-40B5-96A6-804F0AE2D2A8}"/>
            </a:ext>
          </a:extLst>
        </xdr:cNvPr>
        <xdr:cNvCxnSpPr/>
      </xdr:nvCxnSpPr>
      <xdr:spPr>
        <a:xfrm>
          <a:off x="18578320" y="315274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1742</xdr:row>
      <xdr:rowOff>21580</xdr:rowOff>
    </xdr:from>
    <xdr:to>
      <xdr:col>9</xdr:col>
      <xdr:colOff>1392681</xdr:colOff>
      <xdr:row>1742</xdr:row>
      <xdr:rowOff>21580</xdr:rowOff>
    </xdr:to>
    <xdr:cxnSp macro="_xll.PtreeEvent_ObjectClick">
      <xdr:nvCxnSpPr>
        <xdr:cNvPr id="3463" name="PTObj_DBranchHLine_1_862">
          <a:extLst>
            <a:ext uri="{FF2B5EF4-FFF2-40B4-BE49-F238E27FC236}">
              <a16:creationId xmlns:a16="http://schemas.microsoft.com/office/drawing/2014/main" id="{882631AF-82BD-4472-9413-3E9AD1A19CC3}"/>
            </a:ext>
          </a:extLst>
        </xdr:cNvPr>
        <xdr:cNvCxnSpPr/>
      </xdr:nvCxnSpPr>
      <xdr:spPr>
        <a:xfrm>
          <a:off x="17306734" y="315280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1740</xdr:row>
      <xdr:rowOff>8880</xdr:rowOff>
    </xdr:from>
    <xdr:to>
      <xdr:col>9</xdr:col>
      <xdr:colOff>209359</xdr:colOff>
      <xdr:row>1742</xdr:row>
      <xdr:rowOff>21580</xdr:rowOff>
    </xdr:to>
    <xdr:cxnSp macro="_xll.PtreeEvent_ObjectClick">
      <xdr:nvCxnSpPr>
        <xdr:cNvPr id="3462" name="PTObj_DBranchDLine_1_862">
          <a:extLst>
            <a:ext uri="{FF2B5EF4-FFF2-40B4-BE49-F238E27FC236}">
              <a16:creationId xmlns:a16="http://schemas.microsoft.com/office/drawing/2014/main" id="{37516805-DF97-4C95-9EB4-C89E3768F732}"/>
            </a:ext>
          </a:extLst>
        </xdr:cNvPr>
        <xdr:cNvCxnSpPr/>
      </xdr:nvCxnSpPr>
      <xdr:spPr>
        <a:xfrm>
          <a:off x="17154334" y="314905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1740</xdr:row>
      <xdr:rowOff>17785</xdr:rowOff>
    </xdr:from>
    <xdr:to>
      <xdr:col>8</xdr:col>
      <xdr:colOff>1398397</xdr:colOff>
      <xdr:row>1740</xdr:row>
      <xdr:rowOff>17785</xdr:rowOff>
    </xdr:to>
    <xdr:cxnSp macro="_xll.PtreeEvent_ObjectClick">
      <xdr:nvCxnSpPr>
        <xdr:cNvPr id="3459" name="PTObj_DBranchHLine_1_861">
          <a:extLst>
            <a:ext uri="{FF2B5EF4-FFF2-40B4-BE49-F238E27FC236}">
              <a16:creationId xmlns:a16="http://schemas.microsoft.com/office/drawing/2014/main" id="{166251E2-443A-47BB-BF10-9219C2F62C4C}"/>
            </a:ext>
          </a:extLst>
        </xdr:cNvPr>
        <xdr:cNvCxnSpPr/>
      </xdr:nvCxnSpPr>
      <xdr:spPr>
        <a:xfrm>
          <a:off x="15884652" y="314914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1740</xdr:row>
      <xdr:rowOff>17785</xdr:rowOff>
    </xdr:from>
    <xdr:to>
      <xdr:col>8</xdr:col>
      <xdr:colOff>216027</xdr:colOff>
      <xdr:row>1748</xdr:row>
      <xdr:rowOff>33635</xdr:rowOff>
    </xdr:to>
    <xdr:cxnSp macro="_xll.PtreeEvent_ObjectClick">
      <xdr:nvCxnSpPr>
        <xdr:cNvPr id="3458" name="PTObj_DBranchDLine_1_861">
          <a:extLst>
            <a:ext uri="{FF2B5EF4-FFF2-40B4-BE49-F238E27FC236}">
              <a16:creationId xmlns:a16="http://schemas.microsoft.com/office/drawing/2014/main" id="{FE42EB3A-0855-4F37-AFE3-A336A9F2406E}"/>
            </a:ext>
          </a:extLst>
        </xdr:cNvPr>
        <xdr:cNvCxnSpPr/>
      </xdr:nvCxnSpPr>
      <xdr:spPr>
        <a:xfrm flipV="1">
          <a:off x="15732252" y="3149142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1748</xdr:row>
      <xdr:rowOff>33015</xdr:rowOff>
    </xdr:from>
    <xdr:to>
      <xdr:col>7</xdr:col>
      <xdr:colOff>1402207</xdr:colOff>
      <xdr:row>1748</xdr:row>
      <xdr:rowOff>33015</xdr:rowOff>
    </xdr:to>
    <xdr:cxnSp macro="_xll.PtreeEvent_ObjectClick">
      <xdr:nvCxnSpPr>
        <xdr:cNvPr id="3455" name="PTObj_DBranchHLine_1_865">
          <a:extLst>
            <a:ext uri="{FF2B5EF4-FFF2-40B4-BE49-F238E27FC236}">
              <a16:creationId xmlns:a16="http://schemas.microsoft.com/office/drawing/2014/main" id="{5977748E-031A-4D0B-824F-381A9FEC454D}"/>
            </a:ext>
          </a:extLst>
        </xdr:cNvPr>
        <xdr:cNvCxnSpPr/>
      </xdr:nvCxnSpPr>
      <xdr:spPr>
        <a:xfrm>
          <a:off x="14462570" y="3163773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1748</xdr:row>
      <xdr:rowOff>33015</xdr:rowOff>
    </xdr:from>
    <xdr:to>
      <xdr:col>7</xdr:col>
      <xdr:colOff>222695</xdr:colOff>
      <xdr:row>1758</xdr:row>
      <xdr:rowOff>42242</xdr:rowOff>
    </xdr:to>
    <xdr:cxnSp macro="_xll.PtreeEvent_ObjectClick">
      <xdr:nvCxnSpPr>
        <xdr:cNvPr id="3454" name="PTObj_DBranchDLine_1_865">
          <a:extLst>
            <a:ext uri="{FF2B5EF4-FFF2-40B4-BE49-F238E27FC236}">
              <a16:creationId xmlns:a16="http://schemas.microsoft.com/office/drawing/2014/main" id="{C73B5BC6-6FCA-455C-9179-7CD30F5B0814}"/>
            </a:ext>
          </a:extLst>
        </xdr:cNvPr>
        <xdr:cNvCxnSpPr/>
      </xdr:nvCxnSpPr>
      <xdr:spPr>
        <a:xfrm flipV="1">
          <a:off x="14310170" y="3163773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1758</xdr:row>
      <xdr:rowOff>52065</xdr:rowOff>
    </xdr:from>
    <xdr:to>
      <xdr:col>6</xdr:col>
      <xdr:colOff>1407922</xdr:colOff>
      <xdr:row>1758</xdr:row>
      <xdr:rowOff>52065</xdr:rowOff>
    </xdr:to>
    <xdr:cxnSp macro="_xll.PtreeEvent_ObjectClick">
      <xdr:nvCxnSpPr>
        <xdr:cNvPr id="3451" name="PTObj_DBranchHLine_1_870">
          <a:extLst>
            <a:ext uri="{FF2B5EF4-FFF2-40B4-BE49-F238E27FC236}">
              <a16:creationId xmlns:a16="http://schemas.microsoft.com/office/drawing/2014/main" id="{4EEBA740-FDB6-4F28-AB29-6457CB102224}"/>
            </a:ext>
          </a:extLst>
        </xdr:cNvPr>
        <xdr:cNvCxnSpPr/>
      </xdr:nvCxnSpPr>
      <xdr:spPr>
        <a:xfrm>
          <a:off x="13036677" y="3182061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1738</xdr:row>
      <xdr:rowOff>2232</xdr:rowOff>
    </xdr:from>
    <xdr:to>
      <xdr:col>6</xdr:col>
      <xdr:colOff>225552</xdr:colOff>
      <xdr:row>1758</xdr:row>
      <xdr:rowOff>52065</xdr:rowOff>
    </xdr:to>
    <xdr:cxnSp macro="_xll.PtreeEvent_ObjectClick">
      <xdr:nvCxnSpPr>
        <xdr:cNvPr id="3450" name="PTObj_DBranchDLine_1_870">
          <a:extLst>
            <a:ext uri="{FF2B5EF4-FFF2-40B4-BE49-F238E27FC236}">
              <a16:creationId xmlns:a16="http://schemas.microsoft.com/office/drawing/2014/main" id="{6739F0A0-E589-4970-AE5E-3739994C6F32}"/>
            </a:ext>
          </a:extLst>
        </xdr:cNvPr>
        <xdr:cNvCxnSpPr/>
      </xdr:nvCxnSpPr>
      <xdr:spPr>
        <a:xfrm>
          <a:off x="12884276" y="314536782"/>
          <a:ext cx="152401" cy="36693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1736</xdr:row>
      <xdr:rowOff>10170</xdr:rowOff>
    </xdr:from>
    <xdr:to>
      <xdr:col>11</xdr:col>
      <xdr:colOff>1386967</xdr:colOff>
      <xdr:row>1736</xdr:row>
      <xdr:rowOff>10170</xdr:rowOff>
    </xdr:to>
    <xdr:cxnSp macro="_xll.PtreeEvent_ObjectClick">
      <xdr:nvCxnSpPr>
        <xdr:cNvPr id="3447" name="PTObj_DBranchHLine_1_859">
          <a:extLst>
            <a:ext uri="{FF2B5EF4-FFF2-40B4-BE49-F238E27FC236}">
              <a16:creationId xmlns:a16="http://schemas.microsoft.com/office/drawing/2014/main" id="{A41B05AC-67C0-4856-8970-C7A991414B52}"/>
            </a:ext>
          </a:extLst>
        </xdr:cNvPr>
        <xdr:cNvCxnSpPr/>
      </xdr:nvCxnSpPr>
      <xdr:spPr>
        <a:xfrm>
          <a:off x="20149945" y="314182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1733</xdr:row>
      <xdr:rowOff>178445</xdr:rowOff>
    </xdr:from>
    <xdr:to>
      <xdr:col>11</xdr:col>
      <xdr:colOff>195070</xdr:colOff>
      <xdr:row>1736</xdr:row>
      <xdr:rowOff>10170</xdr:rowOff>
    </xdr:to>
    <xdr:cxnSp macro="_xll.PtreeEvent_ObjectClick">
      <xdr:nvCxnSpPr>
        <xdr:cNvPr id="3446" name="PTObj_DBranchDLine_1_859">
          <a:extLst>
            <a:ext uri="{FF2B5EF4-FFF2-40B4-BE49-F238E27FC236}">
              <a16:creationId xmlns:a16="http://schemas.microsoft.com/office/drawing/2014/main" id="{F9F877CA-DEDC-4F5A-800A-21DC79D2ABAA}"/>
            </a:ext>
          </a:extLst>
        </xdr:cNvPr>
        <xdr:cNvCxnSpPr/>
      </xdr:nvCxnSpPr>
      <xdr:spPr>
        <a:xfrm>
          <a:off x="19997545" y="313808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1734</xdr:row>
      <xdr:rowOff>6350</xdr:rowOff>
    </xdr:from>
    <xdr:to>
      <xdr:col>10</xdr:col>
      <xdr:colOff>1388870</xdr:colOff>
      <xdr:row>1734</xdr:row>
      <xdr:rowOff>6350</xdr:rowOff>
    </xdr:to>
    <xdr:cxnSp macro="_xll.PtreeEvent_ObjectClick">
      <xdr:nvCxnSpPr>
        <xdr:cNvPr id="3443" name="PTObj_DBranchHLine_1_858">
          <a:extLst>
            <a:ext uri="{FF2B5EF4-FFF2-40B4-BE49-F238E27FC236}">
              <a16:creationId xmlns:a16="http://schemas.microsoft.com/office/drawing/2014/main" id="{E0F625AD-B3FA-464B-A86D-F1578D326075}"/>
            </a:ext>
          </a:extLst>
        </xdr:cNvPr>
        <xdr:cNvCxnSpPr/>
      </xdr:nvCxnSpPr>
      <xdr:spPr>
        <a:xfrm>
          <a:off x="18730720" y="313817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1732</xdr:row>
      <xdr:rowOff>1290</xdr:rowOff>
    </xdr:from>
    <xdr:to>
      <xdr:col>10</xdr:col>
      <xdr:colOff>204595</xdr:colOff>
      <xdr:row>1734</xdr:row>
      <xdr:rowOff>6350</xdr:rowOff>
    </xdr:to>
    <xdr:cxnSp macro="_xll.PtreeEvent_ObjectClick">
      <xdr:nvCxnSpPr>
        <xdr:cNvPr id="3442" name="PTObj_DBranchDLine_1_858">
          <a:extLst>
            <a:ext uri="{FF2B5EF4-FFF2-40B4-BE49-F238E27FC236}">
              <a16:creationId xmlns:a16="http://schemas.microsoft.com/office/drawing/2014/main" id="{C233EC50-3628-4A0E-8E02-88B547255ABF}"/>
            </a:ext>
          </a:extLst>
        </xdr:cNvPr>
        <xdr:cNvCxnSpPr/>
      </xdr:nvCxnSpPr>
      <xdr:spPr>
        <a:xfrm>
          <a:off x="18578320" y="313449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1732</xdr:row>
      <xdr:rowOff>2530</xdr:rowOff>
    </xdr:from>
    <xdr:to>
      <xdr:col>9</xdr:col>
      <xdr:colOff>1392681</xdr:colOff>
      <xdr:row>1732</xdr:row>
      <xdr:rowOff>2530</xdr:rowOff>
    </xdr:to>
    <xdr:cxnSp macro="_xll.PtreeEvent_ObjectClick">
      <xdr:nvCxnSpPr>
        <xdr:cNvPr id="3439" name="PTObj_DBranchHLine_1_857">
          <a:extLst>
            <a:ext uri="{FF2B5EF4-FFF2-40B4-BE49-F238E27FC236}">
              <a16:creationId xmlns:a16="http://schemas.microsoft.com/office/drawing/2014/main" id="{8A26A52D-E7E1-4919-981F-6485D2764F14}"/>
            </a:ext>
          </a:extLst>
        </xdr:cNvPr>
        <xdr:cNvCxnSpPr/>
      </xdr:nvCxnSpPr>
      <xdr:spPr>
        <a:xfrm>
          <a:off x="17306734" y="313451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1729</xdr:row>
      <xdr:rowOff>178420</xdr:rowOff>
    </xdr:from>
    <xdr:to>
      <xdr:col>9</xdr:col>
      <xdr:colOff>209359</xdr:colOff>
      <xdr:row>1732</xdr:row>
      <xdr:rowOff>2530</xdr:rowOff>
    </xdr:to>
    <xdr:cxnSp macro="_xll.PtreeEvent_ObjectClick">
      <xdr:nvCxnSpPr>
        <xdr:cNvPr id="3438" name="PTObj_DBranchDLine_1_857">
          <a:extLst>
            <a:ext uri="{FF2B5EF4-FFF2-40B4-BE49-F238E27FC236}">
              <a16:creationId xmlns:a16="http://schemas.microsoft.com/office/drawing/2014/main" id="{C5C313F4-643A-4752-A584-648A47BD7B44}"/>
            </a:ext>
          </a:extLst>
        </xdr:cNvPr>
        <xdr:cNvCxnSpPr/>
      </xdr:nvCxnSpPr>
      <xdr:spPr>
        <a:xfrm>
          <a:off x="17154334" y="3130841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1729</xdr:row>
      <xdr:rowOff>179710</xdr:rowOff>
    </xdr:from>
    <xdr:to>
      <xdr:col>8</xdr:col>
      <xdr:colOff>1398397</xdr:colOff>
      <xdr:row>1729</xdr:row>
      <xdr:rowOff>179710</xdr:rowOff>
    </xdr:to>
    <xdr:cxnSp macro="_xll.PtreeEvent_ObjectClick">
      <xdr:nvCxnSpPr>
        <xdr:cNvPr id="3435" name="PTObj_DBranchHLine_1_856">
          <a:extLst>
            <a:ext uri="{FF2B5EF4-FFF2-40B4-BE49-F238E27FC236}">
              <a16:creationId xmlns:a16="http://schemas.microsoft.com/office/drawing/2014/main" id="{EC5115BB-9FA4-408E-A158-43F975201028}"/>
            </a:ext>
          </a:extLst>
        </xdr:cNvPr>
        <xdr:cNvCxnSpPr/>
      </xdr:nvCxnSpPr>
      <xdr:spPr>
        <a:xfrm>
          <a:off x="15888463" y="313085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1727</xdr:row>
      <xdr:rowOff>176510</xdr:rowOff>
    </xdr:from>
    <xdr:to>
      <xdr:col>8</xdr:col>
      <xdr:colOff>219838</xdr:colOff>
      <xdr:row>1729</xdr:row>
      <xdr:rowOff>179710</xdr:rowOff>
    </xdr:to>
    <xdr:cxnSp macro="_xll.PtreeEvent_ObjectClick">
      <xdr:nvCxnSpPr>
        <xdr:cNvPr id="3434" name="PTObj_DBranchDLine_1_856">
          <a:extLst>
            <a:ext uri="{FF2B5EF4-FFF2-40B4-BE49-F238E27FC236}">
              <a16:creationId xmlns:a16="http://schemas.microsoft.com/office/drawing/2014/main" id="{B4C7E0FE-01CC-4831-B4DA-45AA4419EC95}"/>
            </a:ext>
          </a:extLst>
        </xdr:cNvPr>
        <xdr:cNvCxnSpPr/>
      </xdr:nvCxnSpPr>
      <xdr:spPr>
        <a:xfrm>
          <a:off x="15736063" y="3127203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1725</xdr:row>
      <xdr:rowOff>172095</xdr:rowOff>
    </xdr:from>
    <xdr:to>
      <xdr:col>11</xdr:col>
      <xdr:colOff>1386015</xdr:colOff>
      <xdr:row>1725</xdr:row>
      <xdr:rowOff>172095</xdr:rowOff>
    </xdr:to>
    <xdr:cxnSp macro="_xll.PtreeEvent_ObjectClick">
      <xdr:nvCxnSpPr>
        <xdr:cNvPr id="3431" name="PTObj_DBranchHLine_1_854">
          <a:extLst>
            <a:ext uri="{FF2B5EF4-FFF2-40B4-BE49-F238E27FC236}">
              <a16:creationId xmlns:a16="http://schemas.microsoft.com/office/drawing/2014/main" id="{B5374784-5CFA-4499-8633-AC9CD9538DCD}"/>
            </a:ext>
          </a:extLst>
        </xdr:cNvPr>
        <xdr:cNvCxnSpPr/>
      </xdr:nvCxnSpPr>
      <xdr:spPr>
        <a:xfrm>
          <a:off x="20149945" y="312353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1723</xdr:row>
      <xdr:rowOff>163215</xdr:rowOff>
    </xdr:from>
    <xdr:to>
      <xdr:col>11</xdr:col>
      <xdr:colOff>195070</xdr:colOff>
      <xdr:row>1725</xdr:row>
      <xdr:rowOff>172095</xdr:rowOff>
    </xdr:to>
    <xdr:cxnSp macro="_xll.PtreeEvent_ObjectClick">
      <xdr:nvCxnSpPr>
        <xdr:cNvPr id="3430" name="PTObj_DBranchDLine_1_854">
          <a:extLst>
            <a:ext uri="{FF2B5EF4-FFF2-40B4-BE49-F238E27FC236}">
              <a16:creationId xmlns:a16="http://schemas.microsoft.com/office/drawing/2014/main" id="{B0139683-07C6-466C-A663-2A868205086C}"/>
            </a:ext>
          </a:extLst>
        </xdr:cNvPr>
        <xdr:cNvCxnSpPr/>
      </xdr:nvCxnSpPr>
      <xdr:spPr>
        <a:xfrm>
          <a:off x="19997545" y="311983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1723</xdr:row>
      <xdr:rowOff>168275</xdr:rowOff>
    </xdr:from>
    <xdr:to>
      <xdr:col>10</xdr:col>
      <xdr:colOff>1388870</xdr:colOff>
      <xdr:row>1723</xdr:row>
      <xdr:rowOff>168275</xdr:rowOff>
    </xdr:to>
    <xdr:cxnSp macro="_xll.PtreeEvent_ObjectClick">
      <xdr:nvCxnSpPr>
        <xdr:cNvPr id="3427" name="PTObj_DBranchHLine_1_853">
          <a:extLst>
            <a:ext uri="{FF2B5EF4-FFF2-40B4-BE49-F238E27FC236}">
              <a16:creationId xmlns:a16="http://schemas.microsoft.com/office/drawing/2014/main" id="{2F7CD469-313C-40CE-A450-27779776D7EB}"/>
            </a:ext>
          </a:extLst>
        </xdr:cNvPr>
        <xdr:cNvCxnSpPr/>
      </xdr:nvCxnSpPr>
      <xdr:spPr>
        <a:xfrm>
          <a:off x="18730720" y="311988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1721</xdr:row>
      <xdr:rowOff>159395</xdr:rowOff>
    </xdr:from>
    <xdr:to>
      <xdr:col>10</xdr:col>
      <xdr:colOff>204595</xdr:colOff>
      <xdr:row>1723</xdr:row>
      <xdr:rowOff>168275</xdr:rowOff>
    </xdr:to>
    <xdr:cxnSp macro="_xll.PtreeEvent_ObjectClick">
      <xdr:nvCxnSpPr>
        <xdr:cNvPr id="3426" name="PTObj_DBranchDLine_1_853">
          <a:extLst>
            <a:ext uri="{FF2B5EF4-FFF2-40B4-BE49-F238E27FC236}">
              <a16:creationId xmlns:a16="http://schemas.microsoft.com/office/drawing/2014/main" id="{05D4D3AB-F9F9-47C9-A1CD-775B7A349922}"/>
            </a:ext>
          </a:extLst>
        </xdr:cNvPr>
        <xdr:cNvCxnSpPr/>
      </xdr:nvCxnSpPr>
      <xdr:spPr>
        <a:xfrm>
          <a:off x="18578320" y="311617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1721</xdr:row>
      <xdr:rowOff>164455</xdr:rowOff>
    </xdr:from>
    <xdr:to>
      <xdr:col>9</xdr:col>
      <xdr:colOff>1392681</xdr:colOff>
      <xdr:row>1721</xdr:row>
      <xdr:rowOff>164455</xdr:rowOff>
    </xdr:to>
    <xdr:cxnSp macro="_xll.PtreeEvent_ObjectClick">
      <xdr:nvCxnSpPr>
        <xdr:cNvPr id="3423" name="PTObj_DBranchHLine_1_852">
          <a:extLst>
            <a:ext uri="{FF2B5EF4-FFF2-40B4-BE49-F238E27FC236}">
              <a16:creationId xmlns:a16="http://schemas.microsoft.com/office/drawing/2014/main" id="{0331DBF7-4A19-47C0-8B80-C01D12EB2ACA}"/>
            </a:ext>
          </a:extLst>
        </xdr:cNvPr>
        <xdr:cNvCxnSpPr/>
      </xdr:nvCxnSpPr>
      <xdr:spPr>
        <a:xfrm>
          <a:off x="17306734" y="311622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1719</xdr:row>
      <xdr:rowOff>151755</xdr:rowOff>
    </xdr:from>
    <xdr:to>
      <xdr:col>9</xdr:col>
      <xdr:colOff>209359</xdr:colOff>
      <xdr:row>1721</xdr:row>
      <xdr:rowOff>164455</xdr:rowOff>
    </xdr:to>
    <xdr:cxnSp macro="_xll.PtreeEvent_ObjectClick">
      <xdr:nvCxnSpPr>
        <xdr:cNvPr id="3422" name="PTObj_DBranchDLine_1_852">
          <a:extLst>
            <a:ext uri="{FF2B5EF4-FFF2-40B4-BE49-F238E27FC236}">
              <a16:creationId xmlns:a16="http://schemas.microsoft.com/office/drawing/2014/main" id="{DCB5B9AE-A58D-4556-8ED4-0495E168C063}"/>
            </a:ext>
          </a:extLst>
        </xdr:cNvPr>
        <xdr:cNvCxnSpPr/>
      </xdr:nvCxnSpPr>
      <xdr:spPr>
        <a:xfrm>
          <a:off x="17154334" y="311247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1719</xdr:row>
      <xdr:rowOff>160660</xdr:rowOff>
    </xdr:from>
    <xdr:to>
      <xdr:col>8</xdr:col>
      <xdr:colOff>1398397</xdr:colOff>
      <xdr:row>1719</xdr:row>
      <xdr:rowOff>160660</xdr:rowOff>
    </xdr:to>
    <xdr:cxnSp macro="_xll.PtreeEvent_ObjectClick">
      <xdr:nvCxnSpPr>
        <xdr:cNvPr id="3419" name="PTObj_DBranchHLine_1_851">
          <a:extLst>
            <a:ext uri="{FF2B5EF4-FFF2-40B4-BE49-F238E27FC236}">
              <a16:creationId xmlns:a16="http://schemas.microsoft.com/office/drawing/2014/main" id="{982133C0-6D34-4402-8395-CF36EAB9EAE2}"/>
            </a:ext>
          </a:extLst>
        </xdr:cNvPr>
        <xdr:cNvCxnSpPr/>
      </xdr:nvCxnSpPr>
      <xdr:spPr>
        <a:xfrm>
          <a:off x="15884652" y="311256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1719</xdr:row>
      <xdr:rowOff>160660</xdr:rowOff>
    </xdr:from>
    <xdr:to>
      <xdr:col>8</xdr:col>
      <xdr:colOff>216027</xdr:colOff>
      <xdr:row>1727</xdr:row>
      <xdr:rowOff>176510</xdr:rowOff>
    </xdr:to>
    <xdr:cxnSp macro="_xll.PtreeEvent_ObjectClick">
      <xdr:nvCxnSpPr>
        <xdr:cNvPr id="3418" name="PTObj_DBranchDLine_1_851">
          <a:extLst>
            <a:ext uri="{FF2B5EF4-FFF2-40B4-BE49-F238E27FC236}">
              <a16:creationId xmlns:a16="http://schemas.microsoft.com/office/drawing/2014/main" id="{8A1EBE51-8C34-4755-9C8B-7F418CB8E2D3}"/>
            </a:ext>
          </a:extLst>
        </xdr:cNvPr>
        <xdr:cNvCxnSpPr/>
      </xdr:nvCxnSpPr>
      <xdr:spPr>
        <a:xfrm flipV="1">
          <a:off x="15732252" y="3112566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1727</xdr:row>
      <xdr:rowOff>175890</xdr:rowOff>
    </xdr:from>
    <xdr:to>
      <xdr:col>7</xdr:col>
      <xdr:colOff>1402207</xdr:colOff>
      <xdr:row>1727</xdr:row>
      <xdr:rowOff>175890</xdr:rowOff>
    </xdr:to>
    <xdr:cxnSp macro="_xll.PtreeEvent_ObjectClick">
      <xdr:nvCxnSpPr>
        <xdr:cNvPr id="3415" name="PTObj_DBranchHLine_1_855">
          <a:extLst>
            <a:ext uri="{FF2B5EF4-FFF2-40B4-BE49-F238E27FC236}">
              <a16:creationId xmlns:a16="http://schemas.microsoft.com/office/drawing/2014/main" id="{41BE3569-7C24-4677-BF30-0EC5A8494A2E}"/>
            </a:ext>
          </a:extLst>
        </xdr:cNvPr>
        <xdr:cNvCxnSpPr/>
      </xdr:nvCxnSpPr>
      <xdr:spPr>
        <a:xfrm>
          <a:off x="14460665" y="312719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1717</xdr:row>
      <xdr:rowOff>145107</xdr:rowOff>
    </xdr:from>
    <xdr:to>
      <xdr:col>7</xdr:col>
      <xdr:colOff>220790</xdr:colOff>
      <xdr:row>1727</xdr:row>
      <xdr:rowOff>175890</xdr:rowOff>
    </xdr:to>
    <xdr:cxnSp macro="_xll.PtreeEvent_ObjectClick">
      <xdr:nvCxnSpPr>
        <xdr:cNvPr id="3414" name="PTObj_DBranchDLine_1_855">
          <a:extLst>
            <a:ext uri="{FF2B5EF4-FFF2-40B4-BE49-F238E27FC236}">
              <a16:creationId xmlns:a16="http://schemas.microsoft.com/office/drawing/2014/main" id="{8BFFEDA5-1DD6-467A-8EB3-7AF26587AB0B}"/>
            </a:ext>
          </a:extLst>
        </xdr:cNvPr>
        <xdr:cNvCxnSpPr/>
      </xdr:nvCxnSpPr>
      <xdr:spPr>
        <a:xfrm>
          <a:off x="14308265" y="3108791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1715</xdr:row>
      <xdr:rowOff>153045</xdr:rowOff>
    </xdr:from>
    <xdr:to>
      <xdr:col>11</xdr:col>
      <xdr:colOff>1386967</xdr:colOff>
      <xdr:row>1715</xdr:row>
      <xdr:rowOff>153045</xdr:rowOff>
    </xdr:to>
    <xdr:cxnSp macro="_xll.PtreeEvent_ObjectClick">
      <xdr:nvCxnSpPr>
        <xdr:cNvPr id="3411" name="PTObj_DBranchHLine_1_849">
          <a:extLst>
            <a:ext uri="{FF2B5EF4-FFF2-40B4-BE49-F238E27FC236}">
              <a16:creationId xmlns:a16="http://schemas.microsoft.com/office/drawing/2014/main" id="{42834AB9-CE35-49B8-86B0-977A5CC1B0BD}"/>
            </a:ext>
          </a:extLst>
        </xdr:cNvPr>
        <xdr:cNvCxnSpPr/>
      </xdr:nvCxnSpPr>
      <xdr:spPr>
        <a:xfrm>
          <a:off x="20149945" y="310525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1713</xdr:row>
      <xdr:rowOff>140345</xdr:rowOff>
    </xdr:from>
    <xdr:to>
      <xdr:col>11</xdr:col>
      <xdr:colOff>195070</xdr:colOff>
      <xdr:row>1715</xdr:row>
      <xdr:rowOff>153045</xdr:rowOff>
    </xdr:to>
    <xdr:cxnSp macro="_xll.PtreeEvent_ObjectClick">
      <xdr:nvCxnSpPr>
        <xdr:cNvPr id="3410" name="PTObj_DBranchDLine_1_849">
          <a:extLst>
            <a:ext uri="{FF2B5EF4-FFF2-40B4-BE49-F238E27FC236}">
              <a16:creationId xmlns:a16="http://schemas.microsoft.com/office/drawing/2014/main" id="{48F32994-F310-48DA-95A3-EC32E9A742ED}"/>
            </a:ext>
          </a:extLst>
        </xdr:cNvPr>
        <xdr:cNvCxnSpPr/>
      </xdr:nvCxnSpPr>
      <xdr:spPr>
        <a:xfrm>
          <a:off x="19997545" y="310150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1713</xdr:row>
      <xdr:rowOff>149225</xdr:rowOff>
    </xdr:from>
    <xdr:to>
      <xdr:col>10</xdr:col>
      <xdr:colOff>1388870</xdr:colOff>
      <xdr:row>1713</xdr:row>
      <xdr:rowOff>149225</xdr:rowOff>
    </xdr:to>
    <xdr:cxnSp macro="_xll.PtreeEvent_ObjectClick">
      <xdr:nvCxnSpPr>
        <xdr:cNvPr id="3407" name="PTObj_DBranchHLine_1_848">
          <a:extLst>
            <a:ext uri="{FF2B5EF4-FFF2-40B4-BE49-F238E27FC236}">
              <a16:creationId xmlns:a16="http://schemas.microsoft.com/office/drawing/2014/main" id="{B20893EE-0709-497B-8926-A1A5D881645A}"/>
            </a:ext>
          </a:extLst>
        </xdr:cNvPr>
        <xdr:cNvCxnSpPr/>
      </xdr:nvCxnSpPr>
      <xdr:spPr>
        <a:xfrm>
          <a:off x="18730720" y="310159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1711</xdr:row>
      <xdr:rowOff>144165</xdr:rowOff>
    </xdr:from>
    <xdr:to>
      <xdr:col>10</xdr:col>
      <xdr:colOff>204595</xdr:colOff>
      <xdr:row>1713</xdr:row>
      <xdr:rowOff>149225</xdr:rowOff>
    </xdr:to>
    <xdr:cxnSp macro="_xll.PtreeEvent_ObjectClick">
      <xdr:nvCxnSpPr>
        <xdr:cNvPr id="3406" name="PTObj_DBranchDLine_1_848">
          <a:extLst>
            <a:ext uri="{FF2B5EF4-FFF2-40B4-BE49-F238E27FC236}">
              <a16:creationId xmlns:a16="http://schemas.microsoft.com/office/drawing/2014/main" id="{19457C4A-AAE9-490C-A86E-26E0E4F6AADA}"/>
            </a:ext>
          </a:extLst>
        </xdr:cNvPr>
        <xdr:cNvCxnSpPr/>
      </xdr:nvCxnSpPr>
      <xdr:spPr>
        <a:xfrm>
          <a:off x="18578320" y="309792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1711</xdr:row>
      <xdr:rowOff>145405</xdr:rowOff>
    </xdr:from>
    <xdr:to>
      <xdr:col>9</xdr:col>
      <xdr:colOff>1392681</xdr:colOff>
      <xdr:row>1711</xdr:row>
      <xdr:rowOff>145405</xdr:rowOff>
    </xdr:to>
    <xdr:cxnSp macro="_xll.PtreeEvent_ObjectClick">
      <xdr:nvCxnSpPr>
        <xdr:cNvPr id="3403" name="PTObj_DBranchHLine_1_847">
          <a:extLst>
            <a:ext uri="{FF2B5EF4-FFF2-40B4-BE49-F238E27FC236}">
              <a16:creationId xmlns:a16="http://schemas.microsoft.com/office/drawing/2014/main" id="{51106119-0807-4894-860D-D7AE295B314D}"/>
            </a:ext>
          </a:extLst>
        </xdr:cNvPr>
        <xdr:cNvCxnSpPr/>
      </xdr:nvCxnSpPr>
      <xdr:spPr>
        <a:xfrm>
          <a:off x="17306734" y="309793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1709</xdr:row>
      <xdr:rowOff>140320</xdr:rowOff>
    </xdr:from>
    <xdr:to>
      <xdr:col>9</xdr:col>
      <xdr:colOff>209359</xdr:colOff>
      <xdr:row>1711</xdr:row>
      <xdr:rowOff>145405</xdr:rowOff>
    </xdr:to>
    <xdr:cxnSp macro="_xll.PtreeEvent_ObjectClick">
      <xdr:nvCxnSpPr>
        <xdr:cNvPr id="3402" name="PTObj_DBranchDLine_1_847">
          <a:extLst>
            <a:ext uri="{FF2B5EF4-FFF2-40B4-BE49-F238E27FC236}">
              <a16:creationId xmlns:a16="http://schemas.microsoft.com/office/drawing/2014/main" id="{CEE37322-3DE1-4CEC-9EB5-261CD4BC9644}"/>
            </a:ext>
          </a:extLst>
        </xdr:cNvPr>
        <xdr:cNvCxnSpPr/>
      </xdr:nvCxnSpPr>
      <xdr:spPr>
        <a:xfrm>
          <a:off x="17154334" y="3094265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1709</xdr:row>
      <xdr:rowOff>141610</xdr:rowOff>
    </xdr:from>
    <xdr:to>
      <xdr:col>8</xdr:col>
      <xdr:colOff>1398397</xdr:colOff>
      <xdr:row>1709</xdr:row>
      <xdr:rowOff>141610</xdr:rowOff>
    </xdr:to>
    <xdr:cxnSp macro="_xll.PtreeEvent_ObjectClick">
      <xdr:nvCxnSpPr>
        <xdr:cNvPr id="3399" name="PTObj_DBranchHLine_1_846">
          <a:extLst>
            <a:ext uri="{FF2B5EF4-FFF2-40B4-BE49-F238E27FC236}">
              <a16:creationId xmlns:a16="http://schemas.microsoft.com/office/drawing/2014/main" id="{974FB0A7-4F3C-470C-A4F4-F4B1DD2441E6}"/>
            </a:ext>
          </a:extLst>
        </xdr:cNvPr>
        <xdr:cNvCxnSpPr/>
      </xdr:nvCxnSpPr>
      <xdr:spPr>
        <a:xfrm>
          <a:off x="15888463" y="309427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1707</xdr:row>
      <xdr:rowOff>138410</xdr:rowOff>
    </xdr:from>
    <xdr:to>
      <xdr:col>8</xdr:col>
      <xdr:colOff>219838</xdr:colOff>
      <xdr:row>1709</xdr:row>
      <xdr:rowOff>141610</xdr:rowOff>
    </xdr:to>
    <xdr:cxnSp macro="_xll.PtreeEvent_ObjectClick">
      <xdr:nvCxnSpPr>
        <xdr:cNvPr id="3398" name="PTObj_DBranchDLine_1_846">
          <a:extLst>
            <a:ext uri="{FF2B5EF4-FFF2-40B4-BE49-F238E27FC236}">
              <a16:creationId xmlns:a16="http://schemas.microsoft.com/office/drawing/2014/main" id="{B0959185-3BD2-464F-9DCC-C9245814C449}"/>
            </a:ext>
          </a:extLst>
        </xdr:cNvPr>
        <xdr:cNvCxnSpPr/>
      </xdr:nvCxnSpPr>
      <xdr:spPr>
        <a:xfrm>
          <a:off x="15736063" y="3090627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1705</xdr:row>
      <xdr:rowOff>133995</xdr:rowOff>
    </xdr:from>
    <xdr:to>
      <xdr:col>11</xdr:col>
      <xdr:colOff>1386015</xdr:colOff>
      <xdr:row>1705</xdr:row>
      <xdr:rowOff>133995</xdr:rowOff>
    </xdr:to>
    <xdr:cxnSp macro="_xll.PtreeEvent_ObjectClick">
      <xdr:nvCxnSpPr>
        <xdr:cNvPr id="3395" name="PTObj_DBranchHLine_1_844">
          <a:extLst>
            <a:ext uri="{FF2B5EF4-FFF2-40B4-BE49-F238E27FC236}">
              <a16:creationId xmlns:a16="http://schemas.microsoft.com/office/drawing/2014/main" id="{6BC71CF2-560F-4945-A37E-8F5DA6BADA83}"/>
            </a:ext>
          </a:extLst>
        </xdr:cNvPr>
        <xdr:cNvCxnSpPr/>
      </xdr:nvCxnSpPr>
      <xdr:spPr>
        <a:xfrm>
          <a:off x="20149945" y="308696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1703</xdr:row>
      <xdr:rowOff>125115</xdr:rowOff>
    </xdr:from>
    <xdr:to>
      <xdr:col>11</xdr:col>
      <xdr:colOff>195070</xdr:colOff>
      <xdr:row>1705</xdr:row>
      <xdr:rowOff>133995</xdr:rowOff>
    </xdr:to>
    <xdr:cxnSp macro="_xll.PtreeEvent_ObjectClick">
      <xdr:nvCxnSpPr>
        <xdr:cNvPr id="3394" name="PTObj_DBranchDLine_1_844">
          <a:extLst>
            <a:ext uri="{FF2B5EF4-FFF2-40B4-BE49-F238E27FC236}">
              <a16:creationId xmlns:a16="http://schemas.microsoft.com/office/drawing/2014/main" id="{713FF906-59C9-46A7-B940-422C622AFB66}"/>
            </a:ext>
          </a:extLst>
        </xdr:cNvPr>
        <xdr:cNvCxnSpPr/>
      </xdr:nvCxnSpPr>
      <xdr:spPr>
        <a:xfrm>
          <a:off x="19997545" y="308325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1703</xdr:row>
      <xdr:rowOff>130175</xdr:rowOff>
    </xdr:from>
    <xdr:to>
      <xdr:col>10</xdr:col>
      <xdr:colOff>1388870</xdr:colOff>
      <xdr:row>1703</xdr:row>
      <xdr:rowOff>130175</xdr:rowOff>
    </xdr:to>
    <xdr:cxnSp macro="_xll.PtreeEvent_ObjectClick">
      <xdr:nvCxnSpPr>
        <xdr:cNvPr id="3391" name="PTObj_DBranchHLine_1_843">
          <a:extLst>
            <a:ext uri="{FF2B5EF4-FFF2-40B4-BE49-F238E27FC236}">
              <a16:creationId xmlns:a16="http://schemas.microsoft.com/office/drawing/2014/main" id="{3052AEA4-681F-447F-BDAB-17BD0281C0D1}"/>
            </a:ext>
          </a:extLst>
        </xdr:cNvPr>
        <xdr:cNvCxnSpPr/>
      </xdr:nvCxnSpPr>
      <xdr:spPr>
        <a:xfrm>
          <a:off x="18730720" y="308330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1701</xdr:row>
      <xdr:rowOff>121295</xdr:rowOff>
    </xdr:from>
    <xdr:to>
      <xdr:col>10</xdr:col>
      <xdr:colOff>204595</xdr:colOff>
      <xdr:row>1703</xdr:row>
      <xdr:rowOff>130175</xdr:rowOff>
    </xdr:to>
    <xdr:cxnSp macro="_xll.PtreeEvent_ObjectClick">
      <xdr:nvCxnSpPr>
        <xdr:cNvPr id="3390" name="PTObj_DBranchDLine_1_843">
          <a:extLst>
            <a:ext uri="{FF2B5EF4-FFF2-40B4-BE49-F238E27FC236}">
              <a16:creationId xmlns:a16="http://schemas.microsoft.com/office/drawing/2014/main" id="{A34AA18F-0898-4BC4-87A7-F1D5463FFDD4}"/>
            </a:ext>
          </a:extLst>
        </xdr:cNvPr>
        <xdr:cNvCxnSpPr/>
      </xdr:nvCxnSpPr>
      <xdr:spPr>
        <a:xfrm>
          <a:off x="18578320" y="307959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1701</xdr:row>
      <xdr:rowOff>126355</xdr:rowOff>
    </xdr:from>
    <xdr:to>
      <xdr:col>9</xdr:col>
      <xdr:colOff>1392681</xdr:colOff>
      <xdr:row>1701</xdr:row>
      <xdr:rowOff>126355</xdr:rowOff>
    </xdr:to>
    <xdr:cxnSp macro="_xll.PtreeEvent_ObjectClick">
      <xdr:nvCxnSpPr>
        <xdr:cNvPr id="3387" name="PTObj_DBranchHLine_1_842">
          <a:extLst>
            <a:ext uri="{FF2B5EF4-FFF2-40B4-BE49-F238E27FC236}">
              <a16:creationId xmlns:a16="http://schemas.microsoft.com/office/drawing/2014/main" id="{AE508459-6641-42E7-BC50-B0BC4D2F4287}"/>
            </a:ext>
          </a:extLst>
        </xdr:cNvPr>
        <xdr:cNvCxnSpPr/>
      </xdr:nvCxnSpPr>
      <xdr:spPr>
        <a:xfrm>
          <a:off x="17306734" y="307964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1699</xdr:row>
      <xdr:rowOff>113655</xdr:rowOff>
    </xdr:from>
    <xdr:to>
      <xdr:col>9</xdr:col>
      <xdr:colOff>209359</xdr:colOff>
      <xdr:row>1701</xdr:row>
      <xdr:rowOff>126355</xdr:rowOff>
    </xdr:to>
    <xdr:cxnSp macro="_xll.PtreeEvent_ObjectClick">
      <xdr:nvCxnSpPr>
        <xdr:cNvPr id="3386" name="PTObj_DBranchDLine_1_842">
          <a:extLst>
            <a:ext uri="{FF2B5EF4-FFF2-40B4-BE49-F238E27FC236}">
              <a16:creationId xmlns:a16="http://schemas.microsoft.com/office/drawing/2014/main" id="{1399F5D4-CE56-4556-88F7-38E181117FDE}"/>
            </a:ext>
          </a:extLst>
        </xdr:cNvPr>
        <xdr:cNvCxnSpPr/>
      </xdr:nvCxnSpPr>
      <xdr:spPr>
        <a:xfrm>
          <a:off x="17154334" y="307590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1699</xdr:row>
      <xdr:rowOff>122560</xdr:rowOff>
    </xdr:from>
    <xdr:to>
      <xdr:col>8</xdr:col>
      <xdr:colOff>1398397</xdr:colOff>
      <xdr:row>1699</xdr:row>
      <xdr:rowOff>122560</xdr:rowOff>
    </xdr:to>
    <xdr:cxnSp macro="_xll.PtreeEvent_ObjectClick">
      <xdr:nvCxnSpPr>
        <xdr:cNvPr id="3383" name="PTObj_DBranchHLine_1_841">
          <a:extLst>
            <a:ext uri="{FF2B5EF4-FFF2-40B4-BE49-F238E27FC236}">
              <a16:creationId xmlns:a16="http://schemas.microsoft.com/office/drawing/2014/main" id="{90A8B93B-F9D2-41F2-869D-276B859D983D}"/>
            </a:ext>
          </a:extLst>
        </xdr:cNvPr>
        <xdr:cNvCxnSpPr/>
      </xdr:nvCxnSpPr>
      <xdr:spPr>
        <a:xfrm>
          <a:off x="15884652" y="307599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1699</xdr:row>
      <xdr:rowOff>122560</xdr:rowOff>
    </xdr:from>
    <xdr:to>
      <xdr:col>8</xdr:col>
      <xdr:colOff>216027</xdr:colOff>
      <xdr:row>1707</xdr:row>
      <xdr:rowOff>138410</xdr:rowOff>
    </xdr:to>
    <xdr:cxnSp macro="_xll.PtreeEvent_ObjectClick">
      <xdr:nvCxnSpPr>
        <xdr:cNvPr id="3382" name="PTObj_DBranchDLine_1_841">
          <a:extLst>
            <a:ext uri="{FF2B5EF4-FFF2-40B4-BE49-F238E27FC236}">
              <a16:creationId xmlns:a16="http://schemas.microsoft.com/office/drawing/2014/main" id="{47F84107-5D31-4DF7-86FA-45315F886D4A}"/>
            </a:ext>
          </a:extLst>
        </xdr:cNvPr>
        <xdr:cNvCxnSpPr/>
      </xdr:nvCxnSpPr>
      <xdr:spPr>
        <a:xfrm flipV="1">
          <a:off x="15732252" y="3075990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1707</xdr:row>
      <xdr:rowOff>137790</xdr:rowOff>
    </xdr:from>
    <xdr:to>
      <xdr:col>7</xdr:col>
      <xdr:colOff>1402207</xdr:colOff>
      <xdr:row>1707</xdr:row>
      <xdr:rowOff>137790</xdr:rowOff>
    </xdr:to>
    <xdr:cxnSp macro="_xll.PtreeEvent_ObjectClick">
      <xdr:nvCxnSpPr>
        <xdr:cNvPr id="3379" name="PTObj_DBranchHLine_1_845">
          <a:extLst>
            <a:ext uri="{FF2B5EF4-FFF2-40B4-BE49-F238E27FC236}">
              <a16:creationId xmlns:a16="http://schemas.microsoft.com/office/drawing/2014/main" id="{08F15401-7A32-45E9-9D9F-EB9BD0AE0045}"/>
            </a:ext>
          </a:extLst>
        </xdr:cNvPr>
        <xdr:cNvCxnSpPr/>
      </xdr:nvCxnSpPr>
      <xdr:spPr>
        <a:xfrm>
          <a:off x="14462570" y="3090621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1707</xdr:row>
      <xdr:rowOff>137790</xdr:rowOff>
    </xdr:from>
    <xdr:to>
      <xdr:col>7</xdr:col>
      <xdr:colOff>222695</xdr:colOff>
      <xdr:row>1717</xdr:row>
      <xdr:rowOff>147017</xdr:rowOff>
    </xdr:to>
    <xdr:cxnSp macro="_xll.PtreeEvent_ObjectClick">
      <xdr:nvCxnSpPr>
        <xdr:cNvPr id="3378" name="PTObj_DBranchDLine_1_845">
          <a:extLst>
            <a:ext uri="{FF2B5EF4-FFF2-40B4-BE49-F238E27FC236}">
              <a16:creationId xmlns:a16="http://schemas.microsoft.com/office/drawing/2014/main" id="{EF120455-8305-439E-890D-5C57B4672FBA}"/>
            </a:ext>
          </a:extLst>
        </xdr:cNvPr>
        <xdr:cNvCxnSpPr/>
      </xdr:nvCxnSpPr>
      <xdr:spPr>
        <a:xfrm flipV="1">
          <a:off x="14310170" y="3090621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1717</xdr:row>
      <xdr:rowOff>156840</xdr:rowOff>
    </xdr:from>
    <xdr:to>
      <xdr:col>6</xdr:col>
      <xdr:colOff>1407922</xdr:colOff>
      <xdr:row>1717</xdr:row>
      <xdr:rowOff>156840</xdr:rowOff>
    </xdr:to>
    <xdr:cxnSp macro="_xll.PtreeEvent_ObjectClick">
      <xdr:nvCxnSpPr>
        <xdr:cNvPr id="3375" name="PTObj_DBranchHLine_1_850">
          <a:extLst>
            <a:ext uri="{FF2B5EF4-FFF2-40B4-BE49-F238E27FC236}">
              <a16:creationId xmlns:a16="http://schemas.microsoft.com/office/drawing/2014/main" id="{3594DF4D-C3F1-41D8-BA5F-D33329BEA1E9}"/>
            </a:ext>
          </a:extLst>
        </xdr:cNvPr>
        <xdr:cNvCxnSpPr/>
      </xdr:nvCxnSpPr>
      <xdr:spPr>
        <a:xfrm>
          <a:off x="13034772" y="3108909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1717</xdr:row>
      <xdr:rowOff>156840</xdr:rowOff>
    </xdr:from>
    <xdr:to>
      <xdr:col>6</xdr:col>
      <xdr:colOff>223647</xdr:colOff>
      <xdr:row>1738</xdr:row>
      <xdr:rowOff>4142</xdr:rowOff>
    </xdr:to>
    <xdr:cxnSp macro="_xll.PtreeEvent_ObjectClick">
      <xdr:nvCxnSpPr>
        <xdr:cNvPr id="3374" name="PTObj_DBranchDLine_1_850">
          <a:extLst>
            <a:ext uri="{FF2B5EF4-FFF2-40B4-BE49-F238E27FC236}">
              <a16:creationId xmlns:a16="http://schemas.microsoft.com/office/drawing/2014/main" id="{54F0272F-EE5F-4E7A-AF5D-6733029F74A2}"/>
            </a:ext>
          </a:extLst>
        </xdr:cNvPr>
        <xdr:cNvCxnSpPr/>
      </xdr:nvCxnSpPr>
      <xdr:spPr>
        <a:xfrm flipV="1">
          <a:off x="12882372" y="310890915"/>
          <a:ext cx="152400" cy="36477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1738</xdr:row>
      <xdr:rowOff>13965</xdr:rowOff>
    </xdr:from>
    <xdr:to>
      <xdr:col>5</xdr:col>
      <xdr:colOff>1411732</xdr:colOff>
      <xdr:row>1738</xdr:row>
      <xdr:rowOff>13965</xdr:rowOff>
    </xdr:to>
    <xdr:cxnSp macro="_xll.PtreeEvent_ObjectClick">
      <xdr:nvCxnSpPr>
        <xdr:cNvPr id="3371" name="PTObj_DBranchHLine_1_860">
          <a:extLst>
            <a:ext uri="{FF2B5EF4-FFF2-40B4-BE49-F238E27FC236}">
              <a16:creationId xmlns:a16="http://schemas.microsoft.com/office/drawing/2014/main" id="{851090C8-8F1F-4CA4-BA99-0E95F2B6AD61}"/>
            </a:ext>
          </a:extLst>
        </xdr:cNvPr>
        <xdr:cNvCxnSpPr/>
      </xdr:nvCxnSpPr>
      <xdr:spPr>
        <a:xfrm>
          <a:off x="11608880" y="3145485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1697</xdr:row>
      <xdr:rowOff>107007</xdr:rowOff>
    </xdr:from>
    <xdr:to>
      <xdr:col>5</xdr:col>
      <xdr:colOff>226505</xdr:colOff>
      <xdr:row>1738</xdr:row>
      <xdr:rowOff>13965</xdr:rowOff>
    </xdr:to>
    <xdr:cxnSp macro="_xll.PtreeEvent_ObjectClick">
      <xdr:nvCxnSpPr>
        <xdr:cNvPr id="3370" name="PTObj_DBranchDLine_1_860">
          <a:extLst>
            <a:ext uri="{FF2B5EF4-FFF2-40B4-BE49-F238E27FC236}">
              <a16:creationId xmlns:a16="http://schemas.microsoft.com/office/drawing/2014/main" id="{14F80CFC-1C65-4136-AE1F-44D241814DC8}"/>
            </a:ext>
          </a:extLst>
        </xdr:cNvPr>
        <xdr:cNvCxnSpPr/>
      </xdr:nvCxnSpPr>
      <xdr:spPr>
        <a:xfrm>
          <a:off x="11456480" y="307221582"/>
          <a:ext cx="152400" cy="73269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1695</xdr:row>
      <xdr:rowOff>114945</xdr:rowOff>
    </xdr:from>
    <xdr:to>
      <xdr:col>11</xdr:col>
      <xdr:colOff>1386967</xdr:colOff>
      <xdr:row>1695</xdr:row>
      <xdr:rowOff>114945</xdr:rowOff>
    </xdr:to>
    <xdr:cxnSp macro="_xll.PtreeEvent_ObjectClick">
      <xdr:nvCxnSpPr>
        <xdr:cNvPr id="3367" name="PTObj_DBranchHLine_1_839">
          <a:extLst>
            <a:ext uri="{FF2B5EF4-FFF2-40B4-BE49-F238E27FC236}">
              <a16:creationId xmlns:a16="http://schemas.microsoft.com/office/drawing/2014/main" id="{512512EC-D7EA-4185-96E0-C2B24D0C1BFE}"/>
            </a:ext>
          </a:extLst>
        </xdr:cNvPr>
        <xdr:cNvCxnSpPr/>
      </xdr:nvCxnSpPr>
      <xdr:spPr>
        <a:xfrm>
          <a:off x="20149945" y="306867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1693</xdr:row>
      <xdr:rowOff>102245</xdr:rowOff>
    </xdr:from>
    <xdr:to>
      <xdr:col>11</xdr:col>
      <xdr:colOff>195070</xdr:colOff>
      <xdr:row>1695</xdr:row>
      <xdr:rowOff>114945</xdr:rowOff>
    </xdr:to>
    <xdr:cxnSp macro="_xll.PtreeEvent_ObjectClick">
      <xdr:nvCxnSpPr>
        <xdr:cNvPr id="3366" name="PTObj_DBranchDLine_1_839">
          <a:extLst>
            <a:ext uri="{FF2B5EF4-FFF2-40B4-BE49-F238E27FC236}">
              <a16:creationId xmlns:a16="http://schemas.microsoft.com/office/drawing/2014/main" id="{6CE64D6C-13E5-49D3-B3AC-4E3271A17DE3}"/>
            </a:ext>
          </a:extLst>
        </xdr:cNvPr>
        <xdr:cNvCxnSpPr/>
      </xdr:nvCxnSpPr>
      <xdr:spPr>
        <a:xfrm>
          <a:off x="19997545" y="306492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1693</xdr:row>
      <xdr:rowOff>111125</xdr:rowOff>
    </xdr:from>
    <xdr:to>
      <xdr:col>10</xdr:col>
      <xdr:colOff>1388870</xdr:colOff>
      <xdr:row>1693</xdr:row>
      <xdr:rowOff>111125</xdr:rowOff>
    </xdr:to>
    <xdr:cxnSp macro="_xll.PtreeEvent_ObjectClick">
      <xdr:nvCxnSpPr>
        <xdr:cNvPr id="3363" name="PTObj_DBranchHLine_1_838">
          <a:extLst>
            <a:ext uri="{FF2B5EF4-FFF2-40B4-BE49-F238E27FC236}">
              <a16:creationId xmlns:a16="http://schemas.microsoft.com/office/drawing/2014/main" id="{CAE1A0D0-5C4F-4B39-AFD4-301B8CBE3402}"/>
            </a:ext>
          </a:extLst>
        </xdr:cNvPr>
        <xdr:cNvCxnSpPr/>
      </xdr:nvCxnSpPr>
      <xdr:spPr>
        <a:xfrm>
          <a:off x="18730720" y="306501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1691</xdr:row>
      <xdr:rowOff>106065</xdr:rowOff>
    </xdr:from>
    <xdr:to>
      <xdr:col>10</xdr:col>
      <xdr:colOff>204595</xdr:colOff>
      <xdr:row>1693</xdr:row>
      <xdr:rowOff>111125</xdr:rowOff>
    </xdr:to>
    <xdr:cxnSp macro="_xll.PtreeEvent_ObjectClick">
      <xdr:nvCxnSpPr>
        <xdr:cNvPr id="3362" name="PTObj_DBranchDLine_1_838">
          <a:extLst>
            <a:ext uri="{FF2B5EF4-FFF2-40B4-BE49-F238E27FC236}">
              <a16:creationId xmlns:a16="http://schemas.microsoft.com/office/drawing/2014/main" id="{EEF62637-0EE7-42B4-8C64-0AE8F644920E}"/>
            </a:ext>
          </a:extLst>
        </xdr:cNvPr>
        <xdr:cNvCxnSpPr/>
      </xdr:nvCxnSpPr>
      <xdr:spPr>
        <a:xfrm>
          <a:off x="18578320" y="306134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1691</xdr:row>
      <xdr:rowOff>107305</xdr:rowOff>
    </xdr:from>
    <xdr:to>
      <xdr:col>9</xdr:col>
      <xdr:colOff>1392681</xdr:colOff>
      <xdr:row>1691</xdr:row>
      <xdr:rowOff>107305</xdr:rowOff>
    </xdr:to>
    <xdr:cxnSp macro="_xll.PtreeEvent_ObjectClick">
      <xdr:nvCxnSpPr>
        <xdr:cNvPr id="3359" name="PTObj_DBranchHLine_1_837">
          <a:extLst>
            <a:ext uri="{FF2B5EF4-FFF2-40B4-BE49-F238E27FC236}">
              <a16:creationId xmlns:a16="http://schemas.microsoft.com/office/drawing/2014/main" id="{01332D10-299E-46C9-8115-F6F28881682F}"/>
            </a:ext>
          </a:extLst>
        </xdr:cNvPr>
        <xdr:cNvCxnSpPr/>
      </xdr:nvCxnSpPr>
      <xdr:spPr>
        <a:xfrm>
          <a:off x="17306734" y="306136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1689</xdr:row>
      <xdr:rowOff>102220</xdr:rowOff>
    </xdr:from>
    <xdr:to>
      <xdr:col>9</xdr:col>
      <xdr:colOff>209359</xdr:colOff>
      <xdr:row>1691</xdr:row>
      <xdr:rowOff>107305</xdr:rowOff>
    </xdr:to>
    <xdr:cxnSp macro="_xll.PtreeEvent_ObjectClick">
      <xdr:nvCxnSpPr>
        <xdr:cNvPr id="3358" name="PTObj_DBranchDLine_1_837">
          <a:extLst>
            <a:ext uri="{FF2B5EF4-FFF2-40B4-BE49-F238E27FC236}">
              <a16:creationId xmlns:a16="http://schemas.microsoft.com/office/drawing/2014/main" id="{13AE226F-D183-4266-ADE7-F97D47BE1FA1}"/>
            </a:ext>
          </a:extLst>
        </xdr:cNvPr>
        <xdr:cNvCxnSpPr/>
      </xdr:nvCxnSpPr>
      <xdr:spPr>
        <a:xfrm>
          <a:off x="17154334" y="3057689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1689</xdr:row>
      <xdr:rowOff>103510</xdr:rowOff>
    </xdr:from>
    <xdr:to>
      <xdr:col>8</xdr:col>
      <xdr:colOff>1398397</xdr:colOff>
      <xdr:row>1689</xdr:row>
      <xdr:rowOff>103510</xdr:rowOff>
    </xdr:to>
    <xdr:cxnSp macro="_xll.PtreeEvent_ObjectClick">
      <xdr:nvCxnSpPr>
        <xdr:cNvPr id="3355" name="PTObj_DBranchHLine_1_836">
          <a:extLst>
            <a:ext uri="{FF2B5EF4-FFF2-40B4-BE49-F238E27FC236}">
              <a16:creationId xmlns:a16="http://schemas.microsoft.com/office/drawing/2014/main" id="{FE34608D-3C85-49B5-827C-FFDBFCCAED42}"/>
            </a:ext>
          </a:extLst>
        </xdr:cNvPr>
        <xdr:cNvCxnSpPr/>
      </xdr:nvCxnSpPr>
      <xdr:spPr>
        <a:xfrm>
          <a:off x="15888463" y="305770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1687</xdr:row>
      <xdr:rowOff>100310</xdr:rowOff>
    </xdr:from>
    <xdr:to>
      <xdr:col>8</xdr:col>
      <xdr:colOff>219838</xdr:colOff>
      <xdr:row>1689</xdr:row>
      <xdr:rowOff>103510</xdr:rowOff>
    </xdr:to>
    <xdr:cxnSp macro="_xll.PtreeEvent_ObjectClick">
      <xdr:nvCxnSpPr>
        <xdr:cNvPr id="3354" name="PTObj_DBranchDLine_1_836">
          <a:extLst>
            <a:ext uri="{FF2B5EF4-FFF2-40B4-BE49-F238E27FC236}">
              <a16:creationId xmlns:a16="http://schemas.microsoft.com/office/drawing/2014/main" id="{160B45E9-9740-4F2C-90BB-CAC2B2545D5E}"/>
            </a:ext>
          </a:extLst>
        </xdr:cNvPr>
        <xdr:cNvCxnSpPr/>
      </xdr:nvCxnSpPr>
      <xdr:spPr>
        <a:xfrm>
          <a:off x="15736063" y="305405135"/>
          <a:ext cx="152400" cy="365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1685</xdr:row>
      <xdr:rowOff>95895</xdr:rowOff>
    </xdr:from>
    <xdr:to>
      <xdr:col>11</xdr:col>
      <xdr:colOff>1386015</xdr:colOff>
      <xdr:row>1685</xdr:row>
      <xdr:rowOff>95895</xdr:rowOff>
    </xdr:to>
    <xdr:cxnSp macro="_xll.PtreeEvent_ObjectClick">
      <xdr:nvCxnSpPr>
        <xdr:cNvPr id="3351" name="PTObj_DBranchHLine_1_834">
          <a:extLst>
            <a:ext uri="{FF2B5EF4-FFF2-40B4-BE49-F238E27FC236}">
              <a16:creationId xmlns:a16="http://schemas.microsoft.com/office/drawing/2014/main" id="{9F0B4E4F-1592-475A-A1AA-FEC5E2A91CC4}"/>
            </a:ext>
          </a:extLst>
        </xdr:cNvPr>
        <xdr:cNvCxnSpPr/>
      </xdr:nvCxnSpPr>
      <xdr:spPr>
        <a:xfrm>
          <a:off x="20149945" y="305038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1683</xdr:row>
      <xdr:rowOff>87015</xdr:rowOff>
    </xdr:from>
    <xdr:to>
      <xdr:col>11</xdr:col>
      <xdr:colOff>195070</xdr:colOff>
      <xdr:row>1685</xdr:row>
      <xdr:rowOff>95895</xdr:rowOff>
    </xdr:to>
    <xdr:cxnSp macro="_xll.PtreeEvent_ObjectClick">
      <xdr:nvCxnSpPr>
        <xdr:cNvPr id="3350" name="PTObj_DBranchDLine_1_834">
          <a:extLst>
            <a:ext uri="{FF2B5EF4-FFF2-40B4-BE49-F238E27FC236}">
              <a16:creationId xmlns:a16="http://schemas.microsoft.com/office/drawing/2014/main" id="{E5B4409C-320E-4FF3-A3D7-86E2AE0C8239}"/>
            </a:ext>
          </a:extLst>
        </xdr:cNvPr>
        <xdr:cNvCxnSpPr/>
      </xdr:nvCxnSpPr>
      <xdr:spPr>
        <a:xfrm>
          <a:off x="19997545" y="304667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1683</xdr:row>
      <xdr:rowOff>92075</xdr:rowOff>
    </xdr:from>
    <xdr:to>
      <xdr:col>10</xdr:col>
      <xdr:colOff>1388870</xdr:colOff>
      <xdr:row>1683</xdr:row>
      <xdr:rowOff>92075</xdr:rowOff>
    </xdr:to>
    <xdr:cxnSp macro="_xll.PtreeEvent_ObjectClick">
      <xdr:nvCxnSpPr>
        <xdr:cNvPr id="3347" name="PTObj_DBranchHLine_1_833">
          <a:extLst>
            <a:ext uri="{FF2B5EF4-FFF2-40B4-BE49-F238E27FC236}">
              <a16:creationId xmlns:a16="http://schemas.microsoft.com/office/drawing/2014/main" id="{B2154591-D56F-4DD7-A6CC-98C192BB1433}"/>
            </a:ext>
          </a:extLst>
        </xdr:cNvPr>
        <xdr:cNvCxnSpPr/>
      </xdr:nvCxnSpPr>
      <xdr:spPr>
        <a:xfrm>
          <a:off x="18730720" y="304673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1681</xdr:row>
      <xdr:rowOff>76547</xdr:rowOff>
    </xdr:from>
    <xdr:to>
      <xdr:col>10</xdr:col>
      <xdr:colOff>204595</xdr:colOff>
      <xdr:row>1683</xdr:row>
      <xdr:rowOff>92075</xdr:rowOff>
    </xdr:to>
    <xdr:cxnSp macro="_xll.PtreeEvent_ObjectClick">
      <xdr:nvCxnSpPr>
        <xdr:cNvPr id="3346" name="PTObj_DBranchDLine_1_833">
          <a:extLst>
            <a:ext uri="{FF2B5EF4-FFF2-40B4-BE49-F238E27FC236}">
              <a16:creationId xmlns:a16="http://schemas.microsoft.com/office/drawing/2014/main" id="{65EF475E-D570-40A0-8238-4261173F3B31}"/>
            </a:ext>
          </a:extLst>
        </xdr:cNvPr>
        <xdr:cNvCxnSpPr/>
      </xdr:nvCxnSpPr>
      <xdr:spPr>
        <a:xfrm>
          <a:off x="18578320" y="3042955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1681</xdr:row>
      <xdr:rowOff>88255</xdr:rowOff>
    </xdr:from>
    <xdr:to>
      <xdr:col>9</xdr:col>
      <xdr:colOff>1392681</xdr:colOff>
      <xdr:row>1681</xdr:row>
      <xdr:rowOff>88255</xdr:rowOff>
    </xdr:to>
    <xdr:cxnSp macro="_xll.PtreeEvent_ObjectClick">
      <xdr:nvCxnSpPr>
        <xdr:cNvPr id="3343" name="PTObj_DBranchHLine_1_832">
          <a:extLst>
            <a:ext uri="{FF2B5EF4-FFF2-40B4-BE49-F238E27FC236}">
              <a16:creationId xmlns:a16="http://schemas.microsoft.com/office/drawing/2014/main" id="{B4A9EA3A-F3A8-421C-B6FB-FECA0E03774C}"/>
            </a:ext>
          </a:extLst>
        </xdr:cNvPr>
        <xdr:cNvCxnSpPr/>
      </xdr:nvCxnSpPr>
      <xdr:spPr>
        <a:xfrm>
          <a:off x="17306734" y="304307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1679</xdr:row>
      <xdr:rowOff>75555</xdr:rowOff>
    </xdr:from>
    <xdr:to>
      <xdr:col>9</xdr:col>
      <xdr:colOff>209359</xdr:colOff>
      <xdr:row>1681</xdr:row>
      <xdr:rowOff>88255</xdr:rowOff>
    </xdr:to>
    <xdr:cxnSp macro="_xll.PtreeEvent_ObjectClick">
      <xdr:nvCxnSpPr>
        <xdr:cNvPr id="3342" name="PTObj_DBranchDLine_1_832">
          <a:extLst>
            <a:ext uri="{FF2B5EF4-FFF2-40B4-BE49-F238E27FC236}">
              <a16:creationId xmlns:a16="http://schemas.microsoft.com/office/drawing/2014/main" id="{C2B4FDE4-707C-4180-AEDF-317B37D0F7F0}"/>
            </a:ext>
          </a:extLst>
        </xdr:cNvPr>
        <xdr:cNvCxnSpPr/>
      </xdr:nvCxnSpPr>
      <xdr:spPr>
        <a:xfrm>
          <a:off x="17154334" y="303932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1679</xdr:row>
      <xdr:rowOff>84460</xdr:rowOff>
    </xdr:from>
    <xdr:to>
      <xdr:col>8</xdr:col>
      <xdr:colOff>1398397</xdr:colOff>
      <xdr:row>1679</xdr:row>
      <xdr:rowOff>84460</xdr:rowOff>
    </xdr:to>
    <xdr:cxnSp macro="_xll.PtreeEvent_ObjectClick">
      <xdr:nvCxnSpPr>
        <xdr:cNvPr id="3339" name="PTObj_DBranchHLine_1_831">
          <a:extLst>
            <a:ext uri="{FF2B5EF4-FFF2-40B4-BE49-F238E27FC236}">
              <a16:creationId xmlns:a16="http://schemas.microsoft.com/office/drawing/2014/main" id="{D6826C86-5F07-450C-9BD3-C684C84BB9F1}"/>
            </a:ext>
          </a:extLst>
        </xdr:cNvPr>
        <xdr:cNvCxnSpPr/>
      </xdr:nvCxnSpPr>
      <xdr:spPr>
        <a:xfrm>
          <a:off x="15884652" y="303941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1679</xdr:row>
      <xdr:rowOff>84460</xdr:rowOff>
    </xdr:from>
    <xdr:to>
      <xdr:col>8</xdr:col>
      <xdr:colOff>216027</xdr:colOff>
      <xdr:row>1687</xdr:row>
      <xdr:rowOff>100310</xdr:rowOff>
    </xdr:to>
    <xdr:cxnSp macro="_xll.PtreeEvent_ObjectClick">
      <xdr:nvCxnSpPr>
        <xdr:cNvPr id="3338" name="PTObj_DBranchDLine_1_831">
          <a:extLst>
            <a:ext uri="{FF2B5EF4-FFF2-40B4-BE49-F238E27FC236}">
              <a16:creationId xmlns:a16="http://schemas.microsoft.com/office/drawing/2014/main" id="{BE837604-AB74-4F9D-B7EA-4D89F2A70540}"/>
            </a:ext>
          </a:extLst>
        </xdr:cNvPr>
        <xdr:cNvCxnSpPr/>
      </xdr:nvCxnSpPr>
      <xdr:spPr>
        <a:xfrm flipV="1">
          <a:off x="15732252" y="303941485"/>
          <a:ext cx="152400" cy="1463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1687</xdr:row>
      <xdr:rowOff>99690</xdr:rowOff>
    </xdr:from>
    <xdr:to>
      <xdr:col>7</xdr:col>
      <xdr:colOff>1402207</xdr:colOff>
      <xdr:row>1687</xdr:row>
      <xdr:rowOff>99690</xdr:rowOff>
    </xdr:to>
    <xdr:cxnSp macro="_xll.PtreeEvent_ObjectClick">
      <xdr:nvCxnSpPr>
        <xdr:cNvPr id="3335" name="PTObj_DBranchHLine_1_835">
          <a:extLst>
            <a:ext uri="{FF2B5EF4-FFF2-40B4-BE49-F238E27FC236}">
              <a16:creationId xmlns:a16="http://schemas.microsoft.com/office/drawing/2014/main" id="{CF32C481-1EE0-43D9-931F-98BD319F67F8}"/>
            </a:ext>
          </a:extLst>
        </xdr:cNvPr>
        <xdr:cNvCxnSpPr/>
      </xdr:nvCxnSpPr>
      <xdr:spPr>
        <a:xfrm>
          <a:off x="14460665" y="305404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1677</xdr:row>
      <xdr:rowOff>77490</xdr:rowOff>
    </xdr:from>
    <xdr:to>
      <xdr:col>7</xdr:col>
      <xdr:colOff>220790</xdr:colOff>
      <xdr:row>1687</xdr:row>
      <xdr:rowOff>99690</xdr:rowOff>
    </xdr:to>
    <xdr:cxnSp macro="_xll.PtreeEvent_ObjectClick">
      <xdr:nvCxnSpPr>
        <xdr:cNvPr id="3334" name="PTObj_DBranchDLine_1_835">
          <a:extLst>
            <a:ext uri="{FF2B5EF4-FFF2-40B4-BE49-F238E27FC236}">
              <a16:creationId xmlns:a16="http://schemas.microsoft.com/office/drawing/2014/main" id="{14F42CE6-F241-49A0-B893-F8964DD8A015}"/>
            </a:ext>
          </a:extLst>
        </xdr:cNvPr>
        <xdr:cNvCxnSpPr/>
      </xdr:nvCxnSpPr>
      <xdr:spPr>
        <a:xfrm>
          <a:off x="14308265" y="3035725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1675</xdr:row>
      <xdr:rowOff>76845</xdr:rowOff>
    </xdr:from>
    <xdr:to>
      <xdr:col>11</xdr:col>
      <xdr:colOff>1386967</xdr:colOff>
      <xdr:row>1675</xdr:row>
      <xdr:rowOff>76845</xdr:rowOff>
    </xdr:to>
    <xdr:cxnSp macro="_xll.PtreeEvent_ObjectClick">
      <xdr:nvCxnSpPr>
        <xdr:cNvPr id="3331" name="PTObj_DBranchHLine_1_829">
          <a:extLst>
            <a:ext uri="{FF2B5EF4-FFF2-40B4-BE49-F238E27FC236}">
              <a16:creationId xmlns:a16="http://schemas.microsoft.com/office/drawing/2014/main" id="{2A89F99E-002E-4372-992E-EA99163AD2E5}"/>
            </a:ext>
          </a:extLst>
        </xdr:cNvPr>
        <xdr:cNvCxnSpPr/>
      </xdr:nvCxnSpPr>
      <xdr:spPr>
        <a:xfrm>
          <a:off x="20149945" y="303209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1673</xdr:row>
      <xdr:rowOff>70817</xdr:rowOff>
    </xdr:from>
    <xdr:to>
      <xdr:col>11</xdr:col>
      <xdr:colOff>195070</xdr:colOff>
      <xdr:row>1675</xdr:row>
      <xdr:rowOff>76845</xdr:rowOff>
    </xdr:to>
    <xdr:cxnSp macro="_xll.PtreeEvent_ObjectClick">
      <xdr:nvCxnSpPr>
        <xdr:cNvPr id="3330" name="PTObj_DBranchDLine_1_829">
          <a:extLst>
            <a:ext uri="{FF2B5EF4-FFF2-40B4-BE49-F238E27FC236}">
              <a16:creationId xmlns:a16="http://schemas.microsoft.com/office/drawing/2014/main" id="{891FC4E3-B57C-4673-8A52-719A3FE4E185}"/>
            </a:ext>
          </a:extLst>
        </xdr:cNvPr>
        <xdr:cNvCxnSpPr/>
      </xdr:nvCxnSpPr>
      <xdr:spPr>
        <a:xfrm>
          <a:off x="19997545" y="3028419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1673</xdr:row>
      <xdr:rowOff>73025</xdr:rowOff>
    </xdr:from>
    <xdr:to>
      <xdr:col>10</xdr:col>
      <xdr:colOff>1388870</xdr:colOff>
      <xdr:row>1673</xdr:row>
      <xdr:rowOff>73025</xdr:rowOff>
    </xdr:to>
    <xdr:cxnSp macro="_xll.PtreeEvent_ObjectClick">
      <xdr:nvCxnSpPr>
        <xdr:cNvPr id="3327" name="PTObj_DBranchHLine_1_828">
          <a:extLst>
            <a:ext uri="{FF2B5EF4-FFF2-40B4-BE49-F238E27FC236}">
              <a16:creationId xmlns:a16="http://schemas.microsoft.com/office/drawing/2014/main" id="{A151C572-55B5-41B5-9228-D04546027B16}"/>
            </a:ext>
          </a:extLst>
        </xdr:cNvPr>
        <xdr:cNvCxnSpPr/>
      </xdr:nvCxnSpPr>
      <xdr:spPr>
        <a:xfrm>
          <a:off x="18730720" y="302844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1671</xdr:row>
      <xdr:rowOff>68883</xdr:rowOff>
    </xdr:from>
    <xdr:to>
      <xdr:col>10</xdr:col>
      <xdr:colOff>204595</xdr:colOff>
      <xdr:row>1673</xdr:row>
      <xdr:rowOff>73025</xdr:rowOff>
    </xdr:to>
    <xdr:cxnSp macro="_xll.PtreeEvent_ObjectClick">
      <xdr:nvCxnSpPr>
        <xdr:cNvPr id="3326" name="PTObj_DBranchDLine_1_828">
          <a:extLst>
            <a:ext uri="{FF2B5EF4-FFF2-40B4-BE49-F238E27FC236}">
              <a16:creationId xmlns:a16="http://schemas.microsoft.com/office/drawing/2014/main" id="{5A85798D-58BB-4825-8DB8-D68855E0AE8E}"/>
            </a:ext>
          </a:extLst>
        </xdr:cNvPr>
        <xdr:cNvCxnSpPr/>
      </xdr:nvCxnSpPr>
      <xdr:spPr>
        <a:xfrm>
          <a:off x="18578320" y="3024781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1671</xdr:row>
      <xdr:rowOff>69205</xdr:rowOff>
    </xdr:from>
    <xdr:to>
      <xdr:col>9</xdr:col>
      <xdr:colOff>1392681</xdr:colOff>
      <xdr:row>1671</xdr:row>
      <xdr:rowOff>69205</xdr:rowOff>
    </xdr:to>
    <xdr:cxnSp macro="_xll.PtreeEvent_ObjectClick">
      <xdr:nvCxnSpPr>
        <xdr:cNvPr id="3323" name="PTObj_DBranchHLine_1_827">
          <a:extLst>
            <a:ext uri="{FF2B5EF4-FFF2-40B4-BE49-F238E27FC236}">
              <a16:creationId xmlns:a16="http://schemas.microsoft.com/office/drawing/2014/main" id="{2FFCD083-E58D-4F84-ACD7-23A47BA9989C}"/>
            </a:ext>
          </a:extLst>
        </xdr:cNvPr>
        <xdr:cNvCxnSpPr/>
      </xdr:nvCxnSpPr>
      <xdr:spPr>
        <a:xfrm>
          <a:off x="17306734" y="302478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1669</xdr:row>
      <xdr:rowOff>63153</xdr:rowOff>
    </xdr:from>
    <xdr:to>
      <xdr:col>9</xdr:col>
      <xdr:colOff>209359</xdr:colOff>
      <xdr:row>1671</xdr:row>
      <xdr:rowOff>69205</xdr:rowOff>
    </xdr:to>
    <xdr:cxnSp macro="_xll.PtreeEvent_ObjectClick">
      <xdr:nvCxnSpPr>
        <xdr:cNvPr id="3322" name="PTObj_DBranchDLine_1_827">
          <a:extLst>
            <a:ext uri="{FF2B5EF4-FFF2-40B4-BE49-F238E27FC236}">
              <a16:creationId xmlns:a16="http://schemas.microsoft.com/office/drawing/2014/main" id="{D28B916A-D898-4B15-958C-FC706A0FCC4A}"/>
            </a:ext>
          </a:extLst>
        </xdr:cNvPr>
        <xdr:cNvCxnSpPr/>
      </xdr:nvCxnSpPr>
      <xdr:spPr>
        <a:xfrm>
          <a:off x="17154334" y="3021104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1669</xdr:row>
      <xdr:rowOff>65410</xdr:rowOff>
    </xdr:from>
    <xdr:to>
      <xdr:col>8</xdr:col>
      <xdr:colOff>1398397</xdr:colOff>
      <xdr:row>1669</xdr:row>
      <xdr:rowOff>65410</xdr:rowOff>
    </xdr:to>
    <xdr:cxnSp macro="_xll.PtreeEvent_ObjectClick">
      <xdr:nvCxnSpPr>
        <xdr:cNvPr id="3319" name="PTObj_DBranchHLine_1_826">
          <a:extLst>
            <a:ext uri="{FF2B5EF4-FFF2-40B4-BE49-F238E27FC236}">
              <a16:creationId xmlns:a16="http://schemas.microsoft.com/office/drawing/2014/main" id="{A92A4615-2A6E-4E45-A34C-FA28C8134949}"/>
            </a:ext>
          </a:extLst>
        </xdr:cNvPr>
        <xdr:cNvCxnSpPr/>
      </xdr:nvCxnSpPr>
      <xdr:spPr>
        <a:xfrm>
          <a:off x="15888463" y="302112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1667</xdr:row>
      <xdr:rowOff>56530</xdr:rowOff>
    </xdr:from>
    <xdr:to>
      <xdr:col>8</xdr:col>
      <xdr:colOff>219838</xdr:colOff>
      <xdr:row>1669</xdr:row>
      <xdr:rowOff>65410</xdr:rowOff>
    </xdr:to>
    <xdr:cxnSp macro="_xll.PtreeEvent_ObjectClick">
      <xdr:nvCxnSpPr>
        <xdr:cNvPr id="3318" name="PTObj_DBranchDLine_1_826">
          <a:extLst>
            <a:ext uri="{FF2B5EF4-FFF2-40B4-BE49-F238E27FC236}">
              <a16:creationId xmlns:a16="http://schemas.microsoft.com/office/drawing/2014/main" id="{9850A0C8-7798-4EFF-8BBF-59C9689FCDF7}"/>
            </a:ext>
          </a:extLst>
        </xdr:cNvPr>
        <xdr:cNvCxnSpPr/>
      </xdr:nvCxnSpPr>
      <xdr:spPr>
        <a:xfrm>
          <a:off x="15736063" y="3017418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1665</xdr:row>
      <xdr:rowOff>57795</xdr:rowOff>
    </xdr:from>
    <xdr:to>
      <xdr:col>11</xdr:col>
      <xdr:colOff>1394589</xdr:colOff>
      <xdr:row>1665</xdr:row>
      <xdr:rowOff>57795</xdr:rowOff>
    </xdr:to>
    <xdr:cxnSp macro="_xll.PtreeEvent_ObjectClick">
      <xdr:nvCxnSpPr>
        <xdr:cNvPr id="3315" name="PTObj_DBranchHLine_1_824">
          <a:extLst>
            <a:ext uri="{FF2B5EF4-FFF2-40B4-BE49-F238E27FC236}">
              <a16:creationId xmlns:a16="http://schemas.microsoft.com/office/drawing/2014/main" id="{0B428B22-F680-41E1-BC19-50422D98627C}"/>
            </a:ext>
          </a:extLst>
        </xdr:cNvPr>
        <xdr:cNvCxnSpPr/>
      </xdr:nvCxnSpPr>
      <xdr:spPr>
        <a:xfrm>
          <a:off x="20149945" y="3013811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1663</xdr:row>
      <xdr:rowOff>41300</xdr:rowOff>
    </xdr:from>
    <xdr:to>
      <xdr:col>11</xdr:col>
      <xdr:colOff>195070</xdr:colOff>
      <xdr:row>1665</xdr:row>
      <xdr:rowOff>57795</xdr:rowOff>
    </xdr:to>
    <xdr:cxnSp macro="_xll.PtreeEvent_ObjectClick">
      <xdr:nvCxnSpPr>
        <xdr:cNvPr id="3314" name="PTObj_DBranchDLine_1_824">
          <a:extLst>
            <a:ext uri="{FF2B5EF4-FFF2-40B4-BE49-F238E27FC236}">
              <a16:creationId xmlns:a16="http://schemas.microsoft.com/office/drawing/2014/main" id="{49526100-4435-4282-B336-8420AE1EC3FA}"/>
            </a:ext>
          </a:extLst>
        </xdr:cNvPr>
        <xdr:cNvCxnSpPr/>
      </xdr:nvCxnSpPr>
      <xdr:spPr>
        <a:xfrm>
          <a:off x="19997545" y="3010027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1663</xdr:row>
      <xdr:rowOff>53975</xdr:rowOff>
    </xdr:from>
    <xdr:to>
      <xdr:col>10</xdr:col>
      <xdr:colOff>1388870</xdr:colOff>
      <xdr:row>1663</xdr:row>
      <xdr:rowOff>53975</xdr:rowOff>
    </xdr:to>
    <xdr:cxnSp macro="_xll.PtreeEvent_ObjectClick">
      <xdr:nvCxnSpPr>
        <xdr:cNvPr id="3311" name="PTObj_DBranchHLine_1_823">
          <a:extLst>
            <a:ext uri="{FF2B5EF4-FFF2-40B4-BE49-F238E27FC236}">
              <a16:creationId xmlns:a16="http://schemas.microsoft.com/office/drawing/2014/main" id="{330891E5-2D5B-4E37-824E-60E6D7993A05}"/>
            </a:ext>
          </a:extLst>
        </xdr:cNvPr>
        <xdr:cNvCxnSpPr/>
      </xdr:nvCxnSpPr>
      <xdr:spPr>
        <a:xfrm>
          <a:off x="18730720" y="301015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1661</xdr:row>
      <xdr:rowOff>38447</xdr:rowOff>
    </xdr:from>
    <xdr:to>
      <xdr:col>10</xdr:col>
      <xdr:colOff>204595</xdr:colOff>
      <xdr:row>1663</xdr:row>
      <xdr:rowOff>53975</xdr:rowOff>
    </xdr:to>
    <xdr:cxnSp macro="_xll.PtreeEvent_ObjectClick">
      <xdr:nvCxnSpPr>
        <xdr:cNvPr id="3310" name="PTObj_DBranchDLine_1_823">
          <a:extLst>
            <a:ext uri="{FF2B5EF4-FFF2-40B4-BE49-F238E27FC236}">
              <a16:creationId xmlns:a16="http://schemas.microsoft.com/office/drawing/2014/main" id="{E8FA8B56-DACE-434F-AB53-539AE4B08436}"/>
            </a:ext>
          </a:extLst>
        </xdr:cNvPr>
        <xdr:cNvCxnSpPr/>
      </xdr:nvCxnSpPr>
      <xdr:spPr>
        <a:xfrm>
          <a:off x="18578320" y="3006379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1661</xdr:row>
      <xdr:rowOff>50155</xdr:rowOff>
    </xdr:from>
    <xdr:to>
      <xdr:col>9</xdr:col>
      <xdr:colOff>1392681</xdr:colOff>
      <xdr:row>1661</xdr:row>
      <xdr:rowOff>50155</xdr:rowOff>
    </xdr:to>
    <xdr:cxnSp macro="_xll.PtreeEvent_ObjectClick">
      <xdr:nvCxnSpPr>
        <xdr:cNvPr id="3307" name="PTObj_DBranchHLine_1_822">
          <a:extLst>
            <a:ext uri="{FF2B5EF4-FFF2-40B4-BE49-F238E27FC236}">
              <a16:creationId xmlns:a16="http://schemas.microsoft.com/office/drawing/2014/main" id="{87279EB6-7CD5-4297-9813-F147E97E92A7}"/>
            </a:ext>
          </a:extLst>
        </xdr:cNvPr>
        <xdr:cNvCxnSpPr/>
      </xdr:nvCxnSpPr>
      <xdr:spPr>
        <a:xfrm>
          <a:off x="17306734" y="300649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1659</xdr:row>
      <xdr:rowOff>37455</xdr:rowOff>
    </xdr:from>
    <xdr:to>
      <xdr:col>9</xdr:col>
      <xdr:colOff>209359</xdr:colOff>
      <xdr:row>1661</xdr:row>
      <xdr:rowOff>50155</xdr:rowOff>
    </xdr:to>
    <xdr:cxnSp macro="_xll.PtreeEvent_ObjectClick">
      <xdr:nvCxnSpPr>
        <xdr:cNvPr id="3306" name="PTObj_DBranchDLine_1_822">
          <a:extLst>
            <a:ext uri="{FF2B5EF4-FFF2-40B4-BE49-F238E27FC236}">
              <a16:creationId xmlns:a16="http://schemas.microsoft.com/office/drawing/2014/main" id="{B32B9ABD-D245-441F-BCDF-6C37EEC2D85A}"/>
            </a:ext>
          </a:extLst>
        </xdr:cNvPr>
        <xdr:cNvCxnSpPr/>
      </xdr:nvCxnSpPr>
      <xdr:spPr>
        <a:xfrm>
          <a:off x="17154334" y="300274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1659</xdr:row>
      <xdr:rowOff>46360</xdr:rowOff>
    </xdr:from>
    <xdr:to>
      <xdr:col>8</xdr:col>
      <xdr:colOff>1398397</xdr:colOff>
      <xdr:row>1659</xdr:row>
      <xdr:rowOff>46360</xdr:rowOff>
    </xdr:to>
    <xdr:cxnSp macro="_xll.PtreeEvent_ObjectClick">
      <xdr:nvCxnSpPr>
        <xdr:cNvPr id="3303" name="PTObj_DBranchHLine_1_821">
          <a:extLst>
            <a:ext uri="{FF2B5EF4-FFF2-40B4-BE49-F238E27FC236}">
              <a16:creationId xmlns:a16="http://schemas.microsoft.com/office/drawing/2014/main" id="{682FC22C-6E15-41B7-812D-6E47E99943B0}"/>
            </a:ext>
          </a:extLst>
        </xdr:cNvPr>
        <xdr:cNvCxnSpPr/>
      </xdr:nvCxnSpPr>
      <xdr:spPr>
        <a:xfrm>
          <a:off x="15884652" y="300283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1659</xdr:row>
      <xdr:rowOff>46360</xdr:rowOff>
    </xdr:from>
    <xdr:to>
      <xdr:col>8</xdr:col>
      <xdr:colOff>216027</xdr:colOff>
      <xdr:row>1667</xdr:row>
      <xdr:rowOff>56530</xdr:rowOff>
    </xdr:to>
    <xdr:cxnSp macro="_xll.PtreeEvent_ObjectClick">
      <xdr:nvCxnSpPr>
        <xdr:cNvPr id="3302" name="PTObj_DBranchDLine_1_821">
          <a:extLst>
            <a:ext uri="{FF2B5EF4-FFF2-40B4-BE49-F238E27FC236}">
              <a16:creationId xmlns:a16="http://schemas.microsoft.com/office/drawing/2014/main" id="{3031BE0D-5672-49C3-8436-2C5A047C4361}"/>
            </a:ext>
          </a:extLst>
        </xdr:cNvPr>
        <xdr:cNvCxnSpPr/>
      </xdr:nvCxnSpPr>
      <xdr:spPr>
        <a:xfrm flipV="1">
          <a:off x="15732252" y="3002838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1667</xdr:row>
      <xdr:rowOff>61590</xdr:rowOff>
    </xdr:from>
    <xdr:to>
      <xdr:col>7</xdr:col>
      <xdr:colOff>1402207</xdr:colOff>
      <xdr:row>1667</xdr:row>
      <xdr:rowOff>61590</xdr:rowOff>
    </xdr:to>
    <xdr:cxnSp macro="_xll.PtreeEvent_ObjectClick">
      <xdr:nvCxnSpPr>
        <xdr:cNvPr id="3299" name="PTObj_DBranchHLine_1_825">
          <a:extLst>
            <a:ext uri="{FF2B5EF4-FFF2-40B4-BE49-F238E27FC236}">
              <a16:creationId xmlns:a16="http://schemas.microsoft.com/office/drawing/2014/main" id="{ECB664D3-6279-44C8-8E6E-C8CE3F6FC2A4}"/>
            </a:ext>
          </a:extLst>
        </xdr:cNvPr>
        <xdr:cNvCxnSpPr/>
      </xdr:nvCxnSpPr>
      <xdr:spPr>
        <a:xfrm>
          <a:off x="14462570" y="3017469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1667</xdr:row>
      <xdr:rowOff>61590</xdr:rowOff>
    </xdr:from>
    <xdr:to>
      <xdr:col>7</xdr:col>
      <xdr:colOff>222695</xdr:colOff>
      <xdr:row>1677</xdr:row>
      <xdr:rowOff>75580</xdr:rowOff>
    </xdr:to>
    <xdr:cxnSp macro="_xll.PtreeEvent_ObjectClick">
      <xdr:nvCxnSpPr>
        <xdr:cNvPr id="3298" name="PTObj_DBranchDLine_1_825">
          <a:extLst>
            <a:ext uri="{FF2B5EF4-FFF2-40B4-BE49-F238E27FC236}">
              <a16:creationId xmlns:a16="http://schemas.microsoft.com/office/drawing/2014/main" id="{A0B83E0A-A752-4B34-98C7-8830B6259DC7}"/>
            </a:ext>
          </a:extLst>
        </xdr:cNvPr>
        <xdr:cNvCxnSpPr/>
      </xdr:nvCxnSpPr>
      <xdr:spPr>
        <a:xfrm flipV="1">
          <a:off x="14310170" y="3017469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1677</xdr:row>
      <xdr:rowOff>80640</xdr:rowOff>
    </xdr:from>
    <xdr:to>
      <xdr:col>6</xdr:col>
      <xdr:colOff>1407922</xdr:colOff>
      <xdr:row>1677</xdr:row>
      <xdr:rowOff>80640</xdr:rowOff>
    </xdr:to>
    <xdr:cxnSp macro="_xll.PtreeEvent_ObjectClick">
      <xdr:nvCxnSpPr>
        <xdr:cNvPr id="3295" name="PTObj_DBranchHLine_1_830">
          <a:extLst>
            <a:ext uri="{FF2B5EF4-FFF2-40B4-BE49-F238E27FC236}">
              <a16:creationId xmlns:a16="http://schemas.microsoft.com/office/drawing/2014/main" id="{4495D94A-8DE9-490E-81F4-954DC4FC057C}"/>
            </a:ext>
          </a:extLst>
        </xdr:cNvPr>
        <xdr:cNvCxnSpPr/>
      </xdr:nvCxnSpPr>
      <xdr:spPr>
        <a:xfrm>
          <a:off x="13036677" y="3035757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1657</xdr:row>
      <xdr:rowOff>39390</xdr:rowOff>
    </xdr:from>
    <xdr:to>
      <xdr:col>6</xdr:col>
      <xdr:colOff>225552</xdr:colOff>
      <xdr:row>1677</xdr:row>
      <xdr:rowOff>80640</xdr:rowOff>
    </xdr:to>
    <xdr:cxnSp macro="_xll.PtreeEvent_ObjectClick">
      <xdr:nvCxnSpPr>
        <xdr:cNvPr id="3294" name="PTObj_DBranchDLine_1_830">
          <a:extLst>
            <a:ext uri="{FF2B5EF4-FFF2-40B4-BE49-F238E27FC236}">
              <a16:creationId xmlns:a16="http://schemas.microsoft.com/office/drawing/2014/main" id="{18FA97EB-D786-4239-A401-1C28D81F7CE8}"/>
            </a:ext>
          </a:extLst>
        </xdr:cNvPr>
        <xdr:cNvCxnSpPr/>
      </xdr:nvCxnSpPr>
      <xdr:spPr>
        <a:xfrm>
          <a:off x="12884276" y="299914965"/>
          <a:ext cx="152401" cy="36607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1655</xdr:row>
      <xdr:rowOff>38745</xdr:rowOff>
    </xdr:from>
    <xdr:to>
      <xdr:col>11</xdr:col>
      <xdr:colOff>1386967</xdr:colOff>
      <xdr:row>1655</xdr:row>
      <xdr:rowOff>38745</xdr:rowOff>
    </xdr:to>
    <xdr:cxnSp macro="_xll.PtreeEvent_ObjectClick">
      <xdr:nvCxnSpPr>
        <xdr:cNvPr id="3291" name="PTObj_DBranchHLine_1_819">
          <a:extLst>
            <a:ext uri="{FF2B5EF4-FFF2-40B4-BE49-F238E27FC236}">
              <a16:creationId xmlns:a16="http://schemas.microsoft.com/office/drawing/2014/main" id="{551D6962-FD7B-494F-8221-DBB7C7122A2C}"/>
            </a:ext>
          </a:extLst>
        </xdr:cNvPr>
        <xdr:cNvCxnSpPr/>
      </xdr:nvCxnSpPr>
      <xdr:spPr>
        <a:xfrm>
          <a:off x="20149945" y="299552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1653</xdr:row>
      <xdr:rowOff>32717</xdr:rowOff>
    </xdr:from>
    <xdr:to>
      <xdr:col>11</xdr:col>
      <xdr:colOff>195070</xdr:colOff>
      <xdr:row>1655</xdr:row>
      <xdr:rowOff>38745</xdr:rowOff>
    </xdr:to>
    <xdr:cxnSp macro="_xll.PtreeEvent_ObjectClick">
      <xdr:nvCxnSpPr>
        <xdr:cNvPr id="3290" name="PTObj_DBranchDLine_1_819">
          <a:extLst>
            <a:ext uri="{FF2B5EF4-FFF2-40B4-BE49-F238E27FC236}">
              <a16:creationId xmlns:a16="http://schemas.microsoft.com/office/drawing/2014/main" id="{02CC255A-073C-4D01-B07F-FE61456AC6FA}"/>
            </a:ext>
          </a:extLst>
        </xdr:cNvPr>
        <xdr:cNvCxnSpPr/>
      </xdr:nvCxnSpPr>
      <xdr:spPr>
        <a:xfrm>
          <a:off x="19997545" y="2991843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1653</xdr:row>
      <xdr:rowOff>34925</xdr:rowOff>
    </xdr:from>
    <xdr:to>
      <xdr:col>10</xdr:col>
      <xdr:colOff>1388870</xdr:colOff>
      <xdr:row>1653</xdr:row>
      <xdr:rowOff>34925</xdr:rowOff>
    </xdr:to>
    <xdr:cxnSp macro="_xll.PtreeEvent_ObjectClick">
      <xdr:nvCxnSpPr>
        <xdr:cNvPr id="3287" name="PTObj_DBranchHLine_1_818">
          <a:extLst>
            <a:ext uri="{FF2B5EF4-FFF2-40B4-BE49-F238E27FC236}">
              <a16:creationId xmlns:a16="http://schemas.microsoft.com/office/drawing/2014/main" id="{40B354D0-3BA9-49E5-BC23-0BCD7AB14BC9}"/>
            </a:ext>
          </a:extLst>
        </xdr:cNvPr>
        <xdr:cNvCxnSpPr/>
      </xdr:nvCxnSpPr>
      <xdr:spPr>
        <a:xfrm>
          <a:off x="18730720" y="299186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1651</xdr:row>
      <xdr:rowOff>30783</xdr:rowOff>
    </xdr:from>
    <xdr:to>
      <xdr:col>10</xdr:col>
      <xdr:colOff>204595</xdr:colOff>
      <xdr:row>1653</xdr:row>
      <xdr:rowOff>34925</xdr:rowOff>
    </xdr:to>
    <xdr:cxnSp macro="_xll.PtreeEvent_ObjectClick">
      <xdr:nvCxnSpPr>
        <xdr:cNvPr id="3286" name="PTObj_DBranchDLine_1_818">
          <a:extLst>
            <a:ext uri="{FF2B5EF4-FFF2-40B4-BE49-F238E27FC236}">
              <a16:creationId xmlns:a16="http://schemas.microsoft.com/office/drawing/2014/main" id="{978812B1-AD0B-43C3-8E75-1A3320BDB091}"/>
            </a:ext>
          </a:extLst>
        </xdr:cNvPr>
        <xdr:cNvCxnSpPr/>
      </xdr:nvCxnSpPr>
      <xdr:spPr>
        <a:xfrm>
          <a:off x="18578320" y="2988205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1651</xdr:row>
      <xdr:rowOff>31105</xdr:rowOff>
    </xdr:from>
    <xdr:to>
      <xdr:col>9</xdr:col>
      <xdr:colOff>1392681</xdr:colOff>
      <xdr:row>1651</xdr:row>
      <xdr:rowOff>31105</xdr:rowOff>
    </xdr:to>
    <xdr:cxnSp macro="_xll.PtreeEvent_ObjectClick">
      <xdr:nvCxnSpPr>
        <xdr:cNvPr id="3283" name="PTObj_DBranchHLine_1_817">
          <a:extLst>
            <a:ext uri="{FF2B5EF4-FFF2-40B4-BE49-F238E27FC236}">
              <a16:creationId xmlns:a16="http://schemas.microsoft.com/office/drawing/2014/main" id="{FAC58647-CE9C-41E3-8358-505BE115B92F}"/>
            </a:ext>
          </a:extLst>
        </xdr:cNvPr>
        <xdr:cNvCxnSpPr/>
      </xdr:nvCxnSpPr>
      <xdr:spPr>
        <a:xfrm>
          <a:off x="17306734" y="298820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1649</xdr:row>
      <xdr:rowOff>25053</xdr:rowOff>
    </xdr:from>
    <xdr:to>
      <xdr:col>9</xdr:col>
      <xdr:colOff>209359</xdr:colOff>
      <xdr:row>1651</xdr:row>
      <xdr:rowOff>31105</xdr:rowOff>
    </xdr:to>
    <xdr:cxnSp macro="_xll.PtreeEvent_ObjectClick">
      <xdr:nvCxnSpPr>
        <xdr:cNvPr id="3282" name="PTObj_DBranchDLine_1_817">
          <a:extLst>
            <a:ext uri="{FF2B5EF4-FFF2-40B4-BE49-F238E27FC236}">
              <a16:creationId xmlns:a16="http://schemas.microsoft.com/office/drawing/2014/main" id="{D37AE075-BF00-48D5-BC12-56D3D41131F8}"/>
            </a:ext>
          </a:extLst>
        </xdr:cNvPr>
        <xdr:cNvCxnSpPr/>
      </xdr:nvCxnSpPr>
      <xdr:spPr>
        <a:xfrm>
          <a:off x="17154334" y="2984528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1649</xdr:row>
      <xdr:rowOff>27310</xdr:rowOff>
    </xdr:from>
    <xdr:to>
      <xdr:col>8</xdr:col>
      <xdr:colOff>1398397</xdr:colOff>
      <xdr:row>1649</xdr:row>
      <xdr:rowOff>27310</xdr:rowOff>
    </xdr:to>
    <xdr:cxnSp macro="_xll.PtreeEvent_ObjectClick">
      <xdr:nvCxnSpPr>
        <xdr:cNvPr id="3279" name="PTObj_DBranchHLine_1_816">
          <a:extLst>
            <a:ext uri="{FF2B5EF4-FFF2-40B4-BE49-F238E27FC236}">
              <a16:creationId xmlns:a16="http://schemas.microsoft.com/office/drawing/2014/main" id="{7C89999E-3EDE-42FC-960F-AF299E3BB13D}"/>
            </a:ext>
          </a:extLst>
        </xdr:cNvPr>
        <xdr:cNvCxnSpPr/>
      </xdr:nvCxnSpPr>
      <xdr:spPr>
        <a:xfrm>
          <a:off x="15888463" y="298455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1647</xdr:row>
      <xdr:rowOff>18430</xdr:rowOff>
    </xdr:from>
    <xdr:to>
      <xdr:col>8</xdr:col>
      <xdr:colOff>219838</xdr:colOff>
      <xdr:row>1649</xdr:row>
      <xdr:rowOff>27310</xdr:rowOff>
    </xdr:to>
    <xdr:cxnSp macro="_xll.PtreeEvent_ObjectClick">
      <xdr:nvCxnSpPr>
        <xdr:cNvPr id="3278" name="PTObj_DBranchDLine_1_816">
          <a:extLst>
            <a:ext uri="{FF2B5EF4-FFF2-40B4-BE49-F238E27FC236}">
              <a16:creationId xmlns:a16="http://schemas.microsoft.com/office/drawing/2014/main" id="{5BE69A62-4A20-4B4A-BB4A-FA756D164D5C}"/>
            </a:ext>
          </a:extLst>
        </xdr:cNvPr>
        <xdr:cNvCxnSpPr/>
      </xdr:nvCxnSpPr>
      <xdr:spPr>
        <a:xfrm>
          <a:off x="15736063" y="2980842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1645</xdr:row>
      <xdr:rowOff>19695</xdr:rowOff>
    </xdr:from>
    <xdr:to>
      <xdr:col>11</xdr:col>
      <xdr:colOff>1394589</xdr:colOff>
      <xdr:row>1645</xdr:row>
      <xdr:rowOff>19695</xdr:rowOff>
    </xdr:to>
    <xdr:cxnSp macro="_xll.PtreeEvent_ObjectClick">
      <xdr:nvCxnSpPr>
        <xdr:cNvPr id="3275" name="PTObj_DBranchHLine_1_814">
          <a:extLst>
            <a:ext uri="{FF2B5EF4-FFF2-40B4-BE49-F238E27FC236}">
              <a16:creationId xmlns:a16="http://schemas.microsoft.com/office/drawing/2014/main" id="{481AC5AA-7490-412E-A350-BCB93BDDF23E}"/>
            </a:ext>
          </a:extLst>
        </xdr:cNvPr>
        <xdr:cNvCxnSpPr/>
      </xdr:nvCxnSpPr>
      <xdr:spPr>
        <a:xfrm>
          <a:off x="20149945" y="2977235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1643</xdr:row>
      <xdr:rowOff>3200</xdr:rowOff>
    </xdr:from>
    <xdr:to>
      <xdr:col>11</xdr:col>
      <xdr:colOff>195070</xdr:colOff>
      <xdr:row>1645</xdr:row>
      <xdr:rowOff>19695</xdr:rowOff>
    </xdr:to>
    <xdr:cxnSp macro="_xll.PtreeEvent_ObjectClick">
      <xdr:nvCxnSpPr>
        <xdr:cNvPr id="3274" name="PTObj_DBranchDLine_1_814">
          <a:extLst>
            <a:ext uri="{FF2B5EF4-FFF2-40B4-BE49-F238E27FC236}">
              <a16:creationId xmlns:a16="http://schemas.microsoft.com/office/drawing/2014/main" id="{4DEC34D6-D679-4BE0-A3BB-63255B6CA9A2}"/>
            </a:ext>
          </a:extLst>
        </xdr:cNvPr>
        <xdr:cNvCxnSpPr/>
      </xdr:nvCxnSpPr>
      <xdr:spPr>
        <a:xfrm>
          <a:off x="19997545" y="2973451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1643</xdr:row>
      <xdr:rowOff>15875</xdr:rowOff>
    </xdr:from>
    <xdr:to>
      <xdr:col>10</xdr:col>
      <xdr:colOff>1388870</xdr:colOff>
      <xdr:row>1643</xdr:row>
      <xdr:rowOff>15875</xdr:rowOff>
    </xdr:to>
    <xdr:cxnSp macro="_xll.PtreeEvent_ObjectClick">
      <xdr:nvCxnSpPr>
        <xdr:cNvPr id="3271" name="PTObj_DBranchHLine_1_813">
          <a:extLst>
            <a:ext uri="{FF2B5EF4-FFF2-40B4-BE49-F238E27FC236}">
              <a16:creationId xmlns:a16="http://schemas.microsoft.com/office/drawing/2014/main" id="{0C505CF0-67F4-4015-9F19-A2DED40BB6F7}"/>
            </a:ext>
          </a:extLst>
        </xdr:cNvPr>
        <xdr:cNvCxnSpPr/>
      </xdr:nvCxnSpPr>
      <xdr:spPr>
        <a:xfrm>
          <a:off x="18730720" y="297357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1641</xdr:row>
      <xdr:rowOff>347</xdr:rowOff>
    </xdr:from>
    <xdr:to>
      <xdr:col>10</xdr:col>
      <xdr:colOff>204595</xdr:colOff>
      <xdr:row>1643</xdr:row>
      <xdr:rowOff>15875</xdr:rowOff>
    </xdr:to>
    <xdr:cxnSp macro="_xll.PtreeEvent_ObjectClick">
      <xdr:nvCxnSpPr>
        <xdr:cNvPr id="3270" name="PTObj_DBranchDLine_1_813">
          <a:extLst>
            <a:ext uri="{FF2B5EF4-FFF2-40B4-BE49-F238E27FC236}">
              <a16:creationId xmlns:a16="http://schemas.microsoft.com/office/drawing/2014/main" id="{A79F0CAE-BD33-4DA4-B93C-04E9A250BF6E}"/>
            </a:ext>
          </a:extLst>
        </xdr:cNvPr>
        <xdr:cNvCxnSpPr/>
      </xdr:nvCxnSpPr>
      <xdr:spPr>
        <a:xfrm>
          <a:off x="18578320" y="2969803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1641</xdr:row>
      <xdr:rowOff>12055</xdr:rowOff>
    </xdr:from>
    <xdr:to>
      <xdr:col>9</xdr:col>
      <xdr:colOff>1392681</xdr:colOff>
      <xdr:row>1641</xdr:row>
      <xdr:rowOff>12055</xdr:rowOff>
    </xdr:to>
    <xdr:cxnSp macro="_xll.PtreeEvent_ObjectClick">
      <xdr:nvCxnSpPr>
        <xdr:cNvPr id="3267" name="PTObj_DBranchHLine_1_812">
          <a:extLst>
            <a:ext uri="{FF2B5EF4-FFF2-40B4-BE49-F238E27FC236}">
              <a16:creationId xmlns:a16="http://schemas.microsoft.com/office/drawing/2014/main" id="{69CB327B-7684-48A9-83E1-D9343164058D}"/>
            </a:ext>
          </a:extLst>
        </xdr:cNvPr>
        <xdr:cNvCxnSpPr/>
      </xdr:nvCxnSpPr>
      <xdr:spPr>
        <a:xfrm>
          <a:off x="17306734" y="296992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1638</xdr:row>
      <xdr:rowOff>180330</xdr:rowOff>
    </xdr:from>
    <xdr:to>
      <xdr:col>9</xdr:col>
      <xdr:colOff>209359</xdr:colOff>
      <xdr:row>1641</xdr:row>
      <xdr:rowOff>12055</xdr:rowOff>
    </xdr:to>
    <xdr:cxnSp macro="_xll.PtreeEvent_ObjectClick">
      <xdr:nvCxnSpPr>
        <xdr:cNvPr id="3266" name="PTObj_DBranchDLine_1_812">
          <a:extLst>
            <a:ext uri="{FF2B5EF4-FFF2-40B4-BE49-F238E27FC236}">
              <a16:creationId xmlns:a16="http://schemas.microsoft.com/office/drawing/2014/main" id="{53F7200B-A572-49B1-B308-9A1E400A7F5C}"/>
            </a:ext>
          </a:extLst>
        </xdr:cNvPr>
        <xdr:cNvCxnSpPr/>
      </xdr:nvCxnSpPr>
      <xdr:spPr>
        <a:xfrm>
          <a:off x="17154334" y="296617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1639</xdr:row>
      <xdr:rowOff>8260</xdr:rowOff>
    </xdr:from>
    <xdr:to>
      <xdr:col>8</xdr:col>
      <xdr:colOff>1398397</xdr:colOff>
      <xdr:row>1639</xdr:row>
      <xdr:rowOff>8260</xdr:rowOff>
    </xdr:to>
    <xdr:cxnSp macro="_xll.PtreeEvent_ObjectClick">
      <xdr:nvCxnSpPr>
        <xdr:cNvPr id="3263" name="PTObj_DBranchHLine_1_811">
          <a:extLst>
            <a:ext uri="{FF2B5EF4-FFF2-40B4-BE49-F238E27FC236}">
              <a16:creationId xmlns:a16="http://schemas.microsoft.com/office/drawing/2014/main" id="{A5EB0BA8-D82B-4CC2-9D19-4BDC3BB72B56}"/>
            </a:ext>
          </a:extLst>
        </xdr:cNvPr>
        <xdr:cNvCxnSpPr/>
      </xdr:nvCxnSpPr>
      <xdr:spPr>
        <a:xfrm>
          <a:off x="15884652" y="296626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1639</xdr:row>
      <xdr:rowOff>8260</xdr:rowOff>
    </xdr:from>
    <xdr:to>
      <xdr:col>8</xdr:col>
      <xdr:colOff>216027</xdr:colOff>
      <xdr:row>1647</xdr:row>
      <xdr:rowOff>18430</xdr:rowOff>
    </xdr:to>
    <xdr:cxnSp macro="_xll.PtreeEvent_ObjectClick">
      <xdr:nvCxnSpPr>
        <xdr:cNvPr id="3262" name="PTObj_DBranchDLine_1_811">
          <a:extLst>
            <a:ext uri="{FF2B5EF4-FFF2-40B4-BE49-F238E27FC236}">
              <a16:creationId xmlns:a16="http://schemas.microsoft.com/office/drawing/2014/main" id="{D0310B09-B0F1-4445-A35F-6E744D7AFB5F}"/>
            </a:ext>
          </a:extLst>
        </xdr:cNvPr>
        <xdr:cNvCxnSpPr/>
      </xdr:nvCxnSpPr>
      <xdr:spPr>
        <a:xfrm flipV="1">
          <a:off x="15732252" y="2966262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1647</xdr:row>
      <xdr:rowOff>23490</xdr:rowOff>
    </xdr:from>
    <xdr:to>
      <xdr:col>7</xdr:col>
      <xdr:colOff>1402207</xdr:colOff>
      <xdr:row>1647</xdr:row>
      <xdr:rowOff>23490</xdr:rowOff>
    </xdr:to>
    <xdr:cxnSp macro="_xll.PtreeEvent_ObjectClick">
      <xdr:nvCxnSpPr>
        <xdr:cNvPr id="3259" name="PTObj_DBranchHLine_1_815">
          <a:extLst>
            <a:ext uri="{FF2B5EF4-FFF2-40B4-BE49-F238E27FC236}">
              <a16:creationId xmlns:a16="http://schemas.microsoft.com/office/drawing/2014/main" id="{0C4775E9-DD48-4DB2-AD9E-23B7F9981C5D}"/>
            </a:ext>
          </a:extLst>
        </xdr:cNvPr>
        <xdr:cNvCxnSpPr/>
      </xdr:nvCxnSpPr>
      <xdr:spPr>
        <a:xfrm>
          <a:off x="14460665" y="298089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1637</xdr:row>
      <xdr:rowOff>1290</xdr:rowOff>
    </xdr:from>
    <xdr:to>
      <xdr:col>7</xdr:col>
      <xdr:colOff>220790</xdr:colOff>
      <xdr:row>1647</xdr:row>
      <xdr:rowOff>23490</xdr:rowOff>
    </xdr:to>
    <xdr:cxnSp macro="_xll.PtreeEvent_ObjectClick">
      <xdr:nvCxnSpPr>
        <xdr:cNvPr id="3258" name="PTObj_DBranchDLine_1_815">
          <a:extLst>
            <a:ext uri="{FF2B5EF4-FFF2-40B4-BE49-F238E27FC236}">
              <a16:creationId xmlns:a16="http://schemas.microsoft.com/office/drawing/2014/main" id="{2D009B8A-DBD0-49AA-97BB-98F15C5D916C}"/>
            </a:ext>
          </a:extLst>
        </xdr:cNvPr>
        <xdr:cNvCxnSpPr/>
      </xdr:nvCxnSpPr>
      <xdr:spPr>
        <a:xfrm>
          <a:off x="14308265" y="2962573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1635</xdr:row>
      <xdr:rowOff>645</xdr:rowOff>
    </xdr:from>
    <xdr:to>
      <xdr:col>11</xdr:col>
      <xdr:colOff>1386967</xdr:colOff>
      <xdr:row>1635</xdr:row>
      <xdr:rowOff>645</xdr:rowOff>
    </xdr:to>
    <xdr:cxnSp macro="_xll.PtreeEvent_ObjectClick">
      <xdr:nvCxnSpPr>
        <xdr:cNvPr id="3255" name="PTObj_DBranchHLine_1_809">
          <a:extLst>
            <a:ext uri="{FF2B5EF4-FFF2-40B4-BE49-F238E27FC236}">
              <a16:creationId xmlns:a16="http://schemas.microsoft.com/office/drawing/2014/main" id="{5B1CBA69-FCA8-4F35-AB0C-66A2696872E6}"/>
            </a:ext>
          </a:extLst>
        </xdr:cNvPr>
        <xdr:cNvCxnSpPr/>
      </xdr:nvCxnSpPr>
      <xdr:spPr>
        <a:xfrm>
          <a:off x="20149945" y="295894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1632</xdr:row>
      <xdr:rowOff>175592</xdr:rowOff>
    </xdr:from>
    <xdr:to>
      <xdr:col>11</xdr:col>
      <xdr:colOff>195070</xdr:colOff>
      <xdr:row>1635</xdr:row>
      <xdr:rowOff>645</xdr:rowOff>
    </xdr:to>
    <xdr:cxnSp macro="_xll.PtreeEvent_ObjectClick">
      <xdr:nvCxnSpPr>
        <xdr:cNvPr id="3254" name="PTObj_DBranchDLine_1_809">
          <a:extLst>
            <a:ext uri="{FF2B5EF4-FFF2-40B4-BE49-F238E27FC236}">
              <a16:creationId xmlns:a16="http://schemas.microsoft.com/office/drawing/2014/main" id="{1DB74C09-0A6E-4255-870D-2593CB37CDC1}"/>
            </a:ext>
          </a:extLst>
        </xdr:cNvPr>
        <xdr:cNvCxnSpPr/>
      </xdr:nvCxnSpPr>
      <xdr:spPr>
        <a:xfrm>
          <a:off x="19997545" y="2955267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1632</xdr:row>
      <xdr:rowOff>177800</xdr:rowOff>
    </xdr:from>
    <xdr:to>
      <xdr:col>10</xdr:col>
      <xdr:colOff>1388870</xdr:colOff>
      <xdr:row>1632</xdr:row>
      <xdr:rowOff>177800</xdr:rowOff>
    </xdr:to>
    <xdr:cxnSp macro="_xll.PtreeEvent_ObjectClick">
      <xdr:nvCxnSpPr>
        <xdr:cNvPr id="3251" name="PTObj_DBranchHLine_1_808">
          <a:extLst>
            <a:ext uri="{FF2B5EF4-FFF2-40B4-BE49-F238E27FC236}">
              <a16:creationId xmlns:a16="http://schemas.microsoft.com/office/drawing/2014/main" id="{F39CE26F-D731-4002-AD18-E10CD23943C7}"/>
            </a:ext>
          </a:extLst>
        </xdr:cNvPr>
        <xdr:cNvCxnSpPr/>
      </xdr:nvCxnSpPr>
      <xdr:spPr>
        <a:xfrm>
          <a:off x="18730720" y="295529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1630</xdr:row>
      <xdr:rowOff>173658</xdr:rowOff>
    </xdr:from>
    <xdr:to>
      <xdr:col>10</xdr:col>
      <xdr:colOff>204595</xdr:colOff>
      <xdr:row>1632</xdr:row>
      <xdr:rowOff>177800</xdr:rowOff>
    </xdr:to>
    <xdr:cxnSp macro="_xll.PtreeEvent_ObjectClick">
      <xdr:nvCxnSpPr>
        <xdr:cNvPr id="3250" name="PTObj_DBranchDLine_1_808">
          <a:extLst>
            <a:ext uri="{FF2B5EF4-FFF2-40B4-BE49-F238E27FC236}">
              <a16:creationId xmlns:a16="http://schemas.microsoft.com/office/drawing/2014/main" id="{31317A50-A421-4A25-A435-B7F5C3174B04}"/>
            </a:ext>
          </a:extLst>
        </xdr:cNvPr>
        <xdr:cNvCxnSpPr/>
      </xdr:nvCxnSpPr>
      <xdr:spPr>
        <a:xfrm>
          <a:off x="18578320" y="2951629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1630</xdr:row>
      <xdr:rowOff>173980</xdr:rowOff>
    </xdr:from>
    <xdr:to>
      <xdr:col>9</xdr:col>
      <xdr:colOff>1392681</xdr:colOff>
      <xdr:row>1630</xdr:row>
      <xdr:rowOff>173980</xdr:rowOff>
    </xdr:to>
    <xdr:cxnSp macro="_xll.PtreeEvent_ObjectClick">
      <xdr:nvCxnSpPr>
        <xdr:cNvPr id="3247" name="PTObj_DBranchHLine_1_807">
          <a:extLst>
            <a:ext uri="{FF2B5EF4-FFF2-40B4-BE49-F238E27FC236}">
              <a16:creationId xmlns:a16="http://schemas.microsoft.com/office/drawing/2014/main" id="{29A47615-5F99-40FE-B40D-948BE82C8305}"/>
            </a:ext>
          </a:extLst>
        </xdr:cNvPr>
        <xdr:cNvCxnSpPr/>
      </xdr:nvCxnSpPr>
      <xdr:spPr>
        <a:xfrm>
          <a:off x="17306734" y="295163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1628</xdr:row>
      <xdr:rowOff>167928</xdr:rowOff>
    </xdr:from>
    <xdr:to>
      <xdr:col>9</xdr:col>
      <xdr:colOff>209359</xdr:colOff>
      <xdr:row>1630</xdr:row>
      <xdr:rowOff>173980</xdr:rowOff>
    </xdr:to>
    <xdr:cxnSp macro="_xll.PtreeEvent_ObjectClick">
      <xdr:nvCxnSpPr>
        <xdr:cNvPr id="3246" name="PTObj_DBranchDLine_1_807">
          <a:extLst>
            <a:ext uri="{FF2B5EF4-FFF2-40B4-BE49-F238E27FC236}">
              <a16:creationId xmlns:a16="http://schemas.microsoft.com/office/drawing/2014/main" id="{11896A64-886A-47FF-A09C-B154DF526281}"/>
            </a:ext>
          </a:extLst>
        </xdr:cNvPr>
        <xdr:cNvCxnSpPr/>
      </xdr:nvCxnSpPr>
      <xdr:spPr>
        <a:xfrm>
          <a:off x="17154334" y="2947952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1628</xdr:row>
      <xdr:rowOff>170185</xdr:rowOff>
    </xdr:from>
    <xdr:to>
      <xdr:col>8</xdr:col>
      <xdr:colOff>1398397</xdr:colOff>
      <xdr:row>1628</xdr:row>
      <xdr:rowOff>170185</xdr:rowOff>
    </xdr:to>
    <xdr:cxnSp macro="_xll.PtreeEvent_ObjectClick">
      <xdr:nvCxnSpPr>
        <xdr:cNvPr id="3243" name="PTObj_DBranchHLine_1_806">
          <a:extLst>
            <a:ext uri="{FF2B5EF4-FFF2-40B4-BE49-F238E27FC236}">
              <a16:creationId xmlns:a16="http://schemas.microsoft.com/office/drawing/2014/main" id="{570BE587-5AF5-476E-A680-DF15A0957FB3}"/>
            </a:ext>
          </a:extLst>
        </xdr:cNvPr>
        <xdr:cNvCxnSpPr/>
      </xdr:nvCxnSpPr>
      <xdr:spPr>
        <a:xfrm>
          <a:off x="15888463" y="294797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1626</xdr:row>
      <xdr:rowOff>161305</xdr:rowOff>
    </xdr:from>
    <xdr:to>
      <xdr:col>8</xdr:col>
      <xdr:colOff>219838</xdr:colOff>
      <xdr:row>1628</xdr:row>
      <xdr:rowOff>170185</xdr:rowOff>
    </xdr:to>
    <xdr:cxnSp macro="_xll.PtreeEvent_ObjectClick">
      <xdr:nvCxnSpPr>
        <xdr:cNvPr id="3242" name="PTObj_DBranchDLine_1_806">
          <a:extLst>
            <a:ext uri="{FF2B5EF4-FFF2-40B4-BE49-F238E27FC236}">
              <a16:creationId xmlns:a16="http://schemas.microsoft.com/office/drawing/2014/main" id="{8D155018-CFE7-4F80-8DDE-48E9674D2713}"/>
            </a:ext>
          </a:extLst>
        </xdr:cNvPr>
        <xdr:cNvCxnSpPr/>
      </xdr:nvCxnSpPr>
      <xdr:spPr>
        <a:xfrm>
          <a:off x="15736063" y="2944266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1624</xdr:row>
      <xdr:rowOff>162570</xdr:rowOff>
    </xdr:from>
    <xdr:to>
      <xdr:col>11</xdr:col>
      <xdr:colOff>1394589</xdr:colOff>
      <xdr:row>1624</xdr:row>
      <xdr:rowOff>162570</xdr:rowOff>
    </xdr:to>
    <xdr:cxnSp macro="_xll.PtreeEvent_ObjectClick">
      <xdr:nvCxnSpPr>
        <xdr:cNvPr id="3239" name="PTObj_DBranchHLine_1_804">
          <a:extLst>
            <a:ext uri="{FF2B5EF4-FFF2-40B4-BE49-F238E27FC236}">
              <a16:creationId xmlns:a16="http://schemas.microsoft.com/office/drawing/2014/main" id="{B7DED186-B432-4C8B-9A46-3B313BEBFB46}"/>
            </a:ext>
          </a:extLst>
        </xdr:cNvPr>
        <xdr:cNvCxnSpPr/>
      </xdr:nvCxnSpPr>
      <xdr:spPr>
        <a:xfrm>
          <a:off x="20149945" y="2940659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1622</xdr:row>
      <xdr:rowOff>146075</xdr:rowOff>
    </xdr:from>
    <xdr:to>
      <xdr:col>11</xdr:col>
      <xdr:colOff>195070</xdr:colOff>
      <xdr:row>1624</xdr:row>
      <xdr:rowOff>162570</xdr:rowOff>
    </xdr:to>
    <xdr:cxnSp macro="_xll.PtreeEvent_ObjectClick">
      <xdr:nvCxnSpPr>
        <xdr:cNvPr id="3238" name="PTObj_DBranchDLine_1_804">
          <a:extLst>
            <a:ext uri="{FF2B5EF4-FFF2-40B4-BE49-F238E27FC236}">
              <a16:creationId xmlns:a16="http://schemas.microsoft.com/office/drawing/2014/main" id="{E01E7FB5-B5CF-48D1-9203-29BF4B1C5324}"/>
            </a:ext>
          </a:extLst>
        </xdr:cNvPr>
        <xdr:cNvCxnSpPr/>
      </xdr:nvCxnSpPr>
      <xdr:spPr>
        <a:xfrm>
          <a:off x="19997545" y="2936875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1622</xdr:row>
      <xdr:rowOff>158750</xdr:rowOff>
    </xdr:from>
    <xdr:to>
      <xdr:col>10</xdr:col>
      <xdr:colOff>1388870</xdr:colOff>
      <xdr:row>1622</xdr:row>
      <xdr:rowOff>158750</xdr:rowOff>
    </xdr:to>
    <xdr:cxnSp macro="_xll.PtreeEvent_ObjectClick">
      <xdr:nvCxnSpPr>
        <xdr:cNvPr id="3235" name="PTObj_DBranchHLine_1_803">
          <a:extLst>
            <a:ext uri="{FF2B5EF4-FFF2-40B4-BE49-F238E27FC236}">
              <a16:creationId xmlns:a16="http://schemas.microsoft.com/office/drawing/2014/main" id="{E6AAEF6E-743F-4995-AB75-AA034B16BD04}"/>
            </a:ext>
          </a:extLst>
        </xdr:cNvPr>
        <xdr:cNvCxnSpPr/>
      </xdr:nvCxnSpPr>
      <xdr:spPr>
        <a:xfrm>
          <a:off x="18730720" y="293700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1620</xdr:row>
      <xdr:rowOff>143222</xdr:rowOff>
    </xdr:from>
    <xdr:to>
      <xdr:col>10</xdr:col>
      <xdr:colOff>204595</xdr:colOff>
      <xdr:row>1622</xdr:row>
      <xdr:rowOff>158750</xdr:rowOff>
    </xdr:to>
    <xdr:cxnSp macro="_xll.PtreeEvent_ObjectClick">
      <xdr:nvCxnSpPr>
        <xdr:cNvPr id="3234" name="PTObj_DBranchDLine_1_803">
          <a:extLst>
            <a:ext uri="{FF2B5EF4-FFF2-40B4-BE49-F238E27FC236}">
              <a16:creationId xmlns:a16="http://schemas.microsoft.com/office/drawing/2014/main" id="{42BDB210-76BB-420C-B041-EF2CE6DABF2D}"/>
            </a:ext>
          </a:extLst>
        </xdr:cNvPr>
        <xdr:cNvCxnSpPr/>
      </xdr:nvCxnSpPr>
      <xdr:spPr>
        <a:xfrm>
          <a:off x="18578320" y="2933227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1620</xdr:row>
      <xdr:rowOff>154930</xdr:rowOff>
    </xdr:from>
    <xdr:to>
      <xdr:col>9</xdr:col>
      <xdr:colOff>1392681</xdr:colOff>
      <xdr:row>1620</xdr:row>
      <xdr:rowOff>154930</xdr:rowOff>
    </xdr:to>
    <xdr:cxnSp macro="_xll.PtreeEvent_ObjectClick">
      <xdr:nvCxnSpPr>
        <xdr:cNvPr id="3231" name="PTObj_DBranchHLine_1_802">
          <a:extLst>
            <a:ext uri="{FF2B5EF4-FFF2-40B4-BE49-F238E27FC236}">
              <a16:creationId xmlns:a16="http://schemas.microsoft.com/office/drawing/2014/main" id="{C423D2C4-17B1-464C-998A-E1A20110FAB1}"/>
            </a:ext>
          </a:extLst>
        </xdr:cNvPr>
        <xdr:cNvCxnSpPr/>
      </xdr:nvCxnSpPr>
      <xdr:spPr>
        <a:xfrm>
          <a:off x="17306734" y="293334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1618</xdr:row>
      <xdr:rowOff>142230</xdr:rowOff>
    </xdr:from>
    <xdr:to>
      <xdr:col>9</xdr:col>
      <xdr:colOff>209359</xdr:colOff>
      <xdr:row>1620</xdr:row>
      <xdr:rowOff>154930</xdr:rowOff>
    </xdr:to>
    <xdr:cxnSp macro="_xll.PtreeEvent_ObjectClick">
      <xdr:nvCxnSpPr>
        <xdr:cNvPr id="3230" name="PTObj_DBranchDLine_1_802">
          <a:extLst>
            <a:ext uri="{FF2B5EF4-FFF2-40B4-BE49-F238E27FC236}">
              <a16:creationId xmlns:a16="http://schemas.microsoft.com/office/drawing/2014/main" id="{7586245B-D845-4F32-975B-F7BF88A3A87E}"/>
            </a:ext>
          </a:extLst>
        </xdr:cNvPr>
        <xdr:cNvCxnSpPr/>
      </xdr:nvCxnSpPr>
      <xdr:spPr>
        <a:xfrm>
          <a:off x="17154334" y="292959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1618</xdr:row>
      <xdr:rowOff>151135</xdr:rowOff>
    </xdr:from>
    <xdr:to>
      <xdr:col>8</xdr:col>
      <xdr:colOff>1398397</xdr:colOff>
      <xdr:row>1618</xdr:row>
      <xdr:rowOff>151135</xdr:rowOff>
    </xdr:to>
    <xdr:cxnSp macro="_xll.PtreeEvent_ObjectClick">
      <xdr:nvCxnSpPr>
        <xdr:cNvPr id="3227" name="PTObj_DBranchHLine_1_801">
          <a:extLst>
            <a:ext uri="{FF2B5EF4-FFF2-40B4-BE49-F238E27FC236}">
              <a16:creationId xmlns:a16="http://schemas.microsoft.com/office/drawing/2014/main" id="{D058BE10-08E9-40CA-AC0E-A4381E9DC9E4}"/>
            </a:ext>
          </a:extLst>
        </xdr:cNvPr>
        <xdr:cNvCxnSpPr/>
      </xdr:nvCxnSpPr>
      <xdr:spPr>
        <a:xfrm>
          <a:off x="15884652" y="292968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1618</xdr:row>
      <xdr:rowOff>151135</xdr:rowOff>
    </xdr:from>
    <xdr:to>
      <xdr:col>8</xdr:col>
      <xdr:colOff>216027</xdr:colOff>
      <xdr:row>1626</xdr:row>
      <xdr:rowOff>161305</xdr:rowOff>
    </xdr:to>
    <xdr:cxnSp macro="_xll.PtreeEvent_ObjectClick">
      <xdr:nvCxnSpPr>
        <xdr:cNvPr id="3226" name="PTObj_DBranchDLine_1_801">
          <a:extLst>
            <a:ext uri="{FF2B5EF4-FFF2-40B4-BE49-F238E27FC236}">
              <a16:creationId xmlns:a16="http://schemas.microsoft.com/office/drawing/2014/main" id="{A0305F42-1A52-4854-8C63-4748BA8D56A7}"/>
            </a:ext>
          </a:extLst>
        </xdr:cNvPr>
        <xdr:cNvCxnSpPr/>
      </xdr:nvCxnSpPr>
      <xdr:spPr>
        <a:xfrm flipV="1">
          <a:off x="15732252" y="2929686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1626</xdr:row>
      <xdr:rowOff>166365</xdr:rowOff>
    </xdr:from>
    <xdr:to>
      <xdr:col>7</xdr:col>
      <xdr:colOff>1402207</xdr:colOff>
      <xdr:row>1626</xdr:row>
      <xdr:rowOff>166365</xdr:rowOff>
    </xdr:to>
    <xdr:cxnSp macro="_xll.PtreeEvent_ObjectClick">
      <xdr:nvCxnSpPr>
        <xdr:cNvPr id="3223" name="PTObj_DBranchHLine_1_805">
          <a:extLst>
            <a:ext uri="{FF2B5EF4-FFF2-40B4-BE49-F238E27FC236}">
              <a16:creationId xmlns:a16="http://schemas.microsoft.com/office/drawing/2014/main" id="{A1BBC1FA-9751-4270-B313-CAF0DCB44019}"/>
            </a:ext>
          </a:extLst>
        </xdr:cNvPr>
        <xdr:cNvCxnSpPr/>
      </xdr:nvCxnSpPr>
      <xdr:spPr>
        <a:xfrm>
          <a:off x="14462570" y="2944317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1626</xdr:row>
      <xdr:rowOff>166365</xdr:rowOff>
    </xdr:from>
    <xdr:to>
      <xdr:col>7</xdr:col>
      <xdr:colOff>222695</xdr:colOff>
      <xdr:row>1636</xdr:row>
      <xdr:rowOff>180355</xdr:rowOff>
    </xdr:to>
    <xdr:cxnSp macro="_xll.PtreeEvent_ObjectClick">
      <xdr:nvCxnSpPr>
        <xdr:cNvPr id="3222" name="PTObj_DBranchDLine_1_805">
          <a:extLst>
            <a:ext uri="{FF2B5EF4-FFF2-40B4-BE49-F238E27FC236}">
              <a16:creationId xmlns:a16="http://schemas.microsoft.com/office/drawing/2014/main" id="{11E6873F-4C57-4EE4-907A-862F21C341D6}"/>
            </a:ext>
          </a:extLst>
        </xdr:cNvPr>
        <xdr:cNvCxnSpPr/>
      </xdr:nvCxnSpPr>
      <xdr:spPr>
        <a:xfrm flipV="1">
          <a:off x="14310170" y="2944317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1637</xdr:row>
      <xdr:rowOff>4440</xdr:rowOff>
    </xdr:from>
    <xdr:to>
      <xdr:col>6</xdr:col>
      <xdr:colOff>1407922</xdr:colOff>
      <xdr:row>1637</xdr:row>
      <xdr:rowOff>4440</xdr:rowOff>
    </xdr:to>
    <xdr:cxnSp macro="_xll.PtreeEvent_ObjectClick">
      <xdr:nvCxnSpPr>
        <xdr:cNvPr id="3219" name="PTObj_DBranchHLine_1_810">
          <a:extLst>
            <a:ext uri="{FF2B5EF4-FFF2-40B4-BE49-F238E27FC236}">
              <a16:creationId xmlns:a16="http://schemas.microsoft.com/office/drawing/2014/main" id="{A02F1313-1EEB-419C-97DB-88C051E1E1D7}"/>
            </a:ext>
          </a:extLst>
        </xdr:cNvPr>
        <xdr:cNvCxnSpPr/>
      </xdr:nvCxnSpPr>
      <xdr:spPr>
        <a:xfrm>
          <a:off x="13034772" y="2962605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1637</xdr:row>
      <xdr:rowOff>4440</xdr:rowOff>
    </xdr:from>
    <xdr:to>
      <xdr:col>6</xdr:col>
      <xdr:colOff>223647</xdr:colOff>
      <xdr:row>1657</xdr:row>
      <xdr:rowOff>37480</xdr:rowOff>
    </xdr:to>
    <xdr:cxnSp macro="_xll.PtreeEvent_ObjectClick">
      <xdr:nvCxnSpPr>
        <xdr:cNvPr id="3218" name="PTObj_DBranchDLine_1_810">
          <a:extLst>
            <a:ext uri="{FF2B5EF4-FFF2-40B4-BE49-F238E27FC236}">
              <a16:creationId xmlns:a16="http://schemas.microsoft.com/office/drawing/2014/main" id="{14CA76C7-2834-4BFB-90E4-B482E200277E}"/>
            </a:ext>
          </a:extLst>
        </xdr:cNvPr>
        <xdr:cNvCxnSpPr/>
      </xdr:nvCxnSpPr>
      <xdr:spPr>
        <a:xfrm flipV="1">
          <a:off x="12882372" y="2962605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1657</xdr:row>
      <xdr:rowOff>42540</xdr:rowOff>
    </xdr:from>
    <xdr:to>
      <xdr:col>5</xdr:col>
      <xdr:colOff>1411732</xdr:colOff>
      <xdr:row>1657</xdr:row>
      <xdr:rowOff>42540</xdr:rowOff>
    </xdr:to>
    <xdr:cxnSp macro="_xll.PtreeEvent_ObjectClick">
      <xdr:nvCxnSpPr>
        <xdr:cNvPr id="3215" name="PTObj_DBranchHLine_1_820">
          <a:extLst>
            <a:ext uri="{FF2B5EF4-FFF2-40B4-BE49-F238E27FC236}">
              <a16:creationId xmlns:a16="http://schemas.microsoft.com/office/drawing/2014/main" id="{FCB8B594-5776-459D-A94C-94DDA215602B}"/>
            </a:ext>
          </a:extLst>
        </xdr:cNvPr>
        <xdr:cNvCxnSpPr/>
      </xdr:nvCxnSpPr>
      <xdr:spPr>
        <a:xfrm>
          <a:off x="11610785" y="2999181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1657</xdr:row>
      <xdr:rowOff>42540</xdr:rowOff>
    </xdr:from>
    <xdr:to>
      <xdr:col>5</xdr:col>
      <xdr:colOff>228410</xdr:colOff>
      <xdr:row>1697</xdr:row>
      <xdr:rowOff>108917</xdr:rowOff>
    </xdr:to>
    <xdr:cxnSp macro="_xll.PtreeEvent_ObjectClick">
      <xdr:nvCxnSpPr>
        <xdr:cNvPr id="3214" name="PTObj_DBranchDLine_1_820">
          <a:extLst>
            <a:ext uri="{FF2B5EF4-FFF2-40B4-BE49-F238E27FC236}">
              <a16:creationId xmlns:a16="http://schemas.microsoft.com/office/drawing/2014/main" id="{09E50490-D937-4147-92CA-244B5C09B93E}"/>
            </a:ext>
          </a:extLst>
        </xdr:cNvPr>
        <xdr:cNvCxnSpPr/>
      </xdr:nvCxnSpPr>
      <xdr:spPr>
        <a:xfrm flipV="1">
          <a:off x="11458385" y="299918115"/>
          <a:ext cx="152400" cy="73053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230314</xdr:colOff>
      <xdr:row>1697</xdr:row>
      <xdr:rowOff>118740</xdr:rowOff>
    </xdr:from>
    <xdr:to>
      <xdr:col>4</xdr:col>
      <xdr:colOff>1417447</xdr:colOff>
      <xdr:row>1697</xdr:row>
      <xdr:rowOff>118740</xdr:rowOff>
    </xdr:to>
    <xdr:cxnSp macro="_xll.PtreeEvent_ObjectClick">
      <xdr:nvCxnSpPr>
        <xdr:cNvPr id="3211" name="PTObj_DBranchHLine_1_840">
          <a:extLst>
            <a:ext uri="{FF2B5EF4-FFF2-40B4-BE49-F238E27FC236}">
              <a16:creationId xmlns:a16="http://schemas.microsoft.com/office/drawing/2014/main" id="{3EDF2AE5-48F7-4B5A-AF3B-D414CE7B9C22}"/>
            </a:ext>
          </a:extLst>
        </xdr:cNvPr>
        <xdr:cNvCxnSpPr/>
      </xdr:nvCxnSpPr>
      <xdr:spPr>
        <a:xfrm>
          <a:off x="10183939" y="307233315"/>
          <a:ext cx="118713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77914</xdr:colOff>
      <xdr:row>1697</xdr:row>
      <xdr:rowOff>118740</xdr:rowOff>
    </xdr:from>
    <xdr:to>
      <xdr:col>4</xdr:col>
      <xdr:colOff>230314</xdr:colOff>
      <xdr:row>1778</xdr:row>
      <xdr:rowOff>84138</xdr:rowOff>
    </xdr:to>
    <xdr:cxnSp macro="_xll.PtreeEvent_ObjectClick">
      <xdr:nvCxnSpPr>
        <xdr:cNvPr id="3210" name="PTObj_DBranchDLine_1_840">
          <a:extLst>
            <a:ext uri="{FF2B5EF4-FFF2-40B4-BE49-F238E27FC236}">
              <a16:creationId xmlns:a16="http://schemas.microsoft.com/office/drawing/2014/main" id="{548022FF-9FAA-45E3-A9F1-7BBB7E4A3537}"/>
            </a:ext>
          </a:extLst>
        </xdr:cNvPr>
        <xdr:cNvCxnSpPr/>
      </xdr:nvCxnSpPr>
      <xdr:spPr>
        <a:xfrm flipV="1">
          <a:off x="10031539" y="307233315"/>
          <a:ext cx="152400" cy="146243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233172</xdr:colOff>
      <xdr:row>1778</xdr:row>
      <xdr:rowOff>90165</xdr:rowOff>
    </xdr:from>
    <xdr:to>
      <xdr:col>3</xdr:col>
      <xdr:colOff>1421257</xdr:colOff>
      <xdr:row>1778</xdr:row>
      <xdr:rowOff>90165</xdr:rowOff>
    </xdr:to>
    <xdr:cxnSp macro="_xll.PtreeEvent_ObjectClick">
      <xdr:nvCxnSpPr>
        <xdr:cNvPr id="3207" name="PTObj_DBranchHLine_1_880">
          <a:extLst>
            <a:ext uri="{FF2B5EF4-FFF2-40B4-BE49-F238E27FC236}">
              <a16:creationId xmlns:a16="http://schemas.microsoft.com/office/drawing/2014/main" id="{D3606ACD-F226-4233-9537-7D4513E9E617}"/>
            </a:ext>
          </a:extLst>
        </xdr:cNvPr>
        <xdr:cNvCxnSpPr/>
      </xdr:nvCxnSpPr>
      <xdr:spPr>
        <a:xfrm>
          <a:off x="8758047" y="321863715"/>
          <a:ext cx="118808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80772</xdr:colOff>
      <xdr:row>1616</xdr:row>
      <xdr:rowOff>142255</xdr:rowOff>
    </xdr:from>
    <xdr:to>
      <xdr:col>3</xdr:col>
      <xdr:colOff>233172</xdr:colOff>
      <xdr:row>1778</xdr:row>
      <xdr:rowOff>90165</xdr:rowOff>
    </xdr:to>
    <xdr:cxnSp macro="_xll.PtreeEvent_ObjectClick">
      <xdr:nvCxnSpPr>
        <xdr:cNvPr id="3206" name="PTObj_DBranchDLine_1_880">
          <a:extLst>
            <a:ext uri="{FF2B5EF4-FFF2-40B4-BE49-F238E27FC236}">
              <a16:creationId xmlns:a16="http://schemas.microsoft.com/office/drawing/2014/main" id="{28C5F54A-4329-46E0-A826-D2BECC397F24}"/>
            </a:ext>
          </a:extLst>
        </xdr:cNvPr>
        <xdr:cNvCxnSpPr/>
      </xdr:nvCxnSpPr>
      <xdr:spPr>
        <a:xfrm>
          <a:off x="8605647" y="292597855"/>
          <a:ext cx="152400" cy="29265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1614</xdr:row>
      <xdr:rowOff>143520</xdr:rowOff>
    </xdr:from>
    <xdr:to>
      <xdr:col>11</xdr:col>
      <xdr:colOff>1386967</xdr:colOff>
      <xdr:row>1614</xdr:row>
      <xdr:rowOff>143520</xdr:rowOff>
    </xdr:to>
    <xdr:cxnSp macro="_xll.PtreeEvent_ObjectClick">
      <xdr:nvCxnSpPr>
        <xdr:cNvPr id="3203" name="PTObj_DBranchHLine_1_799">
          <a:extLst>
            <a:ext uri="{FF2B5EF4-FFF2-40B4-BE49-F238E27FC236}">
              <a16:creationId xmlns:a16="http://schemas.microsoft.com/office/drawing/2014/main" id="{6297B7C6-9D03-4EF1-AC17-8BB66292418B}"/>
            </a:ext>
          </a:extLst>
        </xdr:cNvPr>
        <xdr:cNvCxnSpPr/>
      </xdr:nvCxnSpPr>
      <xdr:spPr>
        <a:xfrm>
          <a:off x="20149945" y="292237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1612</xdr:row>
      <xdr:rowOff>137492</xdr:rowOff>
    </xdr:from>
    <xdr:to>
      <xdr:col>11</xdr:col>
      <xdr:colOff>195070</xdr:colOff>
      <xdr:row>1614</xdr:row>
      <xdr:rowOff>143520</xdr:rowOff>
    </xdr:to>
    <xdr:cxnSp macro="_xll.PtreeEvent_ObjectClick">
      <xdr:nvCxnSpPr>
        <xdr:cNvPr id="3202" name="PTObj_DBranchDLine_1_799">
          <a:extLst>
            <a:ext uri="{FF2B5EF4-FFF2-40B4-BE49-F238E27FC236}">
              <a16:creationId xmlns:a16="http://schemas.microsoft.com/office/drawing/2014/main" id="{68D69B74-587A-47FA-9C79-2A3C748A95B3}"/>
            </a:ext>
          </a:extLst>
        </xdr:cNvPr>
        <xdr:cNvCxnSpPr/>
      </xdr:nvCxnSpPr>
      <xdr:spPr>
        <a:xfrm>
          <a:off x="19997545" y="2918691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1612</xdr:row>
      <xdr:rowOff>139700</xdr:rowOff>
    </xdr:from>
    <xdr:to>
      <xdr:col>10</xdr:col>
      <xdr:colOff>1388870</xdr:colOff>
      <xdr:row>1612</xdr:row>
      <xdr:rowOff>139700</xdr:rowOff>
    </xdr:to>
    <xdr:cxnSp macro="_xll.PtreeEvent_ObjectClick">
      <xdr:nvCxnSpPr>
        <xdr:cNvPr id="3199" name="PTObj_DBranchHLine_1_798">
          <a:extLst>
            <a:ext uri="{FF2B5EF4-FFF2-40B4-BE49-F238E27FC236}">
              <a16:creationId xmlns:a16="http://schemas.microsoft.com/office/drawing/2014/main" id="{EA48DACB-CC37-44D6-92F3-7AD7A26A1E09}"/>
            </a:ext>
          </a:extLst>
        </xdr:cNvPr>
        <xdr:cNvCxnSpPr/>
      </xdr:nvCxnSpPr>
      <xdr:spPr>
        <a:xfrm>
          <a:off x="18730720" y="291871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1610</xdr:row>
      <xdr:rowOff>135558</xdr:rowOff>
    </xdr:from>
    <xdr:to>
      <xdr:col>10</xdr:col>
      <xdr:colOff>204595</xdr:colOff>
      <xdr:row>1612</xdr:row>
      <xdr:rowOff>139700</xdr:rowOff>
    </xdr:to>
    <xdr:cxnSp macro="_xll.PtreeEvent_ObjectClick">
      <xdr:nvCxnSpPr>
        <xdr:cNvPr id="3198" name="PTObj_DBranchDLine_1_798">
          <a:extLst>
            <a:ext uri="{FF2B5EF4-FFF2-40B4-BE49-F238E27FC236}">
              <a16:creationId xmlns:a16="http://schemas.microsoft.com/office/drawing/2014/main" id="{97C74606-14A7-42DB-A4D5-FB20C6AA7F38}"/>
            </a:ext>
          </a:extLst>
        </xdr:cNvPr>
        <xdr:cNvCxnSpPr/>
      </xdr:nvCxnSpPr>
      <xdr:spPr>
        <a:xfrm>
          <a:off x="18578320" y="2915053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1610</xdr:row>
      <xdr:rowOff>135880</xdr:rowOff>
    </xdr:from>
    <xdr:to>
      <xdr:col>9</xdr:col>
      <xdr:colOff>1392681</xdr:colOff>
      <xdr:row>1610</xdr:row>
      <xdr:rowOff>135880</xdr:rowOff>
    </xdr:to>
    <xdr:cxnSp macro="_xll.PtreeEvent_ObjectClick">
      <xdr:nvCxnSpPr>
        <xdr:cNvPr id="3195" name="PTObj_DBranchHLine_1_797">
          <a:extLst>
            <a:ext uri="{FF2B5EF4-FFF2-40B4-BE49-F238E27FC236}">
              <a16:creationId xmlns:a16="http://schemas.microsoft.com/office/drawing/2014/main" id="{ACB72ED1-ADB4-44B5-895B-DB175AD4E26E}"/>
            </a:ext>
          </a:extLst>
        </xdr:cNvPr>
        <xdr:cNvCxnSpPr/>
      </xdr:nvCxnSpPr>
      <xdr:spPr>
        <a:xfrm>
          <a:off x="17306734" y="291505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1608</xdr:row>
      <xdr:rowOff>129828</xdr:rowOff>
    </xdr:from>
    <xdr:to>
      <xdr:col>9</xdr:col>
      <xdr:colOff>209359</xdr:colOff>
      <xdr:row>1610</xdr:row>
      <xdr:rowOff>135880</xdr:rowOff>
    </xdr:to>
    <xdr:cxnSp macro="_xll.PtreeEvent_ObjectClick">
      <xdr:nvCxnSpPr>
        <xdr:cNvPr id="3194" name="PTObj_DBranchDLine_1_797">
          <a:extLst>
            <a:ext uri="{FF2B5EF4-FFF2-40B4-BE49-F238E27FC236}">
              <a16:creationId xmlns:a16="http://schemas.microsoft.com/office/drawing/2014/main" id="{2EAF00A5-A6BC-4E1E-A510-3DF21949D782}"/>
            </a:ext>
          </a:extLst>
        </xdr:cNvPr>
        <xdr:cNvCxnSpPr/>
      </xdr:nvCxnSpPr>
      <xdr:spPr>
        <a:xfrm>
          <a:off x="17154334" y="2911376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1608</xdr:row>
      <xdr:rowOff>132085</xdr:rowOff>
    </xdr:from>
    <xdr:to>
      <xdr:col>8</xdr:col>
      <xdr:colOff>1398397</xdr:colOff>
      <xdr:row>1608</xdr:row>
      <xdr:rowOff>132085</xdr:rowOff>
    </xdr:to>
    <xdr:cxnSp macro="_xll.PtreeEvent_ObjectClick">
      <xdr:nvCxnSpPr>
        <xdr:cNvPr id="3191" name="PTObj_DBranchHLine_1_796">
          <a:extLst>
            <a:ext uri="{FF2B5EF4-FFF2-40B4-BE49-F238E27FC236}">
              <a16:creationId xmlns:a16="http://schemas.microsoft.com/office/drawing/2014/main" id="{7CA6D357-2031-4928-B54A-73BC9B1D5C1E}"/>
            </a:ext>
          </a:extLst>
        </xdr:cNvPr>
        <xdr:cNvCxnSpPr/>
      </xdr:nvCxnSpPr>
      <xdr:spPr>
        <a:xfrm>
          <a:off x="15888463" y="291139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1606</xdr:row>
      <xdr:rowOff>123205</xdr:rowOff>
    </xdr:from>
    <xdr:to>
      <xdr:col>8</xdr:col>
      <xdr:colOff>219838</xdr:colOff>
      <xdr:row>1608</xdr:row>
      <xdr:rowOff>132085</xdr:rowOff>
    </xdr:to>
    <xdr:cxnSp macro="_xll.PtreeEvent_ObjectClick">
      <xdr:nvCxnSpPr>
        <xdr:cNvPr id="3190" name="PTObj_DBranchDLine_1_796">
          <a:extLst>
            <a:ext uri="{FF2B5EF4-FFF2-40B4-BE49-F238E27FC236}">
              <a16:creationId xmlns:a16="http://schemas.microsoft.com/office/drawing/2014/main" id="{19E2D2AB-52A6-4F40-8AD1-7B73A5053BE7}"/>
            </a:ext>
          </a:extLst>
        </xdr:cNvPr>
        <xdr:cNvCxnSpPr/>
      </xdr:nvCxnSpPr>
      <xdr:spPr>
        <a:xfrm>
          <a:off x="15736063" y="2907690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1604</xdr:row>
      <xdr:rowOff>124470</xdr:rowOff>
    </xdr:from>
    <xdr:to>
      <xdr:col>11</xdr:col>
      <xdr:colOff>1394589</xdr:colOff>
      <xdr:row>1604</xdr:row>
      <xdr:rowOff>124470</xdr:rowOff>
    </xdr:to>
    <xdr:cxnSp macro="_xll.PtreeEvent_ObjectClick">
      <xdr:nvCxnSpPr>
        <xdr:cNvPr id="3187" name="PTObj_DBranchHLine_1_794">
          <a:extLst>
            <a:ext uri="{FF2B5EF4-FFF2-40B4-BE49-F238E27FC236}">
              <a16:creationId xmlns:a16="http://schemas.microsoft.com/office/drawing/2014/main" id="{74142187-9821-4101-B153-6E62DCA7C3CF}"/>
            </a:ext>
          </a:extLst>
        </xdr:cNvPr>
        <xdr:cNvCxnSpPr/>
      </xdr:nvCxnSpPr>
      <xdr:spPr>
        <a:xfrm>
          <a:off x="20149945" y="2904083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1602</xdr:row>
      <xdr:rowOff>107975</xdr:rowOff>
    </xdr:from>
    <xdr:to>
      <xdr:col>11</xdr:col>
      <xdr:colOff>195070</xdr:colOff>
      <xdr:row>1604</xdr:row>
      <xdr:rowOff>124470</xdr:rowOff>
    </xdr:to>
    <xdr:cxnSp macro="_xll.PtreeEvent_ObjectClick">
      <xdr:nvCxnSpPr>
        <xdr:cNvPr id="3186" name="PTObj_DBranchDLine_1_794">
          <a:extLst>
            <a:ext uri="{FF2B5EF4-FFF2-40B4-BE49-F238E27FC236}">
              <a16:creationId xmlns:a16="http://schemas.microsoft.com/office/drawing/2014/main" id="{2BDB7BA2-807F-4A18-B17F-67F1DBD88556}"/>
            </a:ext>
          </a:extLst>
        </xdr:cNvPr>
        <xdr:cNvCxnSpPr/>
      </xdr:nvCxnSpPr>
      <xdr:spPr>
        <a:xfrm>
          <a:off x="19997545" y="290029925"/>
          <a:ext cx="152400" cy="378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1602</xdr:row>
      <xdr:rowOff>120650</xdr:rowOff>
    </xdr:from>
    <xdr:to>
      <xdr:col>10</xdr:col>
      <xdr:colOff>1388870</xdr:colOff>
      <xdr:row>1602</xdr:row>
      <xdr:rowOff>120650</xdr:rowOff>
    </xdr:to>
    <xdr:cxnSp macro="_xll.PtreeEvent_ObjectClick">
      <xdr:nvCxnSpPr>
        <xdr:cNvPr id="3183" name="PTObj_DBranchHLine_1_793">
          <a:extLst>
            <a:ext uri="{FF2B5EF4-FFF2-40B4-BE49-F238E27FC236}">
              <a16:creationId xmlns:a16="http://schemas.microsoft.com/office/drawing/2014/main" id="{0B8B6775-C1DB-4AD7-8518-5BBA9C8B0AC2}"/>
            </a:ext>
          </a:extLst>
        </xdr:cNvPr>
        <xdr:cNvCxnSpPr/>
      </xdr:nvCxnSpPr>
      <xdr:spPr>
        <a:xfrm>
          <a:off x="18730720" y="290042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1600</xdr:row>
      <xdr:rowOff>105122</xdr:rowOff>
    </xdr:from>
    <xdr:to>
      <xdr:col>10</xdr:col>
      <xdr:colOff>204595</xdr:colOff>
      <xdr:row>1602</xdr:row>
      <xdr:rowOff>120650</xdr:rowOff>
    </xdr:to>
    <xdr:cxnSp macro="_xll.PtreeEvent_ObjectClick">
      <xdr:nvCxnSpPr>
        <xdr:cNvPr id="3182" name="PTObj_DBranchDLine_1_793">
          <a:extLst>
            <a:ext uri="{FF2B5EF4-FFF2-40B4-BE49-F238E27FC236}">
              <a16:creationId xmlns:a16="http://schemas.microsoft.com/office/drawing/2014/main" id="{24DDCEFD-C39F-4045-8475-B0ADDCB675A9}"/>
            </a:ext>
          </a:extLst>
        </xdr:cNvPr>
        <xdr:cNvCxnSpPr/>
      </xdr:nvCxnSpPr>
      <xdr:spPr>
        <a:xfrm>
          <a:off x="18578320" y="2896651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1600</xdr:row>
      <xdr:rowOff>116830</xdr:rowOff>
    </xdr:from>
    <xdr:to>
      <xdr:col>9</xdr:col>
      <xdr:colOff>1392681</xdr:colOff>
      <xdr:row>1600</xdr:row>
      <xdr:rowOff>116830</xdr:rowOff>
    </xdr:to>
    <xdr:cxnSp macro="_xll.PtreeEvent_ObjectClick">
      <xdr:nvCxnSpPr>
        <xdr:cNvPr id="3179" name="PTObj_DBranchHLine_1_792">
          <a:extLst>
            <a:ext uri="{FF2B5EF4-FFF2-40B4-BE49-F238E27FC236}">
              <a16:creationId xmlns:a16="http://schemas.microsoft.com/office/drawing/2014/main" id="{3D4141F7-B674-43C7-B0E2-B969411619D2}"/>
            </a:ext>
          </a:extLst>
        </xdr:cNvPr>
        <xdr:cNvCxnSpPr/>
      </xdr:nvCxnSpPr>
      <xdr:spPr>
        <a:xfrm>
          <a:off x="17306734" y="289676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1598</xdr:row>
      <xdr:rowOff>104130</xdr:rowOff>
    </xdr:from>
    <xdr:to>
      <xdr:col>9</xdr:col>
      <xdr:colOff>209359</xdr:colOff>
      <xdr:row>1600</xdr:row>
      <xdr:rowOff>116830</xdr:rowOff>
    </xdr:to>
    <xdr:cxnSp macro="_xll.PtreeEvent_ObjectClick">
      <xdr:nvCxnSpPr>
        <xdr:cNvPr id="3178" name="PTObj_DBranchDLine_1_792">
          <a:extLst>
            <a:ext uri="{FF2B5EF4-FFF2-40B4-BE49-F238E27FC236}">
              <a16:creationId xmlns:a16="http://schemas.microsoft.com/office/drawing/2014/main" id="{2442DB51-1183-4BFF-9D52-1434B25402C4}"/>
            </a:ext>
          </a:extLst>
        </xdr:cNvPr>
        <xdr:cNvCxnSpPr/>
      </xdr:nvCxnSpPr>
      <xdr:spPr>
        <a:xfrm>
          <a:off x="17154334" y="289302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1598</xdr:row>
      <xdr:rowOff>113035</xdr:rowOff>
    </xdr:from>
    <xdr:to>
      <xdr:col>8</xdr:col>
      <xdr:colOff>1398397</xdr:colOff>
      <xdr:row>1598</xdr:row>
      <xdr:rowOff>113035</xdr:rowOff>
    </xdr:to>
    <xdr:cxnSp macro="_xll.PtreeEvent_ObjectClick">
      <xdr:nvCxnSpPr>
        <xdr:cNvPr id="3175" name="PTObj_DBranchHLine_1_791">
          <a:extLst>
            <a:ext uri="{FF2B5EF4-FFF2-40B4-BE49-F238E27FC236}">
              <a16:creationId xmlns:a16="http://schemas.microsoft.com/office/drawing/2014/main" id="{782E19CC-1533-496E-BE6F-866DDF114C4F}"/>
            </a:ext>
          </a:extLst>
        </xdr:cNvPr>
        <xdr:cNvCxnSpPr/>
      </xdr:nvCxnSpPr>
      <xdr:spPr>
        <a:xfrm>
          <a:off x="15884652" y="289311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1598</xdr:row>
      <xdr:rowOff>113035</xdr:rowOff>
    </xdr:from>
    <xdr:to>
      <xdr:col>8</xdr:col>
      <xdr:colOff>216027</xdr:colOff>
      <xdr:row>1606</xdr:row>
      <xdr:rowOff>123205</xdr:rowOff>
    </xdr:to>
    <xdr:cxnSp macro="_xll.PtreeEvent_ObjectClick">
      <xdr:nvCxnSpPr>
        <xdr:cNvPr id="3174" name="PTObj_DBranchDLine_1_791">
          <a:extLst>
            <a:ext uri="{FF2B5EF4-FFF2-40B4-BE49-F238E27FC236}">
              <a16:creationId xmlns:a16="http://schemas.microsoft.com/office/drawing/2014/main" id="{277E8FC3-4548-428F-93DB-0DA20F129919}"/>
            </a:ext>
          </a:extLst>
        </xdr:cNvPr>
        <xdr:cNvCxnSpPr/>
      </xdr:nvCxnSpPr>
      <xdr:spPr>
        <a:xfrm flipV="1">
          <a:off x="15732252" y="2893110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1606</xdr:row>
      <xdr:rowOff>128265</xdr:rowOff>
    </xdr:from>
    <xdr:to>
      <xdr:col>7</xdr:col>
      <xdr:colOff>1402207</xdr:colOff>
      <xdr:row>1606</xdr:row>
      <xdr:rowOff>128265</xdr:rowOff>
    </xdr:to>
    <xdr:cxnSp macro="_xll.PtreeEvent_ObjectClick">
      <xdr:nvCxnSpPr>
        <xdr:cNvPr id="3171" name="PTObj_DBranchHLine_1_795">
          <a:extLst>
            <a:ext uri="{FF2B5EF4-FFF2-40B4-BE49-F238E27FC236}">
              <a16:creationId xmlns:a16="http://schemas.microsoft.com/office/drawing/2014/main" id="{BADC83A3-1EAD-4AE6-93D5-63BD4695730E}"/>
            </a:ext>
          </a:extLst>
        </xdr:cNvPr>
        <xdr:cNvCxnSpPr/>
      </xdr:nvCxnSpPr>
      <xdr:spPr>
        <a:xfrm>
          <a:off x="14460665" y="2907741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1596</xdr:row>
      <xdr:rowOff>106065</xdr:rowOff>
    </xdr:from>
    <xdr:to>
      <xdr:col>7</xdr:col>
      <xdr:colOff>220790</xdr:colOff>
      <xdr:row>1606</xdr:row>
      <xdr:rowOff>128265</xdr:rowOff>
    </xdr:to>
    <xdr:cxnSp macro="_xll.PtreeEvent_ObjectClick">
      <xdr:nvCxnSpPr>
        <xdr:cNvPr id="3170" name="PTObj_DBranchDLine_1_795">
          <a:extLst>
            <a:ext uri="{FF2B5EF4-FFF2-40B4-BE49-F238E27FC236}">
              <a16:creationId xmlns:a16="http://schemas.microsoft.com/office/drawing/2014/main" id="{9CE07C3B-8598-4068-AF2F-265A55F72B2C}"/>
            </a:ext>
          </a:extLst>
        </xdr:cNvPr>
        <xdr:cNvCxnSpPr/>
      </xdr:nvCxnSpPr>
      <xdr:spPr>
        <a:xfrm>
          <a:off x="14308265" y="2889421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1594</xdr:row>
      <xdr:rowOff>105420</xdr:rowOff>
    </xdr:from>
    <xdr:to>
      <xdr:col>11</xdr:col>
      <xdr:colOff>1386967</xdr:colOff>
      <xdr:row>1594</xdr:row>
      <xdr:rowOff>105420</xdr:rowOff>
    </xdr:to>
    <xdr:cxnSp macro="_xll.PtreeEvent_ObjectClick">
      <xdr:nvCxnSpPr>
        <xdr:cNvPr id="3167" name="PTObj_DBranchHLine_1_789">
          <a:extLst>
            <a:ext uri="{FF2B5EF4-FFF2-40B4-BE49-F238E27FC236}">
              <a16:creationId xmlns:a16="http://schemas.microsoft.com/office/drawing/2014/main" id="{46025199-C04C-413F-ACDA-C2422798EC5F}"/>
            </a:ext>
          </a:extLst>
        </xdr:cNvPr>
        <xdr:cNvCxnSpPr/>
      </xdr:nvCxnSpPr>
      <xdr:spPr>
        <a:xfrm>
          <a:off x="20149945" y="288579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1592</xdr:row>
      <xdr:rowOff>99392</xdr:rowOff>
    </xdr:from>
    <xdr:to>
      <xdr:col>11</xdr:col>
      <xdr:colOff>195070</xdr:colOff>
      <xdr:row>1594</xdr:row>
      <xdr:rowOff>105420</xdr:rowOff>
    </xdr:to>
    <xdr:cxnSp macro="_xll.PtreeEvent_ObjectClick">
      <xdr:nvCxnSpPr>
        <xdr:cNvPr id="3166" name="PTObj_DBranchDLine_1_789">
          <a:extLst>
            <a:ext uri="{FF2B5EF4-FFF2-40B4-BE49-F238E27FC236}">
              <a16:creationId xmlns:a16="http://schemas.microsoft.com/office/drawing/2014/main" id="{AAC18DB8-802A-4F95-B5D6-01E3D9DC73FA}"/>
            </a:ext>
          </a:extLst>
        </xdr:cNvPr>
        <xdr:cNvCxnSpPr/>
      </xdr:nvCxnSpPr>
      <xdr:spPr>
        <a:xfrm>
          <a:off x="19997545" y="2882115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1592</xdr:row>
      <xdr:rowOff>101600</xdr:rowOff>
    </xdr:from>
    <xdr:to>
      <xdr:col>10</xdr:col>
      <xdr:colOff>1388870</xdr:colOff>
      <xdr:row>1592</xdr:row>
      <xdr:rowOff>101600</xdr:rowOff>
    </xdr:to>
    <xdr:cxnSp macro="_xll.PtreeEvent_ObjectClick">
      <xdr:nvCxnSpPr>
        <xdr:cNvPr id="3163" name="PTObj_DBranchHLine_1_788">
          <a:extLst>
            <a:ext uri="{FF2B5EF4-FFF2-40B4-BE49-F238E27FC236}">
              <a16:creationId xmlns:a16="http://schemas.microsoft.com/office/drawing/2014/main" id="{47AF7CA7-97C6-4126-8004-A6F44D851F67}"/>
            </a:ext>
          </a:extLst>
        </xdr:cNvPr>
        <xdr:cNvCxnSpPr/>
      </xdr:nvCxnSpPr>
      <xdr:spPr>
        <a:xfrm>
          <a:off x="18730720" y="288213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1590</xdr:row>
      <xdr:rowOff>97458</xdr:rowOff>
    </xdr:from>
    <xdr:to>
      <xdr:col>10</xdr:col>
      <xdr:colOff>204595</xdr:colOff>
      <xdr:row>1592</xdr:row>
      <xdr:rowOff>101600</xdr:rowOff>
    </xdr:to>
    <xdr:cxnSp macro="_xll.PtreeEvent_ObjectClick">
      <xdr:nvCxnSpPr>
        <xdr:cNvPr id="3162" name="PTObj_DBranchDLine_1_788">
          <a:extLst>
            <a:ext uri="{FF2B5EF4-FFF2-40B4-BE49-F238E27FC236}">
              <a16:creationId xmlns:a16="http://schemas.microsoft.com/office/drawing/2014/main" id="{D001FACB-96DC-4B41-96D5-D2190A97329A}"/>
            </a:ext>
          </a:extLst>
        </xdr:cNvPr>
        <xdr:cNvCxnSpPr/>
      </xdr:nvCxnSpPr>
      <xdr:spPr>
        <a:xfrm>
          <a:off x="18578320" y="287847708"/>
          <a:ext cx="152400" cy="3660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1590</xdr:row>
      <xdr:rowOff>97780</xdr:rowOff>
    </xdr:from>
    <xdr:to>
      <xdr:col>9</xdr:col>
      <xdr:colOff>1392681</xdr:colOff>
      <xdr:row>1590</xdr:row>
      <xdr:rowOff>97780</xdr:rowOff>
    </xdr:to>
    <xdr:cxnSp macro="_xll.PtreeEvent_ObjectClick">
      <xdr:nvCxnSpPr>
        <xdr:cNvPr id="3159" name="PTObj_DBranchHLine_1_787">
          <a:extLst>
            <a:ext uri="{FF2B5EF4-FFF2-40B4-BE49-F238E27FC236}">
              <a16:creationId xmlns:a16="http://schemas.microsoft.com/office/drawing/2014/main" id="{FD92C5A0-3FF3-4F38-84EA-220E83305F7C}"/>
            </a:ext>
          </a:extLst>
        </xdr:cNvPr>
        <xdr:cNvCxnSpPr/>
      </xdr:nvCxnSpPr>
      <xdr:spPr>
        <a:xfrm>
          <a:off x="17306734" y="287848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1588</xdr:row>
      <xdr:rowOff>91728</xdr:rowOff>
    </xdr:from>
    <xdr:to>
      <xdr:col>9</xdr:col>
      <xdr:colOff>209359</xdr:colOff>
      <xdr:row>1590</xdr:row>
      <xdr:rowOff>97780</xdr:rowOff>
    </xdr:to>
    <xdr:cxnSp macro="_xll.PtreeEvent_ObjectClick">
      <xdr:nvCxnSpPr>
        <xdr:cNvPr id="3158" name="PTObj_DBranchDLine_1_787">
          <a:extLst>
            <a:ext uri="{FF2B5EF4-FFF2-40B4-BE49-F238E27FC236}">
              <a16:creationId xmlns:a16="http://schemas.microsoft.com/office/drawing/2014/main" id="{3851BFEB-B9A7-4349-9233-4DA76B27B213}"/>
            </a:ext>
          </a:extLst>
        </xdr:cNvPr>
        <xdr:cNvCxnSpPr/>
      </xdr:nvCxnSpPr>
      <xdr:spPr>
        <a:xfrm>
          <a:off x="17154334" y="287480028"/>
          <a:ext cx="152400" cy="3680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1588</xdr:row>
      <xdr:rowOff>93985</xdr:rowOff>
    </xdr:from>
    <xdr:to>
      <xdr:col>8</xdr:col>
      <xdr:colOff>1398397</xdr:colOff>
      <xdr:row>1588</xdr:row>
      <xdr:rowOff>93985</xdr:rowOff>
    </xdr:to>
    <xdr:cxnSp macro="_xll.PtreeEvent_ObjectClick">
      <xdr:nvCxnSpPr>
        <xdr:cNvPr id="3155" name="PTObj_DBranchHLine_1_786">
          <a:extLst>
            <a:ext uri="{FF2B5EF4-FFF2-40B4-BE49-F238E27FC236}">
              <a16:creationId xmlns:a16="http://schemas.microsoft.com/office/drawing/2014/main" id="{E4A29A72-2BCC-4C3C-85D8-5E465C9F43DC}"/>
            </a:ext>
          </a:extLst>
        </xdr:cNvPr>
        <xdr:cNvCxnSpPr/>
      </xdr:nvCxnSpPr>
      <xdr:spPr>
        <a:xfrm>
          <a:off x="15888463" y="287482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1586</xdr:row>
      <xdr:rowOff>84138</xdr:rowOff>
    </xdr:from>
    <xdr:to>
      <xdr:col>8</xdr:col>
      <xdr:colOff>219838</xdr:colOff>
      <xdr:row>1588</xdr:row>
      <xdr:rowOff>93985</xdr:rowOff>
    </xdr:to>
    <xdr:cxnSp macro="_xll.PtreeEvent_ObjectClick">
      <xdr:nvCxnSpPr>
        <xdr:cNvPr id="3154" name="PTObj_DBranchDLine_1_786">
          <a:extLst>
            <a:ext uri="{FF2B5EF4-FFF2-40B4-BE49-F238E27FC236}">
              <a16:creationId xmlns:a16="http://schemas.microsoft.com/office/drawing/2014/main" id="{1206A2DD-8AE5-4626-8BAC-F447B343C7DC}"/>
            </a:ext>
          </a:extLst>
        </xdr:cNvPr>
        <xdr:cNvCxnSpPr/>
      </xdr:nvCxnSpPr>
      <xdr:spPr>
        <a:xfrm>
          <a:off x="15736063" y="287110488"/>
          <a:ext cx="152400" cy="37179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1584</xdr:row>
      <xdr:rowOff>86370</xdr:rowOff>
    </xdr:from>
    <xdr:to>
      <xdr:col>11</xdr:col>
      <xdr:colOff>1386967</xdr:colOff>
      <xdr:row>1584</xdr:row>
      <xdr:rowOff>86370</xdr:rowOff>
    </xdr:to>
    <xdr:cxnSp macro="_xll.PtreeEvent_ObjectClick">
      <xdr:nvCxnSpPr>
        <xdr:cNvPr id="3151" name="PTObj_DBranchHLine_1_784">
          <a:extLst>
            <a:ext uri="{FF2B5EF4-FFF2-40B4-BE49-F238E27FC236}">
              <a16:creationId xmlns:a16="http://schemas.microsoft.com/office/drawing/2014/main" id="{3EC2EB52-57B2-44DD-A289-20A637FEEC15}"/>
            </a:ext>
          </a:extLst>
        </xdr:cNvPr>
        <xdr:cNvCxnSpPr/>
      </xdr:nvCxnSpPr>
      <xdr:spPr>
        <a:xfrm>
          <a:off x="20149945" y="286750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1582</xdr:row>
      <xdr:rowOff>73670</xdr:rowOff>
    </xdr:from>
    <xdr:to>
      <xdr:col>11</xdr:col>
      <xdr:colOff>195070</xdr:colOff>
      <xdr:row>1584</xdr:row>
      <xdr:rowOff>86370</xdr:rowOff>
    </xdr:to>
    <xdr:cxnSp macro="_xll.PtreeEvent_ObjectClick">
      <xdr:nvCxnSpPr>
        <xdr:cNvPr id="3150" name="PTObj_DBranchDLine_1_784">
          <a:extLst>
            <a:ext uri="{FF2B5EF4-FFF2-40B4-BE49-F238E27FC236}">
              <a16:creationId xmlns:a16="http://schemas.microsoft.com/office/drawing/2014/main" id="{8E4E752D-B53E-4FC0-B866-AF69165BA516}"/>
            </a:ext>
          </a:extLst>
        </xdr:cNvPr>
        <xdr:cNvCxnSpPr/>
      </xdr:nvCxnSpPr>
      <xdr:spPr>
        <a:xfrm>
          <a:off x="19997545" y="286376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1582</xdr:row>
      <xdr:rowOff>82550</xdr:rowOff>
    </xdr:from>
    <xdr:to>
      <xdr:col>10</xdr:col>
      <xdr:colOff>1388870</xdr:colOff>
      <xdr:row>1582</xdr:row>
      <xdr:rowOff>82550</xdr:rowOff>
    </xdr:to>
    <xdr:cxnSp macro="_xll.PtreeEvent_ObjectClick">
      <xdr:nvCxnSpPr>
        <xdr:cNvPr id="3147" name="PTObj_DBranchHLine_1_783">
          <a:extLst>
            <a:ext uri="{FF2B5EF4-FFF2-40B4-BE49-F238E27FC236}">
              <a16:creationId xmlns:a16="http://schemas.microsoft.com/office/drawing/2014/main" id="{E4DB42AF-0B1F-40BF-AE97-5D504B65A123}"/>
            </a:ext>
          </a:extLst>
        </xdr:cNvPr>
        <xdr:cNvCxnSpPr/>
      </xdr:nvCxnSpPr>
      <xdr:spPr>
        <a:xfrm>
          <a:off x="18730720" y="286385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1580</xdr:row>
      <xdr:rowOff>77490</xdr:rowOff>
    </xdr:from>
    <xdr:to>
      <xdr:col>10</xdr:col>
      <xdr:colOff>204595</xdr:colOff>
      <xdr:row>1582</xdr:row>
      <xdr:rowOff>82550</xdr:rowOff>
    </xdr:to>
    <xdr:cxnSp macro="_xll.PtreeEvent_ObjectClick">
      <xdr:nvCxnSpPr>
        <xdr:cNvPr id="3146" name="PTObj_DBranchDLine_1_783">
          <a:extLst>
            <a:ext uri="{FF2B5EF4-FFF2-40B4-BE49-F238E27FC236}">
              <a16:creationId xmlns:a16="http://schemas.microsoft.com/office/drawing/2014/main" id="{29EB7385-FDF4-4841-B423-4F3E9D339443}"/>
            </a:ext>
          </a:extLst>
        </xdr:cNvPr>
        <xdr:cNvCxnSpPr/>
      </xdr:nvCxnSpPr>
      <xdr:spPr>
        <a:xfrm>
          <a:off x="18578320" y="286017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1580</xdr:row>
      <xdr:rowOff>78730</xdr:rowOff>
    </xdr:from>
    <xdr:to>
      <xdr:col>9</xdr:col>
      <xdr:colOff>1392681</xdr:colOff>
      <xdr:row>1580</xdr:row>
      <xdr:rowOff>78730</xdr:rowOff>
    </xdr:to>
    <xdr:cxnSp macro="_xll.PtreeEvent_ObjectClick">
      <xdr:nvCxnSpPr>
        <xdr:cNvPr id="3143" name="PTObj_DBranchHLine_1_782">
          <a:extLst>
            <a:ext uri="{FF2B5EF4-FFF2-40B4-BE49-F238E27FC236}">
              <a16:creationId xmlns:a16="http://schemas.microsoft.com/office/drawing/2014/main" id="{09B9CABC-8906-4491-BFA5-49B12E7FB607}"/>
            </a:ext>
          </a:extLst>
        </xdr:cNvPr>
        <xdr:cNvCxnSpPr/>
      </xdr:nvCxnSpPr>
      <xdr:spPr>
        <a:xfrm>
          <a:off x="17306734" y="286019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1578</xdr:row>
      <xdr:rowOff>73645</xdr:rowOff>
    </xdr:from>
    <xdr:to>
      <xdr:col>9</xdr:col>
      <xdr:colOff>209359</xdr:colOff>
      <xdr:row>1580</xdr:row>
      <xdr:rowOff>78730</xdr:rowOff>
    </xdr:to>
    <xdr:cxnSp macro="_xll.PtreeEvent_ObjectClick">
      <xdr:nvCxnSpPr>
        <xdr:cNvPr id="3142" name="PTObj_DBranchDLine_1_782">
          <a:extLst>
            <a:ext uri="{FF2B5EF4-FFF2-40B4-BE49-F238E27FC236}">
              <a16:creationId xmlns:a16="http://schemas.microsoft.com/office/drawing/2014/main" id="{0BDD151E-7E4C-4F68-8678-B82F133AE488}"/>
            </a:ext>
          </a:extLst>
        </xdr:cNvPr>
        <xdr:cNvCxnSpPr/>
      </xdr:nvCxnSpPr>
      <xdr:spPr>
        <a:xfrm>
          <a:off x="17154334" y="2856521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1578</xdr:row>
      <xdr:rowOff>74935</xdr:rowOff>
    </xdr:from>
    <xdr:to>
      <xdr:col>8</xdr:col>
      <xdr:colOff>1398397</xdr:colOff>
      <xdr:row>1578</xdr:row>
      <xdr:rowOff>74935</xdr:rowOff>
    </xdr:to>
    <xdr:cxnSp macro="_xll.PtreeEvent_ObjectClick">
      <xdr:nvCxnSpPr>
        <xdr:cNvPr id="3139" name="PTObj_DBranchHLine_1_781">
          <a:extLst>
            <a:ext uri="{FF2B5EF4-FFF2-40B4-BE49-F238E27FC236}">
              <a16:creationId xmlns:a16="http://schemas.microsoft.com/office/drawing/2014/main" id="{72397F7C-7B88-412E-8FDB-9F3C0AADC971}"/>
            </a:ext>
          </a:extLst>
        </xdr:cNvPr>
        <xdr:cNvCxnSpPr/>
      </xdr:nvCxnSpPr>
      <xdr:spPr>
        <a:xfrm>
          <a:off x="15884652" y="285653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1578</xdr:row>
      <xdr:rowOff>74935</xdr:rowOff>
    </xdr:from>
    <xdr:to>
      <xdr:col>8</xdr:col>
      <xdr:colOff>216027</xdr:colOff>
      <xdr:row>1586</xdr:row>
      <xdr:rowOff>84138</xdr:rowOff>
    </xdr:to>
    <xdr:cxnSp macro="_xll.PtreeEvent_ObjectClick">
      <xdr:nvCxnSpPr>
        <xdr:cNvPr id="3138" name="PTObj_DBranchDLine_1_781">
          <a:extLst>
            <a:ext uri="{FF2B5EF4-FFF2-40B4-BE49-F238E27FC236}">
              <a16:creationId xmlns:a16="http://schemas.microsoft.com/office/drawing/2014/main" id="{6FB43974-B427-4622-BB9B-72274D40E513}"/>
            </a:ext>
          </a:extLst>
        </xdr:cNvPr>
        <xdr:cNvCxnSpPr/>
      </xdr:nvCxnSpPr>
      <xdr:spPr>
        <a:xfrm flipV="1">
          <a:off x="15732252" y="285653485"/>
          <a:ext cx="152400" cy="14570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1586</xdr:row>
      <xdr:rowOff>90165</xdr:rowOff>
    </xdr:from>
    <xdr:to>
      <xdr:col>7</xdr:col>
      <xdr:colOff>1402207</xdr:colOff>
      <xdr:row>1586</xdr:row>
      <xdr:rowOff>90165</xdr:rowOff>
    </xdr:to>
    <xdr:cxnSp macro="_xll.PtreeEvent_ObjectClick">
      <xdr:nvCxnSpPr>
        <xdr:cNvPr id="3135" name="PTObj_DBranchHLine_1_785">
          <a:extLst>
            <a:ext uri="{FF2B5EF4-FFF2-40B4-BE49-F238E27FC236}">
              <a16:creationId xmlns:a16="http://schemas.microsoft.com/office/drawing/2014/main" id="{525B2FC1-7753-4543-B53B-BD079C3DEDB9}"/>
            </a:ext>
          </a:extLst>
        </xdr:cNvPr>
        <xdr:cNvCxnSpPr/>
      </xdr:nvCxnSpPr>
      <xdr:spPr>
        <a:xfrm>
          <a:off x="14462570" y="2871165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1586</xdr:row>
      <xdr:rowOff>90165</xdr:rowOff>
    </xdr:from>
    <xdr:to>
      <xdr:col>7</xdr:col>
      <xdr:colOff>222695</xdr:colOff>
      <xdr:row>1596</xdr:row>
      <xdr:rowOff>104155</xdr:rowOff>
    </xdr:to>
    <xdr:cxnSp macro="_xll.PtreeEvent_ObjectClick">
      <xdr:nvCxnSpPr>
        <xdr:cNvPr id="3134" name="PTObj_DBranchDLine_1_785">
          <a:extLst>
            <a:ext uri="{FF2B5EF4-FFF2-40B4-BE49-F238E27FC236}">
              <a16:creationId xmlns:a16="http://schemas.microsoft.com/office/drawing/2014/main" id="{6969AF5D-084D-45F1-9DC3-161C878CDFA4}"/>
            </a:ext>
          </a:extLst>
        </xdr:cNvPr>
        <xdr:cNvCxnSpPr/>
      </xdr:nvCxnSpPr>
      <xdr:spPr>
        <a:xfrm flipV="1">
          <a:off x="14310170" y="2871165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1596</xdr:row>
      <xdr:rowOff>109215</xdr:rowOff>
    </xdr:from>
    <xdr:to>
      <xdr:col>6</xdr:col>
      <xdr:colOff>1407922</xdr:colOff>
      <xdr:row>1596</xdr:row>
      <xdr:rowOff>109215</xdr:rowOff>
    </xdr:to>
    <xdr:cxnSp macro="_xll.PtreeEvent_ObjectClick">
      <xdr:nvCxnSpPr>
        <xdr:cNvPr id="3131" name="PTObj_DBranchHLine_1_790">
          <a:extLst>
            <a:ext uri="{FF2B5EF4-FFF2-40B4-BE49-F238E27FC236}">
              <a16:creationId xmlns:a16="http://schemas.microsoft.com/office/drawing/2014/main" id="{2D3AEC2C-A0D0-485A-B3B3-0C8C4E1F10A2}"/>
            </a:ext>
          </a:extLst>
        </xdr:cNvPr>
        <xdr:cNvCxnSpPr/>
      </xdr:nvCxnSpPr>
      <xdr:spPr>
        <a:xfrm>
          <a:off x="13036677" y="2889453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1576</xdr:row>
      <xdr:rowOff>69850</xdr:rowOff>
    </xdr:from>
    <xdr:to>
      <xdr:col>6</xdr:col>
      <xdr:colOff>225552</xdr:colOff>
      <xdr:row>1596</xdr:row>
      <xdr:rowOff>109215</xdr:rowOff>
    </xdr:to>
    <xdr:cxnSp macro="_xll.PtreeEvent_ObjectClick">
      <xdr:nvCxnSpPr>
        <xdr:cNvPr id="3130" name="PTObj_DBranchDLine_1_790">
          <a:extLst>
            <a:ext uri="{FF2B5EF4-FFF2-40B4-BE49-F238E27FC236}">
              <a16:creationId xmlns:a16="http://schemas.microsoft.com/office/drawing/2014/main" id="{65707909-777F-4079-AD75-BA9304495AF7}"/>
            </a:ext>
          </a:extLst>
        </xdr:cNvPr>
        <xdr:cNvCxnSpPr/>
      </xdr:nvCxnSpPr>
      <xdr:spPr>
        <a:xfrm>
          <a:off x="12884276" y="285286450"/>
          <a:ext cx="152401" cy="36588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1574</xdr:row>
      <xdr:rowOff>67320</xdr:rowOff>
    </xdr:from>
    <xdr:to>
      <xdr:col>11</xdr:col>
      <xdr:colOff>1386015</xdr:colOff>
      <xdr:row>1574</xdr:row>
      <xdr:rowOff>67320</xdr:rowOff>
    </xdr:to>
    <xdr:cxnSp macro="_xll.PtreeEvent_ObjectClick">
      <xdr:nvCxnSpPr>
        <xdr:cNvPr id="3127" name="PTObj_DBranchHLine_1_779">
          <a:extLst>
            <a:ext uri="{FF2B5EF4-FFF2-40B4-BE49-F238E27FC236}">
              <a16:creationId xmlns:a16="http://schemas.microsoft.com/office/drawing/2014/main" id="{8222EC36-F815-48E7-9DDF-077C92536E3D}"/>
            </a:ext>
          </a:extLst>
        </xdr:cNvPr>
        <xdr:cNvCxnSpPr/>
      </xdr:nvCxnSpPr>
      <xdr:spPr>
        <a:xfrm>
          <a:off x="20149945" y="284921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1572</xdr:row>
      <xdr:rowOff>58440</xdr:rowOff>
    </xdr:from>
    <xdr:to>
      <xdr:col>11</xdr:col>
      <xdr:colOff>195070</xdr:colOff>
      <xdr:row>1574</xdr:row>
      <xdr:rowOff>67320</xdr:rowOff>
    </xdr:to>
    <xdr:cxnSp macro="_xll.PtreeEvent_ObjectClick">
      <xdr:nvCxnSpPr>
        <xdr:cNvPr id="3126" name="PTObj_DBranchDLine_1_779">
          <a:extLst>
            <a:ext uri="{FF2B5EF4-FFF2-40B4-BE49-F238E27FC236}">
              <a16:creationId xmlns:a16="http://schemas.microsoft.com/office/drawing/2014/main" id="{1E684CEC-CB16-4457-96EA-5BBCF8762BF8}"/>
            </a:ext>
          </a:extLst>
        </xdr:cNvPr>
        <xdr:cNvCxnSpPr/>
      </xdr:nvCxnSpPr>
      <xdr:spPr>
        <a:xfrm>
          <a:off x="19997545" y="284551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1572</xdr:row>
      <xdr:rowOff>63500</xdr:rowOff>
    </xdr:from>
    <xdr:to>
      <xdr:col>10</xdr:col>
      <xdr:colOff>1388870</xdr:colOff>
      <xdr:row>1572</xdr:row>
      <xdr:rowOff>63500</xdr:rowOff>
    </xdr:to>
    <xdr:cxnSp macro="_xll.PtreeEvent_ObjectClick">
      <xdr:nvCxnSpPr>
        <xdr:cNvPr id="3123" name="PTObj_DBranchHLine_1_778">
          <a:extLst>
            <a:ext uri="{FF2B5EF4-FFF2-40B4-BE49-F238E27FC236}">
              <a16:creationId xmlns:a16="http://schemas.microsoft.com/office/drawing/2014/main" id="{1196690C-2E47-46AF-81A9-83ABBBA27531}"/>
            </a:ext>
          </a:extLst>
        </xdr:cNvPr>
        <xdr:cNvCxnSpPr/>
      </xdr:nvCxnSpPr>
      <xdr:spPr>
        <a:xfrm>
          <a:off x="18730720" y="284556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1570</xdr:row>
      <xdr:rowOff>54620</xdr:rowOff>
    </xdr:from>
    <xdr:to>
      <xdr:col>10</xdr:col>
      <xdr:colOff>204595</xdr:colOff>
      <xdr:row>1572</xdr:row>
      <xdr:rowOff>63500</xdr:rowOff>
    </xdr:to>
    <xdr:cxnSp macro="_xll.PtreeEvent_ObjectClick">
      <xdr:nvCxnSpPr>
        <xdr:cNvPr id="3122" name="PTObj_DBranchDLine_1_778">
          <a:extLst>
            <a:ext uri="{FF2B5EF4-FFF2-40B4-BE49-F238E27FC236}">
              <a16:creationId xmlns:a16="http://schemas.microsoft.com/office/drawing/2014/main" id="{1D606EB1-808E-416E-BAB2-B833342F90B8}"/>
            </a:ext>
          </a:extLst>
        </xdr:cNvPr>
        <xdr:cNvCxnSpPr/>
      </xdr:nvCxnSpPr>
      <xdr:spPr>
        <a:xfrm>
          <a:off x="18578320" y="284185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1570</xdr:row>
      <xdr:rowOff>59680</xdr:rowOff>
    </xdr:from>
    <xdr:to>
      <xdr:col>9</xdr:col>
      <xdr:colOff>1392681</xdr:colOff>
      <xdr:row>1570</xdr:row>
      <xdr:rowOff>59680</xdr:rowOff>
    </xdr:to>
    <xdr:cxnSp macro="_xll.PtreeEvent_ObjectClick">
      <xdr:nvCxnSpPr>
        <xdr:cNvPr id="3119" name="PTObj_DBranchHLine_1_777">
          <a:extLst>
            <a:ext uri="{FF2B5EF4-FFF2-40B4-BE49-F238E27FC236}">
              <a16:creationId xmlns:a16="http://schemas.microsoft.com/office/drawing/2014/main" id="{48E25B16-E739-4960-96A4-93F9DA93560F}"/>
            </a:ext>
          </a:extLst>
        </xdr:cNvPr>
        <xdr:cNvCxnSpPr/>
      </xdr:nvCxnSpPr>
      <xdr:spPr>
        <a:xfrm>
          <a:off x="17306734" y="284190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1568</xdr:row>
      <xdr:rowOff>46980</xdr:rowOff>
    </xdr:from>
    <xdr:to>
      <xdr:col>9</xdr:col>
      <xdr:colOff>209359</xdr:colOff>
      <xdr:row>1570</xdr:row>
      <xdr:rowOff>59680</xdr:rowOff>
    </xdr:to>
    <xdr:cxnSp macro="_xll.PtreeEvent_ObjectClick">
      <xdr:nvCxnSpPr>
        <xdr:cNvPr id="3118" name="PTObj_DBranchDLine_1_777">
          <a:extLst>
            <a:ext uri="{FF2B5EF4-FFF2-40B4-BE49-F238E27FC236}">
              <a16:creationId xmlns:a16="http://schemas.microsoft.com/office/drawing/2014/main" id="{E410B824-93FC-43C0-8C38-41004D7B0842}"/>
            </a:ext>
          </a:extLst>
        </xdr:cNvPr>
        <xdr:cNvCxnSpPr/>
      </xdr:nvCxnSpPr>
      <xdr:spPr>
        <a:xfrm>
          <a:off x="17154334" y="283815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1568</xdr:row>
      <xdr:rowOff>55885</xdr:rowOff>
    </xdr:from>
    <xdr:to>
      <xdr:col>8</xdr:col>
      <xdr:colOff>1398397</xdr:colOff>
      <xdr:row>1568</xdr:row>
      <xdr:rowOff>55885</xdr:rowOff>
    </xdr:to>
    <xdr:cxnSp macro="_xll.PtreeEvent_ObjectClick">
      <xdr:nvCxnSpPr>
        <xdr:cNvPr id="3115" name="PTObj_DBranchHLine_1_776">
          <a:extLst>
            <a:ext uri="{FF2B5EF4-FFF2-40B4-BE49-F238E27FC236}">
              <a16:creationId xmlns:a16="http://schemas.microsoft.com/office/drawing/2014/main" id="{29ABF4F3-69C1-453B-8EF4-96DA9EBDC1AD}"/>
            </a:ext>
          </a:extLst>
        </xdr:cNvPr>
        <xdr:cNvCxnSpPr/>
      </xdr:nvCxnSpPr>
      <xdr:spPr>
        <a:xfrm>
          <a:off x="15888463" y="283824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1566</xdr:row>
      <xdr:rowOff>42242</xdr:rowOff>
    </xdr:from>
    <xdr:to>
      <xdr:col>8</xdr:col>
      <xdr:colOff>219838</xdr:colOff>
      <xdr:row>1568</xdr:row>
      <xdr:rowOff>55885</xdr:rowOff>
    </xdr:to>
    <xdr:cxnSp macro="_xll.PtreeEvent_ObjectClick">
      <xdr:nvCxnSpPr>
        <xdr:cNvPr id="3114" name="PTObj_DBranchDLine_1_776">
          <a:extLst>
            <a:ext uri="{FF2B5EF4-FFF2-40B4-BE49-F238E27FC236}">
              <a16:creationId xmlns:a16="http://schemas.microsoft.com/office/drawing/2014/main" id="{96997970-4AA6-4AC2-8D08-6AC48756FA77}"/>
            </a:ext>
          </a:extLst>
        </xdr:cNvPr>
        <xdr:cNvCxnSpPr/>
      </xdr:nvCxnSpPr>
      <xdr:spPr>
        <a:xfrm>
          <a:off x="15736063" y="2834490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1564</xdr:row>
      <xdr:rowOff>48270</xdr:rowOff>
    </xdr:from>
    <xdr:to>
      <xdr:col>11</xdr:col>
      <xdr:colOff>1386967</xdr:colOff>
      <xdr:row>1564</xdr:row>
      <xdr:rowOff>48270</xdr:rowOff>
    </xdr:to>
    <xdr:cxnSp macro="_xll.PtreeEvent_ObjectClick">
      <xdr:nvCxnSpPr>
        <xdr:cNvPr id="3111" name="PTObj_DBranchHLine_1_774">
          <a:extLst>
            <a:ext uri="{FF2B5EF4-FFF2-40B4-BE49-F238E27FC236}">
              <a16:creationId xmlns:a16="http://schemas.microsoft.com/office/drawing/2014/main" id="{2F465775-3306-4378-A67B-E3DEEF1C9C13}"/>
            </a:ext>
          </a:extLst>
        </xdr:cNvPr>
        <xdr:cNvCxnSpPr/>
      </xdr:nvCxnSpPr>
      <xdr:spPr>
        <a:xfrm>
          <a:off x="20149945" y="283093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1562</xdr:row>
      <xdr:rowOff>35570</xdr:rowOff>
    </xdr:from>
    <xdr:to>
      <xdr:col>11</xdr:col>
      <xdr:colOff>195070</xdr:colOff>
      <xdr:row>1564</xdr:row>
      <xdr:rowOff>48270</xdr:rowOff>
    </xdr:to>
    <xdr:cxnSp macro="_xll.PtreeEvent_ObjectClick">
      <xdr:nvCxnSpPr>
        <xdr:cNvPr id="3110" name="PTObj_DBranchDLine_1_774">
          <a:extLst>
            <a:ext uri="{FF2B5EF4-FFF2-40B4-BE49-F238E27FC236}">
              <a16:creationId xmlns:a16="http://schemas.microsoft.com/office/drawing/2014/main" id="{5FCA4E5B-F2E8-428B-A94F-DEA9451F679C}"/>
            </a:ext>
          </a:extLst>
        </xdr:cNvPr>
        <xdr:cNvCxnSpPr/>
      </xdr:nvCxnSpPr>
      <xdr:spPr>
        <a:xfrm>
          <a:off x="19997545" y="282718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1562</xdr:row>
      <xdr:rowOff>44450</xdr:rowOff>
    </xdr:from>
    <xdr:to>
      <xdr:col>10</xdr:col>
      <xdr:colOff>1388870</xdr:colOff>
      <xdr:row>1562</xdr:row>
      <xdr:rowOff>44450</xdr:rowOff>
    </xdr:to>
    <xdr:cxnSp macro="_xll.PtreeEvent_ObjectClick">
      <xdr:nvCxnSpPr>
        <xdr:cNvPr id="3107" name="PTObj_DBranchHLine_1_773">
          <a:extLst>
            <a:ext uri="{FF2B5EF4-FFF2-40B4-BE49-F238E27FC236}">
              <a16:creationId xmlns:a16="http://schemas.microsoft.com/office/drawing/2014/main" id="{0CBA8D44-F05E-4E7B-891B-57B87E53C919}"/>
            </a:ext>
          </a:extLst>
        </xdr:cNvPr>
        <xdr:cNvCxnSpPr/>
      </xdr:nvCxnSpPr>
      <xdr:spPr>
        <a:xfrm>
          <a:off x="18730720" y="282727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1560</xdr:row>
      <xdr:rowOff>39390</xdr:rowOff>
    </xdr:from>
    <xdr:to>
      <xdr:col>10</xdr:col>
      <xdr:colOff>204595</xdr:colOff>
      <xdr:row>1562</xdr:row>
      <xdr:rowOff>44450</xdr:rowOff>
    </xdr:to>
    <xdr:cxnSp macro="_xll.PtreeEvent_ObjectClick">
      <xdr:nvCxnSpPr>
        <xdr:cNvPr id="3106" name="PTObj_DBranchDLine_1_773">
          <a:extLst>
            <a:ext uri="{FF2B5EF4-FFF2-40B4-BE49-F238E27FC236}">
              <a16:creationId xmlns:a16="http://schemas.microsoft.com/office/drawing/2014/main" id="{A70C9672-36F8-4C11-A1A1-B9790197E9B5}"/>
            </a:ext>
          </a:extLst>
        </xdr:cNvPr>
        <xdr:cNvCxnSpPr/>
      </xdr:nvCxnSpPr>
      <xdr:spPr>
        <a:xfrm>
          <a:off x="18578320" y="282360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1560</xdr:row>
      <xdr:rowOff>40630</xdr:rowOff>
    </xdr:from>
    <xdr:to>
      <xdr:col>9</xdr:col>
      <xdr:colOff>1392681</xdr:colOff>
      <xdr:row>1560</xdr:row>
      <xdr:rowOff>40630</xdr:rowOff>
    </xdr:to>
    <xdr:cxnSp macro="_xll.PtreeEvent_ObjectClick">
      <xdr:nvCxnSpPr>
        <xdr:cNvPr id="3103" name="PTObj_DBranchHLine_1_772">
          <a:extLst>
            <a:ext uri="{FF2B5EF4-FFF2-40B4-BE49-F238E27FC236}">
              <a16:creationId xmlns:a16="http://schemas.microsoft.com/office/drawing/2014/main" id="{DA4124A2-A4D8-406F-BC09-BAFE87B740DE}"/>
            </a:ext>
          </a:extLst>
        </xdr:cNvPr>
        <xdr:cNvCxnSpPr/>
      </xdr:nvCxnSpPr>
      <xdr:spPr>
        <a:xfrm>
          <a:off x="17306734" y="282361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1558</xdr:row>
      <xdr:rowOff>35545</xdr:rowOff>
    </xdr:from>
    <xdr:to>
      <xdr:col>9</xdr:col>
      <xdr:colOff>209359</xdr:colOff>
      <xdr:row>1560</xdr:row>
      <xdr:rowOff>40630</xdr:rowOff>
    </xdr:to>
    <xdr:cxnSp macro="_xll.PtreeEvent_ObjectClick">
      <xdr:nvCxnSpPr>
        <xdr:cNvPr id="3102" name="PTObj_DBranchDLine_1_772">
          <a:extLst>
            <a:ext uri="{FF2B5EF4-FFF2-40B4-BE49-F238E27FC236}">
              <a16:creationId xmlns:a16="http://schemas.microsoft.com/office/drawing/2014/main" id="{71DFA517-709B-4E89-868C-945E25F67582}"/>
            </a:ext>
          </a:extLst>
        </xdr:cNvPr>
        <xdr:cNvCxnSpPr/>
      </xdr:nvCxnSpPr>
      <xdr:spPr>
        <a:xfrm>
          <a:off x="17154334" y="2819945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1558</xdr:row>
      <xdr:rowOff>36835</xdr:rowOff>
    </xdr:from>
    <xdr:to>
      <xdr:col>8</xdr:col>
      <xdr:colOff>1398397</xdr:colOff>
      <xdr:row>1558</xdr:row>
      <xdr:rowOff>36835</xdr:rowOff>
    </xdr:to>
    <xdr:cxnSp macro="_xll.PtreeEvent_ObjectClick">
      <xdr:nvCxnSpPr>
        <xdr:cNvPr id="3099" name="PTObj_DBranchHLine_1_771">
          <a:extLst>
            <a:ext uri="{FF2B5EF4-FFF2-40B4-BE49-F238E27FC236}">
              <a16:creationId xmlns:a16="http://schemas.microsoft.com/office/drawing/2014/main" id="{20E22B96-9DA9-4113-869B-2F2D5ED23AE2}"/>
            </a:ext>
          </a:extLst>
        </xdr:cNvPr>
        <xdr:cNvCxnSpPr/>
      </xdr:nvCxnSpPr>
      <xdr:spPr>
        <a:xfrm>
          <a:off x="15884652" y="281995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1558</xdr:row>
      <xdr:rowOff>36835</xdr:rowOff>
    </xdr:from>
    <xdr:to>
      <xdr:col>8</xdr:col>
      <xdr:colOff>216027</xdr:colOff>
      <xdr:row>1566</xdr:row>
      <xdr:rowOff>42242</xdr:rowOff>
    </xdr:to>
    <xdr:cxnSp macro="_xll.PtreeEvent_ObjectClick">
      <xdr:nvCxnSpPr>
        <xdr:cNvPr id="3098" name="PTObj_DBranchDLine_1_771">
          <a:extLst>
            <a:ext uri="{FF2B5EF4-FFF2-40B4-BE49-F238E27FC236}">
              <a16:creationId xmlns:a16="http://schemas.microsoft.com/office/drawing/2014/main" id="{BFB426DF-1E16-444B-B13B-09451A968980}"/>
            </a:ext>
          </a:extLst>
        </xdr:cNvPr>
        <xdr:cNvCxnSpPr/>
      </xdr:nvCxnSpPr>
      <xdr:spPr>
        <a:xfrm flipV="1">
          <a:off x="15732252" y="2819958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1566</xdr:row>
      <xdr:rowOff>52065</xdr:rowOff>
    </xdr:from>
    <xdr:to>
      <xdr:col>7</xdr:col>
      <xdr:colOff>1402207</xdr:colOff>
      <xdr:row>1566</xdr:row>
      <xdr:rowOff>52065</xdr:rowOff>
    </xdr:to>
    <xdr:cxnSp macro="_xll.PtreeEvent_ObjectClick">
      <xdr:nvCxnSpPr>
        <xdr:cNvPr id="3095" name="PTObj_DBranchHLine_1_775">
          <a:extLst>
            <a:ext uri="{FF2B5EF4-FFF2-40B4-BE49-F238E27FC236}">
              <a16:creationId xmlns:a16="http://schemas.microsoft.com/office/drawing/2014/main" id="{9E24F31D-E839-4062-9518-7976894D0251}"/>
            </a:ext>
          </a:extLst>
        </xdr:cNvPr>
        <xdr:cNvCxnSpPr/>
      </xdr:nvCxnSpPr>
      <xdr:spPr>
        <a:xfrm>
          <a:off x="14460665" y="283458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1556</xdr:row>
      <xdr:rowOff>31750</xdr:rowOff>
    </xdr:from>
    <xdr:to>
      <xdr:col>7</xdr:col>
      <xdr:colOff>220790</xdr:colOff>
      <xdr:row>1566</xdr:row>
      <xdr:rowOff>52065</xdr:rowOff>
    </xdr:to>
    <xdr:cxnSp macro="_xll.PtreeEvent_ObjectClick">
      <xdr:nvCxnSpPr>
        <xdr:cNvPr id="3094" name="PTObj_DBranchDLine_1_775">
          <a:extLst>
            <a:ext uri="{FF2B5EF4-FFF2-40B4-BE49-F238E27FC236}">
              <a16:creationId xmlns:a16="http://schemas.microsoft.com/office/drawing/2014/main" id="{7B323705-7816-43D7-90B3-285251C27897}"/>
            </a:ext>
          </a:extLst>
        </xdr:cNvPr>
        <xdr:cNvCxnSpPr/>
      </xdr:nvCxnSpPr>
      <xdr:spPr>
        <a:xfrm>
          <a:off x="14308265" y="281628850"/>
          <a:ext cx="152400" cy="18300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1554</xdr:row>
      <xdr:rowOff>29220</xdr:rowOff>
    </xdr:from>
    <xdr:to>
      <xdr:col>11</xdr:col>
      <xdr:colOff>1386015</xdr:colOff>
      <xdr:row>1554</xdr:row>
      <xdr:rowOff>29220</xdr:rowOff>
    </xdr:to>
    <xdr:cxnSp macro="_xll.PtreeEvent_ObjectClick">
      <xdr:nvCxnSpPr>
        <xdr:cNvPr id="3091" name="PTObj_DBranchHLine_1_769">
          <a:extLst>
            <a:ext uri="{FF2B5EF4-FFF2-40B4-BE49-F238E27FC236}">
              <a16:creationId xmlns:a16="http://schemas.microsoft.com/office/drawing/2014/main" id="{51F422D7-AFBE-4D76-9A74-372267D9FF0B}"/>
            </a:ext>
          </a:extLst>
        </xdr:cNvPr>
        <xdr:cNvCxnSpPr/>
      </xdr:nvCxnSpPr>
      <xdr:spPr>
        <a:xfrm>
          <a:off x="20149945" y="281264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1552</xdr:row>
      <xdr:rowOff>20340</xdr:rowOff>
    </xdr:from>
    <xdr:to>
      <xdr:col>11</xdr:col>
      <xdr:colOff>195070</xdr:colOff>
      <xdr:row>1554</xdr:row>
      <xdr:rowOff>29220</xdr:rowOff>
    </xdr:to>
    <xdr:cxnSp macro="_xll.PtreeEvent_ObjectClick">
      <xdr:nvCxnSpPr>
        <xdr:cNvPr id="3090" name="PTObj_DBranchDLine_1_769">
          <a:extLst>
            <a:ext uri="{FF2B5EF4-FFF2-40B4-BE49-F238E27FC236}">
              <a16:creationId xmlns:a16="http://schemas.microsoft.com/office/drawing/2014/main" id="{D110141E-4643-4D85-822D-9CC4BD87B878}"/>
            </a:ext>
          </a:extLst>
        </xdr:cNvPr>
        <xdr:cNvCxnSpPr/>
      </xdr:nvCxnSpPr>
      <xdr:spPr>
        <a:xfrm>
          <a:off x="19997545" y="280893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1552</xdr:row>
      <xdr:rowOff>25400</xdr:rowOff>
    </xdr:from>
    <xdr:to>
      <xdr:col>10</xdr:col>
      <xdr:colOff>1388870</xdr:colOff>
      <xdr:row>1552</xdr:row>
      <xdr:rowOff>25400</xdr:rowOff>
    </xdr:to>
    <xdr:cxnSp macro="_xll.PtreeEvent_ObjectClick">
      <xdr:nvCxnSpPr>
        <xdr:cNvPr id="3087" name="PTObj_DBranchHLine_1_768">
          <a:extLst>
            <a:ext uri="{FF2B5EF4-FFF2-40B4-BE49-F238E27FC236}">
              <a16:creationId xmlns:a16="http://schemas.microsoft.com/office/drawing/2014/main" id="{36E71302-0592-4333-89B1-85385358CAFD}"/>
            </a:ext>
          </a:extLst>
        </xdr:cNvPr>
        <xdr:cNvCxnSpPr/>
      </xdr:nvCxnSpPr>
      <xdr:spPr>
        <a:xfrm>
          <a:off x="18730720" y="280898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1550</xdr:row>
      <xdr:rowOff>16520</xdr:rowOff>
    </xdr:from>
    <xdr:to>
      <xdr:col>10</xdr:col>
      <xdr:colOff>204595</xdr:colOff>
      <xdr:row>1552</xdr:row>
      <xdr:rowOff>25400</xdr:rowOff>
    </xdr:to>
    <xdr:cxnSp macro="_xll.PtreeEvent_ObjectClick">
      <xdr:nvCxnSpPr>
        <xdr:cNvPr id="3086" name="PTObj_DBranchDLine_1_768">
          <a:extLst>
            <a:ext uri="{FF2B5EF4-FFF2-40B4-BE49-F238E27FC236}">
              <a16:creationId xmlns:a16="http://schemas.microsoft.com/office/drawing/2014/main" id="{6CA1A98D-82C5-415D-B508-05F2E92704B1}"/>
            </a:ext>
          </a:extLst>
        </xdr:cNvPr>
        <xdr:cNvCxnSpPr/>
      </xdr:nvCxnSpPr>
      <xdr:spPr>
        <a:xfrm>
          <a:off x="18578320" y="280527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1550</xdr:row>
      <xdr:rowOff>21580</xdr:rowOff>
    </xdr:from>
    <xdr:to>
      <xdr:col>9</xdr:col>
      <xdr:colOff>1392681</xdr:colOff>
      <xdr:row>1550</xdr:row>
      <xdr:rowOff>21580</xdr:rowOff>
    </xdr:to>
    <xdr:cxnSp macro="_xll.PtreeEvent_ObjectClick">
      <xdr:nvCxnSpPr>
        <xdr:cNvPr id="3083" name="PTObj_DBranchHLine_1_767">
          <a:extLst>
            <a:ext uri="{FF2B5EF4-FFF2-40B4-BE49-F238E27FC236}">
              <a16:creationId xmlns:a16="http://schemas.microsoft.com/office/drawing/2014/main" id="{BE25D586-A7F1-4A58-8629-78B6630BD5A6}"/>
            </a:ext>
          </a:extLst>
        </xdr:cNvPr>
        <xdr:cNvCxnSpPr/>
      </xdr:nvCxnSpPr>
      <xdr:spPr>
        <a:xfrm>
          <a:off x="17306734" y="280532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1548</xdr:row>
      <xdr:rowOff>8880</xdr:rowOff>
    </xdr:from>
    <xdr:to>
      <xdr:col>9</xdr:col>
      <xdr:colOff>209359</xdr:colOff>
      <xdr:row>1550</xdr:row>
      <xdr:rowOff>21580</xdr:rowOff>
    </xdr:to>
    <xdr:cxnSp macro="_xll.PtreeEvent_ObjectClick">
      <xdr:nvCxnSpPr>
        <xdr:cNvPr id="3082" name="PTObj_DBranchDLine_1_767">
          <a:extLst>
            <a:ext uri="{FF2B5EF4-FFF2-40B4-BE49-F238E27FC236}">
              <a16:creationId xmlns:a16="http://schemas.microsoft.com/office/drawing/2014/main" id="{251F4A0B-0755-4D73-9C7E-BCEBBE23C545}"/>
            </a:ext>
          </a:extLst>
        </xdr:cNvPr>
        <xdr:cNvCxnSpPr/>
      </xdr:nvCxnSpPr>
      <xdr:spPr>
        <a:xfrm>
          <a:off x="17154334" y="2801581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1548</xdr:row>
      <xdr:rowOff>17785</xdr:rowOff>
    </xdr:from>
    <xdr:to>
      <xdr:col>8</xdr:col>
      <xdr:colOff>1398397</xdr:colOff>
      <xdr:row>1548</xdr:row>
      <xdr:rowOff>17785</xdr:rowOff>
    </xdr:to>
    <xdr:cxnSp macro="_xll.PtreeEvent_ObjectClick">
      <xdr:nvCxnSpPr>
        <xdr:cNvPr id="3079" name="PTObj_DBranchHLine_1_766">
          <a:extLst>
            <a:ext uri="{FF2B5EF4-FFF2-40B4-BE49-F238E27FC236}">
              <a16:creationId xmlns:a16="http://schemas.microsoft.com/office/drawing/2014/main" id="{7644F05B-964F-4484-B9CB-080923BF0E03}"/>
            </a:ext>
          </a:extLst>
        </xdr:cNvPr>
        <xdr:cNvCxnSpPr/>
      </xdr:nvCxnSpPr>
      <xdr:spPr>
        <a:xfrm>
          <a:off x="15888463" y="280167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1546</xdr:row>
      <xdr:rowOff>4142</xdr:rowOff>
    </xdr:from>
    <xdr:to>
      <xdr:col>8</xdr:col>
      <xdr:colOff>219838</xdr:colOff>
      <xdr:row>1548</xdr:row>
      <xdr:rowOff>17785</xdr:rowOff>
    </xdr:to>
    <xdr:cxnSp macro="_xll.PtreeEvent_ObjectClick">
      <xdr:nvCxnSpPr>
        <xdr:cNvPr id="3078" name="PTObj_DBranchDLine_1_766">
          <a:extLst>
            <a:ext uri="{FF2B5EF4-FFF2-40B4-BE49-F238E27FC236}">
              <a16:creationId xmlns:a16="http://schemas.microsoft.com/office/drawing/2014/main" id="{2B79DFB0-F5E9-4068-BC51-23F8D72BF419}"/>
            </a:ext>
          </a:extLst>
        </xdr:cNvPr>
        <xdr:cNvCxnSpPr/>
      </xdr:nvCxnSpPr>
      <xdr:spPr>
        <a:xfrm>
          <a:off x="15736063" y="2797914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1544</xdr:row>
      <xdr:rowOff>10170</xdr:rowOff>
    </xdr:from>
    <xdr:to>
      <xdr:col>11</xdr:col>
      <xdr:colOff>1386967</xdr:colOff>
      <xdr:row>1544</xdr:row>
      <xdr:rowOff>10170</xdr:rowOff>
    </xdr:to>
    <xdr:cxnSp macro="_xll.PtreeEvent_ObjectClick">
      <xdr:nvCxnSpPr>
        <xdr:cNvPr id="3075" name="PTObj_DBranchHLine_1_764">
          <a:extLst>
            <a:ext uri="{FF2B5EF4-FFF2-40B4-BE49-F238E27FC236}">
              <a16:creationId xmlns:a16="http://schemas.microsoft.com/office/drawing/2014/main" id="{F4916C99-27B3-4FE3-9136-002F144741E8}"/>
            </a:ext>
          </a:extLst>
        </xdr:cNvPr>
        <xdr:cNvCxnSpPr/>
      </xdr:nvCxnSpPr>
      <xdr:spPr>
        <a:xfrm>
          <a:off x="20149945" y="279435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1541</xdr:row>
      <xdr:rowOff>178445</xdr:rowOff>
    </xdr:from>
    <xdr:to>
      <xdr:col>11</xdr:col>
      <xdr:colOff>195070</xdr:colOff>
      <xdr:row>1544</xdr:row>
      <xdr:rowOff>10170</xdr:rowOff>
    </xdr:to>
    <xdr:cxnSp macro="_xll.PtreeEvent_ObjectClick">
      <xdr:nvCxnSpPr>
        <xdr:cNvPr id="3074" name="PTObj_DBranchDLine_1_764">
          <a:extLst>
            <a:ext uri="{FF2B5EF4-FFF2-40B4-BE49-F238E27FC236}">
              <a16:creationId xmlns:a16="http://schemas.microsoft.com/office/drawing/2014/main" id="{71C50AC4-58CC-47A4-8BCA-DBEA66CA4647}"/>
            </a:ext>
          </a:extLst>
        </xdr:cNvPr>
        <xdr:cNvCxnSpPr/>
      </xdr:nvCxnSpPr>
      <xdr:spPr>
        <a:xfrm>
          <a:off x="19997545" y="279060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1542</xdr:row>
      <xdr:rowOff>6350</xdr:rowOff>
    </xdr:from>
    <xdr:to>
      <xdr:col>10</xdr:col>
      <xdr:colOff>1388870</xdr:colOff>
      <xdr:row>1542</xdr:row>
      <xdr:rowOff>6350</xdr:rowOff>
    </xdr:to>
    <xdr:cxnSp macro="_xll.PtreeEvent_ObjectClick">
      <xdr:nvCxnSpPr>
        <xdr:cNvPr id="3071" name="PTObj_DBranchHLine_1_763">
          <a:extLst>
            <a:ext uri="{FF2B5EF4-FFF2-40B4-BE49-F238E27FC236}">
              <a16:creationId xmlns:a16="http://schemas.microsoft.com/office/drawing/2014/main" id="{256DD511-7E36-4C26-AA90-D974B7414A49}"/>
            </a:ext>
          </a:extLst>
        </xdr:cNvPr>
        <xdr:cNvCxnSpPr/>
      </xdr:nvCxnSpPr>
      <xdr:spPr>
        <a:xfrm>
          <a:off x="18730720" y="279069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1540</xdr:row>
      <xdr:rowOff>1290</xdr:rowOff>
    </xdr:from>
    <xdr:to>
      <xdr:col>10</xdr:col>
      <xdr:colOff>204595</xdr:colOff>
      <xdr:row>1542</xdr:row>
      <xdr:rowOff>6350</xdr:rowOff>
    </xdr:to>
    <xdr:cxnSp macro="_xll.PtreeEvent_ObjectClick">
      <xdr:nvCxnSpPr>
        <xdr:cNvPr id="3070" name="PTObj_DBranchDLine_1_763">
          <a:extLst>
            <a:ext uri="{FF2B5EF4-FFF2-40B4-BE49-F238E27FC236}">
              <a16:creationId xmlns:a16="http://schemas.microsoft.com/office/drawing/2014/main" id="{547FF101-F51A-44BA-91C1-0453AF98CF5C}"/>
            </a:ext>
          </a:extLst>
        </xdr:cNvPr>
        <xdr:cNvCxnSpPr/>
      </xdr:nvCxnSpPr>
      <xdr:spPr>
        <a:xfrm>
          <a:off x="18578320" y="278702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1540</xdr:row>
      <xdr:rowOff>2530</xdr:rowOff>
    </xdr:from>
    <xdr:to>
      <xdr:col>9</xdr:col>
      <xdr:colOff>1392681</xdr:colOff>
      <xdr:row>1540</xdr:row>
      <xdr:rowOff>2530</xdr:rowOff>
    </xdr:to>
    <xdr:cxnSp macro="_xll.PtreeEvent_ObjectClick">
      <xdr:nvCxnSpPr>
        <xdr:cNvPr id="3067" name="PTObj_DBranchHLine_1_762">
          <a:extLst>
            <a:ext uri="{FF2B5EF4-FFF2-40B4-BE49-F238E27FC236}">
              <a16:creationId xmlns:a16="http://schemas.microsoft.com/office/drawing/2014/main" id="{143E641B-A50E-45A7-908A-6E3758E388A6}"/>
            </a:ext>
          </a:extLst>
        </xdr:cNvPr>
        <xdr:cNvCxnSpPr/>
      </xdr:nvCxnSpPr>
      <xdr:spPr>
        <a:xfrm>
          <a:off x="17306734" y="278704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1537</xdr:row>
      <xdr:rowOff>178420</xdr:rowOff>
    </xdr:from>
    <xdr:to>
      <xdr:col>9</xdr:col>
      <xdr:colOff>209359</xdr:colOff>
      <xdr:row>1540</xdr:row>
      <xdr:rowOff>2530</xdr:rowOff>
    </xdr:to>
    <xdr:cxnSp macro="_xll.PtreeEvent_ObjectClick">
      <xdr:nvCxnSpPr>
        <xdr:cNvPr id="3066" name="PTObj_DBranchDLine_1_762">
          <a:extLst>
            <a:ext uri="{FF2B5EF4-FFF2-40B4-BE49-F238E27FC236}">
              <a16:creationId xmlns:a16="http://schemas.microsoft.com/office/drawing/2014/main" id="{D3B24071-F0D6-46F0-92CD-BF3E8F203D24}"/>
            </a:ext>
          </a:extLst>
        </xdr:cNvPr>
        <xdr:cNvCxnSpPr/>
      </xdr:nvCxnSpPr>
      <xdr:spPr>
        <a:xfrm>
          <a:off x="17154334" y="2783369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1537</xdr:row>
      <xdr:rowOff>179710</xdr:rowOff>
    </xdr:from>
    <xdr:to>
      <xdr:col>8</xdr:col>
      <xdr:colOff>1398397</xdr:colOff>
      <xdr:row>1537</xdr:row>
      <xdr:rowOff>179710</xdr:rowOff>
    </xdr:to>
    <xdr:cxnSp macro="_xll.PtreeEvent_ObjectClick">
      <xdr:nvCxnSpPr>
        <xdr:cNvPr id="3063" name="PTObj_DBranchHLine_1_761">
          <a:extLst>
            <a:ext uri="{FF2B5EF4-FFF2-40B4-BE49-F238E27FC236}">
              <a16:creationId xmlns:a16="http://schemas.microsoft.com/office/drawing/2014/main" id="{529718F6-7F03-4F4D-A871-E0FE293B8836}"/>
            </a:ext>
          </a:extLst>
        </xdr:cNvPr>
        <xdr:cNvCxnSpPr/>
      </xdr:nvCxnSpPr>
      <xdr:spPr>
        <a:xfrm>
          <a:off x="15884652" y="278338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1537</xdr:row>
      <xdr:rowOff>179710</xdr:rowOff>
    </xdr:from>
    <xdr:to>
      <xdr:col>8</xdr:col>
      <xdr:colOff>216027</xdr:colOff>
      <xdr:row>1546</xdr:row>
      <xdr:rowOff>4142</xdr:rowOff>
    </xdr:to>
    <xdr:cxnSp macro="_xll.PtreeEvent_ObjectClick">
      <xdr:nvCxnSpPr>
        <xdr:cNvPr id="3062" name="PTObj_DBranchDLine_1_761">
          <a:extLst>
            <a:ext uri="{FF2B5EF4-FFF2-40B4-BE49-F238E27FC236}">
              <a16:creationId xmlns:a16="http://schemas.microsoft.com/office/drawing/2014/main" id="{CE07067A-D615-453A-AC4D-0BC9111B2E30}"/>
            </a:ext>
          </a:extLst>
        </xdr:cNvPr>
        <xdr:cNvCxnSpPr/>
      </xdr:nvCxnSpPr>
      <xdr:spPr>
        <a:xfrm flipV="1">
          <a:off x="15732252" y="2783382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1546</xdr:row>
      <xdr:rowOff>13965</xdr:rowOff>
    </xdr:from>
    <xdr:to>
      <xdr:col>7</xdr:col>
      <xdr:colOff>1402207</xdr:colOff>
      <xdr:row>1546</xdr:row>
      <xdr:rowOff>13965</xdr:rowOff>
    </xdr:to>
    <xdr:cxnSp macro="_xll.PtreeEvent_ObjectClick">
      <xdr:nvCxnSpPr>
        <xdr:cNvPr id="3059" name="PTObj_DBranchHLine_1_765">
          <a:extLst>
            <a:ext uri="{FF2B5EF4-FFF2-40B4-BE49-F238E27FC236}">
              <a16:creationId xmlns:a16="http://schemas.microsoft.com/office/drawing/2014/main" id="{8DEA0676-96A6-4EC2-A9F1-CAB210694A71}"/>
            </a:ext>
          </a:extLst>
        </xdr:cNvPr>
        <xdr:cNvCxnSpPr/>
      </xdr:nvCxnSpPr>
      <xdr:spPr>
        <a:xfrm>
          <a:off x="14462570" y="2798013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1546</xdr:row>
      <xdr:rowOff>13965</xdr:rowOff>
    </xdr:from>
    <xdr:to>
      <xdr:col>7</xdr:col>
      <xdr:colOff>222695</xdr:colOff>
      <xdr:row>1556</xdr:row>
      <xdr:rowOff>33635</xdr:rowOff>
    </xdr:to>
    <xdr:cxnSp macro="_xll.PtreeEvent_ObjectClick">
      <xdr:nvCxnSpPr>
        <xdr:cNvPr id="3058" name="PTObj_DBranchDLine_1_765">
          <a:extLst>
            <a:ext uri="{FF2B5EF4-FFF2-40B4-BE49-F238E27FC236}">
              <a16:creationId xmlns:a16="http://schemas.microsoft.com/office/drawing/2014/main" id="{8CA1BFA8-205D-480D-9E1D-AECD3C20DA94}"/>
            </a:ext>
          </a:extLst>
        </xdr:cNvPr>
        <xdr:cNvCxnSpPr/>
      </xdr:nvCxnSpPr>
      <xdr:spPr>
        <a:xfrm flipV="1">
          <a:off x="14310170" y="279801315"/>
          <a:ext cx="152400" cy="1829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1556</xdr:row>
      <xdr:rowOff>33015</xdr:rowOff>
    </xdr:from>
    <xdr:to>
      <xdr:col>6</xdr:col>
      <xdr:colOff>1407922</xdr:colOff>
      <xdr:row>1556</xdr:row>
      <xdr:rowOff>33015</xdr:rowOff>
    </xdr:to>
    <xdr:cxnSp macro="_xll.PtreeEvent_ObjectClick">
      <xdr:nvCxnSpPr>
        <xdr:cNvPr id="3055" name="PTObj_DBranchHLine_1_770">
          <a:extLst>
            <a:ext uri="{FF2B5EF4-FFF2-40B4-BE49-F238E27FC236}">
              <a16:creationId xmlns:a16="http://schemas.microsoft.com/office/drawing/2014/main" id="{1DAC1980-0593-4680-BBC9-C5725D52232A}"/>
            </a:ext>
          </a:extLst>
        </xdr:cNvPr>
        <xdr:cNvCxnSpPr/>
      </xdr:nvCxnSpPr>
      <xdr:spPr>
        <a:xfrm>
          <a:off x="13034772" y="2816301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1556</xdr:row>
      <xdr:rowOff>33015</xdr:rowOff>
    </xdr:from>
    <xdr:to>
      <xdr:col>6</xdr:col>
      <xdr:colOff>223647</xdr:colOff>
      <xdr:row>1576</xdr:row>
      <xdr:rowOff>71735</xdr:rowOff>
    </xdr:to>
    <xdr:cxnSp macro="_xll.PtreeEvent_ObjectClick">
      <xdr:nvCxnSpPr>
        <xdr:cNvPr id="3054" name="PTObj_DBranchDLine_1_770">
          <a:extLst>
            <a:ext uri="{FF2B5EF4-FFF2-40B4-BE49-F238E27FC236}">
              <a16:creationId xmlns:a16="http://schemas.microsoft.com/office/drawing/2014/main" id="{B2A9E37E-A5DA-41EA-AE65-BBC609DA05C5}"/>
            </a:ext>
          </a:extLst>
        </xdr:cNvPr>
        <xdr:cNvCxnSpPr/>
      </xdr:nvCxnSpPr>
      <xdr:spPr>
        <a:xfrm flipV="1">
          <a:off x="12882372" y="281630115"/>
          <a:ext cx="152400" cy="3658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1576</xdr:row>
      <xdr:rowOff>71115</xdr:rowOff>
    </xdr:from>
    <xdr:to>
      <xdr:col>5</xdr:col>
      <xdr:colOff>1411732</xdr:colOff>
      <xdr:row>1576</xdr:row>
      <xdr:rowOff>71115</xdr:rowOff>
    </xdr:to>
    <xdr:cxnSp macro="_xll.PtreeEvent_ObjectClick">
      <xdr:nvCxnSpPr>
        <xdr:cNvPr id="3051" name="PTObj_DBranchHLine_1_780">
          <a:extLst>
            <a:ext uri="{FF2B5EF4-FFF2-40B4-BE49-F238E27FC236}">
              <a16:creationId xmlns:a16="http://schemas.microsoft.com/office/drawing/2014/main" id="{7F95C21D-8CE0-4CE2-9698-E2A968BF1208}"/>
            </a:ext>
          </a:extLst>
        </xdr:cNvPr>
        <xdr:cNvCxnSpPr/>
      </xdr:nvCxnSpPr>
      <xdr:spPr>
        <a:xfrm>
          <a:off x="11608880" y="2852877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1535</xdr:row>
      <xdr:rowOff>174625</xdr:rowOff>
    </xdr:from>
    <xdr:to>
      <xdr:col>5</xdr:col>
      <xdr:colOff>226505</xdr:colOff>
      <xdr:row>1576</xdr:row>
      <xdr:rowOff>71115</xdr:rowOff>
    </xdr:to>
    <xdr:cxnSp macro="_xll.PtreeEvent_ObjectClick">
      <xdr:nvCxnSpPr>
        <xdr:cNvPr id="3050" name="PTObj_DBranchDLine_1_780">
          <a:extLst>
            <a:ext uri="{FF2B5EF4-FFF2-40B4-BE49-F238E27FC236}">
              <a16:creationId xmlns:a16="http://schemas.microsoft.com/office/drawing/2014/main" id="{ECF3048E-92EE-4414-8359-AD1B9D20B375}"/>
            </a:ext>
          </a:extLst>
        </xdr:cNvPr>
        <xdr:cNvCxnSpPr/>
      </xdr:nvCxnSpPr>
      <xdr:spPr>
        <a:xfrm>
          <a:off x="11456480" y="277971250"/>
          <a:ext cx="152400" cy="73164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1533</xdr:row>
      <xdr:rowOff>172095</xdr:rowOff>
    </xdr:from>
    <xdr:to>
      <xdr:col>11</xdr:col>
      <xdr:colOff>1386015</xdr:colOff>
      <xdr:row>1533</xdr:row>
      <xdr:rowOff>172095</xdr:rowOff>
    </xdr:to>
    <xdr:cxnSp macro="_xll.PtreeEvent_ObjectClick">
      <xdr:nvCxnSpPr>
        <xdr:cNvPr id="3047" name="PTObj_DBranchHLine_1_759">
          <a:extLst>
            <a:ext uri="{FF2B5EF4-FFF2-40B4-BE49-F238E27FC236}">
              <a16:creationId xmlns:a16="http://schemas.microsoft.com/office/drawing/2014/main" id="{0083D434-2843-4B72-A028-CE7C5FB95B52}"/>
            </a:ext>
          </a:extLst>
        </xdr:cNvPr>
        <xdr:cNvCxnSpPr/>
      </xdr:nvCxnSpPr>
      <xdr:spPr>
        <a:xfrm>
          <a:off x="20149945" y="277606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1531</xdr:row>
      <xdr:rowOff>163215</xdr:rowOff>
    </xdr:from>
    <xdr:to>
      <xdr:col>11</xdr:col>
      <xdr:colOff>195070</xdr:colOff>
      <xdr:row>1533</xdr:row>
      <xdr:rowOff>172095</xdr:rowOff>
    </xdr:to>
    <xdr:cxnSp macro="_xll.PtreeEvent_ObjectClick">
      <xdr:nvCxnSpPr>
        <xdr:cNvPr id="3046" name="PTObj_DBranchDLine_1_759">
          <a:extLst>
            <a:ext uri="{FF2B5EF4-FFF2-40B4-BE49-F238E27FC236}">
              <a16:creationId xmlns:a16="http://schemas.microsoft.com/office/drawing/2014/main" id="{623D0BA5-F9E8-48F7-8C88-7705C5A0DACE}"/>
            </a:ext>
          </a:extLst>
        </xdr:cNvPr>
        <xdr:cNvCxnSpPr/>
      </xdr:nvCxnSpPr>
      <xdr:spPr>
        <a:xfrm>
          <a:off x="19997545" y="277235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1531</xdr:row>
      <xdr:rowOff>168275</xdr:rowOff>
    </xdr:from>
    <xdr:to>
      <xdr:col>10</xdr:col>
      <xdr:colOff>1388870</xdr:colOff>
      <xdr:row>1531</xdr:row>
      <xdr:rowOff>168275</xdr:rowOff>
    </xdr:to>
    <xdr:cxnSp macro="_xll.PtreeEvent_ObjectClick">
      <xdr:nvCxnSpPr>
        <xdr:cNvPr id="3043" name="PTObj_DBranchHLine_1_758">
          <a:extLst>
            <a:ext uri="{FF2B5EF4-FFF2-40B4-BE49-F238E27FC236}">
              <a16:creationId xmlns:a16="http://schemas.microsoft.com/office/drawing/2014/main" id="{34936A48-8F06-42FF-A30D-57991D18DBB0}"/>
            </a:ext>
          </a:extLst>
        </xdr:cNvPr>
        <xdr:cNvCxnSpPr/>
      </xdr:nvCxnSpPr>
      <xdr:spPr>
        <a:xfrm>
          <a:off x="18730720" y="277241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1529</xdr:row>
      <xdr:rowOff>159395</xdr:rowOff>
    </xdr:from>
    <xdr:to>
      <xdr:col>10</xdr:col>
      <xdr:colOff>204595</xdr:colOff>
      <xdr:row>1531</xdr:row>
      <xdr:rowOff>168275</xdr:rowOff>
    </xdr:to>
    <xdr:cxnSp macro="_xll.PtreeEvent_ObjectClick">
      <xdr:nvCxnSpPr>
        <xdr:cNvPr id="3042" name="PTObj_DBranchDLine_1_758">
          <a:extLst>
            <a:ext uri="{FF2B5EF4-FFF2-40B4-BE49-F238E27FC236}">
              <a16:creationId xmlns:a16="http://schemas.microsoft.com/office/drawing/2014/main" id="{4E1EFE71-F2F2-4765-8FB2-F2CD9D0A9955}"/>
            </a:ext>
          </a:extLst>
        </xdr:cNvPr>
        <xdr:cNvCxnSpPr/>
      </xdr:nvCxnSpPr>
      <xdr:spPr>
        <a:xfrm>
          <a:off x="18578320" y="276870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1529</xdr:row>
      <xdr:rowOff>164455</xdr:rowOff>
    </xdr:from>
    <xdr:to>
      <xdr:col>9</xdr:col>
      <xdr:colOff>1392681</xdr:colOff>
      <xdr:row>1529</xdr:row>
      <xdr:rowOff>164455</xdr:rowOff>
    </xdr:to>
    <xdr:cxnSp macro="_xll.PtreeEvent_ObjectClick">
      <xdr:nvCxnSpPr>
        <xdr:cNvPr id="3039" name="PTObj_DBranchHLine_1_757">
          <a:extLst>
            <a:ext uri="{FF2B5EF4-FFF2-40B4-BE49-F238E27FC236}">
              <a16:creationId xmlns:a16="http://schemas.microsoft.com/office/drawing/2014/main" id="{F9BB556C-FDA8-49AA-9902-41497E4B6553}"/>
            </a:ext>
          </a:extLst>
        </xdr:cNvPr>
        <xdr:cNvCxnSpPr/>
      </xdr:nvCxnSpPr>
      <xdr:spPr>
        <a:xfrm>
          <a:off x="17306734" y="276875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1527</xdr:row>
      <xdr:rowOff>151755</xdr:rowOff>
    </xdr:from>
    <xdr:to>
      <xdr:col>9</xdr:col>
      <xdr:colOff>209359</xdr:colOff>
      <xdr:row>1529</xdr:row>
      <xdr:rowOff>164455</xdr:rowOff>
    </xdr:to>
    <xdr:cxnSp macro="_xll.PtreeEvent_ObjectClick">
      <xdr:nvCxnSpPr>
        <xdr:cNvPr id="3038" name="PTObj_DBranchDLine_1_757">
          <a:extLst>
            <a:ext uri="{FF2B5EF4-FFF2-40B4-BE49-F238E27FC236}">
              <a16:creationId xmlns:a16="http://schemas.microsoft.com/office/drawing/2014/main" id="{8C9EB0B9-3B9A-472B-B630-36F180102DEC}"/>
            </a:ext>
          </a:extLst>
        </xdr:cNvPr>
        <xdr:cNvCxnSpPr/>
      </xdr:nvCxnSpPr>
      <xdr:spPr>
        <a:xfrm>
          <a:off x="17154334" y="276500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1527</xdr:row>
      <xdr:rowOff>160660</xdr:rowOff>
    </xdr:from>
    <xdr:to>
      <xdr:col>8</xdr:col>
      <xdr:colOff>1398397</xdr:colOff>
      <xdr:row>1527</xdr:row>
      <xdr:rowOff>160660</xdr:rowOff>
    </xdr:to>
    <xdr:cxnSp macro="_xll.PtreeEvent_ObjectClick">
      <xdr:nvCxnSpPr>
        <xdr:cNvPr id="3035" name="PTObj_DBranchHLine_1_756">
          <a:extLst>
            <a:ext uri="{FF2B5EF4-FFF2-40B4-BE49-F238E27FC236}">
              <a16:creationId xmlns:a16="http://schemas.microsoft.com/office/drawing/2014/main" id="{000835F7-6193-4B6E-8DE7-DFECB27287D3}"/>
            </a:ext>
          </a:extLst>
        </xdr:cNvPr>
        <xdr:cNvCxnSpPr/>
      </xdr:nvCxnSpPr>
      <xdr:spPr>
        <a:xfrm>
          <a:off x="15888463" y="276509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1525</xdr:row>
      <xdr:rowOff>147017</xdr:rowOff>
    </xdr:from>
    <xdr:to>
      <xdr:col>8</xdr:col>
      <xdr:colOff>219838</xdr:colOff>
      <xdr:row>1527</xdr:row>
      <xdr:rowOff>160660</xdr:rowOff>
    </xdr:to>
    <xdr:cxnSp macro="_xll.PtreeEvent_ObjectClick">
      <xdr:nvCxnSpPr>
        <xdr:cNvPr id="3034" name="PTObj_DBranchDLine_1_756">
          <a:extLst>
            <a:ext uri="{FF2B5EF4-FFF2-40B4-BE49-F238E27FC236}">
              <a16:creationId xmlns:a16="http://schemas.microsoft.com/office/drawing/2014/main" id="{4EFFAB1C-3FD5-40FD-B2EC-D70869B886F6}"/>
            </a:ext>
          </a:extLst>
        </xdr:cNvPr>
        <xdr:cNvCxnSpPr/>
      </xdr:nvCxnSpPr>
      <xdr:spPr>
        <a:xfrm>
          <a:off x="15736063" y="2761338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1523</xdr:row>
      <xdr:rowOff>153045</xdr:rowOff>
    </xdr:from>
    <xdr:to>
      <xdr:col>11</xdr:col>
      <xdr:colOff>1386967</xdr:colOff>
      <xdr:row>1523</xdr:row>
      <xdr:rowOff>153045</xdr:rowOff>
    </xdr:to>
    <xdr:cxnSp macro="_xll.PtreeEvent_ObjectClick">
      <xdr:nvCxnSpPr>
        <xdr:cNvPr id="3031" name="PTObj_DBranchHLine_1_754">
          <a:extLst>
            <a:ext uri="{FF2B5EF4-FFF2-40B4-BE49-F238E27FC236}">
              <a16:creationId xmlns:a16="http://schemas.microsoft.com/office/drawing/2014/main" id="{1EF3C90B-BEB3-444E-9C84-B166063A92A7}"/>
            </a:ext>
          </a:extLst>
        </xdr:cNvPr>
        <xdr:cNvCxnSpPr/>
      </xdr:nvCxnSpPr>
      <xdr:spPr>
        <a:xfrm>
          <a:off x="20149945" y="275777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1521</xdr:row>
      <xdr:rowOff>140345</xdr:rowOff>
    </xdr:from>
    <xdr:to>
      <xdr:col>11</xdr:col>
      <xdr:colOff>195070</xdr:colOff>
      <xdr:row>1523</xdr:row>
      <xdr:rowOff>153045</xdr:rowOff>
    </xdr:to>
    <xdr:cxnSp macro="_xll.PtreeEvent_ObjectClick">
      <xdr:nvCxnSpPr>
        <xdr:cNvPr id="3030" name="PTObj_DBranchDLine_1_754">
          <a:extLst>
            <a:ext uri="{FF2B5EF4-FFF2-40B4-BE49-F238E27FC236}">
              <a16:creationId xmlns:a16="http://schemas.microsoft.com/office/drawing/2014/main" id="{CBBC8A32-5389-41B1-B96B-39C845821441}"/>
            </a:ext>
          </a:extLst>
        </xdr:cNvPr>
        <xdr:cNvCxnSpPr/>
      </xdr:nvCxnSpPr>
      <xdr:spPr>
        <a:xfrm>
          <a:off x="19997545" y="275403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1521</xdr:row>
      <xdr:rowOff>149225</xdr:rowOff>
    </xdr:from>
    <xdr:to>
      <xdr:col>10</xdr:col>
      <xdr:colOff>1388870</xdr:colOff>
      <xdr:row>1521</xdr:row>
      <xdr:rowOff>149225</xdr:rowOff>
    </xdr:to>
    <xdr:cxnSp macro="_xll.PtreeEvent_ObjectClick">
      <xdr:nvCxnSpPr>
        <xdr:cNvPr id="3027" name="PTObj_DBranchHLine_1_753">
          <a:extLst>
            <a:ext uri="{FF2B5EF4-FFF2-40B4-BE49-F238E27FC236}">
              <a16:creationId xmlns:a16="http://schemas.microsoft.com/office/drawing/2014/main" id="{795A0DEA-C690-4FC2-B9DA-B00F303FA946}"/>
            </a:ext>
          </a:extLst>
        </xdr:cNvPr>
        <xdr:cNvCxnSpPr/>
      </xdr:nvCxnSpPr>
      <xdr:spPr>
        <a:xfrm>
          <a:off x="18730720" y="275412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1519</xdr:row>
      <xdr:rowOff>144165</xdr:rowOff>
    </xdr:from>
    <xdr:to>
      <xdr:col>10</xdr:col>
      <xdr:colOff>204595</xdr:colOff>
      <xdr:row>1521</xdr:row>
      <xdr:rowOff>149225</xdr:rowOff>
    </xdr:to>
    <xdr:cxnSp macro="_xll.PtreeEvent_ObjectClick">
      <xdr:nvCxnSpPr>
        <xdr:cNvPr id="3026" name="PTObj_DBranchDLine_1_753">
          <a:extLst>
            <a:ext uri="{FF2B5EF4-FFF2-40B4-BE49-F238E27FC236}">
              <a16:creationId xmlns:a16="http://schemas.microsoft.com/office/drawing/2014/main" id="{697DA9B6-070C-4BFD-9E8E-EE3048A666E1}"/>
            </a:ext>
          </a:extLst>
        </xdr:cNvPr>
        <xdr:cNvCxnSpPr/>
      </xdr:nvCxnSpPr>
      <xdr:spPr>
        <a:xfrm>
          <a:off x="18578320" y="275045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1519</xdr:row>
      <xdr:rowOff>145405</xdr:rowOff>
    </xdr:from>
    <xdr:to>
      <xdr:col>9</xdr:col>
      <xdr:colOff>1392681</xdr:colOff>
      <xdr:row>1519</xdr:row>
      <xdr:rowOff>145405</xdr:rowOff>
    </xdr:to>
    <xdr:cxnSp macro="_xll.PtreeEvent_ObjectClick">
      <xdr:nvCxnSpPr>
        <xdr:cNvPr id="3023" name="PTObj_DBranchHLine_1_752">
          <a:extLst>
            <a:ext uri="{FF2B5EF4-FFF2-40B4-BE49-F238E27FC236}">
              <a16:creationId xmlns:a16="http://schemas.microsoft.com/office/drawing/2014/main" id="{9CF1F4FA-9198-46AF-81DC-C4DA17E566D1}"/>
            </a:ext>
          </a:extLst>
        </xdr:cNvPr>
        <xdr:cNvCxnSpPr/>
      </xdr:nvCxnSpPr>
      <xdr:spPr>
        <a:xfrm>
          <a:off x="17306734" y="275046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1517</xdr:row>
      <xdr:rowOff>140320</xdr:rowOff>
    </xdr:from>
    <xdr:to>
      <xdr:col>9</xdr:col>
      <xdr:colOff>209359</xdr:colOff>
      <xdr:row>1519</xdr:row>
      <xdr:rowOff>145405</xdr:rowOff>
    </xdr:to>
    <xdr:cxnSp macro="_xll.PtreeEvent_ObjectClick">
      <xdr:nvCxnSpPr>
        <xdr:cNvPr id="3022" name="PTObj_DBranchDLine_1_752">
          <a:extLst>
            <a:ext uri="{FF2B5EF4-FFF2-40B4-BE49-F238E27FC236}">
              <a16:creationId xmlns:a16="http://schemas.microsoft.com/office/drawing/2014/main" id="{60E71536-52F0-459B-95CD-9D86219E0A9A}"/>
            </a:ext>
          </a:extLst>
        </xdr:cNvPr>
        <xdr:cNvCxnSpPr/>
      </xdr:nvCxnSpPr>
      <xdr:spPr>
        <a:xfrm>
          <a:off x="17154334" y="2746793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1517</xdr:row>
      <xdr:rowOff>141610</xdr:rowOff>
    </xdr:from>
    <xdr:to>
      <xdr:col>8</xdr:col>
      <xdr:colOff>1398397</xdr:colOff>
      <xdr:row>1517</xdr:row>
      <xdr:rowOff>141610</xdr:rowOff>
    </xdr:to>
    <xdr:cxnSp macro="_xll.PtreeEvent_ObjectClick">
      <xdr:nvCxnSpPr>
        <xdr:cNvPr id="3019" name="PTObj_DBranchHLine_1_751">
          <a:extLst>
            <a:ext uri="{FF2B5EF4-FFF2-40B4-BE49-F238E27FC236}">
              <a16:creationId xmlns:a16="http://schemas.microsoft.com/office/drawing/2014/main" id="{A34917DE-1F9E-45C2-96C7-61FE1F1108DC}"/>
            </a:ext>
          </a:extLst>
        </xdr:cNvPr>
        <xdr:cNvCxnSpPr/>
      </xdr:nvCxnSpPr>
      <xdr:spPr>
        <a:xfrm>
          <a:off x="15884652" y="274680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1517</xdr:row>
      <xdr:rowOff>141610</xdr:rowOff>
    </xdr:from>
    <xdr:to>
      <xdr:col>8</xdr:col>
      <xdr:colOff>216027</xdr:colOff>
      <xdr:row>1525</xdr:row>
      <xdr:rowOff>147017</xdr:rowOff>
    </xdr:to>
    <xdr:cxnSp macro="_xll.PtreeEvent_ObjectClick">
      <xdr:nvCxnSpPr>
        <xdr:cNvPr id="3018" name="PTObj_DBranchDLine_1_751">
          <a:extLst>
            <a:ext uri="{FF2B5EF4-FFF2-40B4-BE49-F238E27FC236}">
              <a16:creationId xmlns:a16="http://schemas.microsoft.com/office/drawing/2014/main" id="{7EA3F9F3-34F0-4F55-8D66-D6BEB883E938}"/>
            </a:ext>
          </a:extLst>
        </xdr:cNvPr>
        <xdr:cNvCxnSpPr/>
      </xdr:nvCxnSpPr>
      <xdr:spPr>
        <a:xfrm flipV="1">
          <a:off x="15732252" y="2746806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1525</xdr:row>
      <xdr:rowOff>156840</xdr:rowOff>
    </xdr:from>
    <xdr:to>
      <xdr:col>7</xdr:col>
      <xdr:colOff>1402207</xdr:colOff>
      <xdr:row>1525</xdr:row>
      <xdr:rowOff>156840</xdr:rowOff>
    </xdr:to>
    <xdr:cxnSp macro="_xll.PtreeEvent_ObjectClick">
      <xdr:nvCxnSpPr>
        <xdr:cNvPr id="3015" name="PTObj_DBranchHLine_1_755">
          <a:extLst>
            <a:ext uri="{FF2B5EF4-FFF2-40B4-BE49-F238E27FC236}">
              <a16:creationId xmlns:a16="http://schemas.microsoft.com/office/drawing/2014/main" id="{5C820F5A-C3C9-4E2C-92B2-C390FFC808E3}"/>
            </a:ext>
          </a:extLst>
        </xdr:cNvPr>
        <xdr:cNvCxnSpPr/>
      </xdr:nvCxnSpPr>
      <xdr:spPr>
        <a:xfrm>
          <a:off x="14460665" y="276143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1515</xdr:row>
      <xdr:rowOff>136525</xdr:rowOff>
    </xdr:from>
    <xdr:to>
      <xdr:col>7</xdr:col>
      <xdr:colOff>220790</xdr:colOff>
      <xdr:row>1525</xdr:row>
      <xdr:rowOff>156840</xdr:rowOff>
    </xdr:to>
    <xdr:cxnSp macro="_xll.PtreeEvent_ObjectClick">
      <xdr:nvCxnSpPr>
        <xdr:cNvPr id="3014" name="PTObj_DBranchDLine_1_755">
          <a:extLst>
            <a:ext uri="{FF2B5EF4-FFF2-40B4-BE49-F238E27FC236}">
              <a16:creationId xmlns:a16="http://schemas.microsoft.com/office/drawing/2014/main" id="{F541B583-43F8-4807-BE55-5C53397BA545}"/>
            </a:ext>
          </a:extLst>
        </xdr:cNvPr>
        <xdr:cNvCxnSpPr/>
      </xdr:nvCxnSpPr>
      <xdr:spPr>
        <a:xfrm>
          <a:off x="14308265" y="274313650"/>
          <a:ext cx="152400" cy="18300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1513</xdr:row>
      <xdr:rowOff>133995</xdr:rowOff>
    </xdr:from>
    <xdr:to>
      <xdr:col>11</xdr:col>
      <xdr:colOff>1386015</xdr:colOff>
      <xdr:row>1513</xdr:row>
      <xdr:rowOff>133995</xdr:rowOff>
    </xdr:to>
    <xdr:cxnSp macro="_xll.PtreeEvent_ObjectClick">
      <xdr:nvCxnSpPr>
        <xdr:cNvPr id="3011" name="PTObj_DBranchHLine_1_749">
          <a:extLst>
            <a:ext uri="{FF2B5EF4-FFF2-40B4-BE49-F238E27FC236}">
              <a16:creationId xmlns:a16="http://schemas.microsoft.com/office/drawing/2014/main" id="{DBD3876E-1781-4436-9B33-36F7888E2FE8}"/>
            </a:ext>
          </a:extLst>
        </xdr:cNvPr>
        <xdr:cNvCxnSpPr/>
      </xdr:nvCxnSpPr>
      <xdr:spPr>
        <a:xfrm>
          <a:off x="20149945" y="273949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1511</xdr:row>
      <xdr:rowOff>125115</xdr:rowOff>
    </xdr:from>
    <xdr:to>
      <xdr:col>11</xdr:col>
      <xdr:colOff>195070</xdr:colOff>
      <xdr:row>1513</xdr:row>
      <xdr:rowOff>133995</xdr:rowOff>
    </xdr:to>
    <xdr:cxnSp macro="_xll.PtreeEvent_ObjectClick">
      <xdr:nvCxnSpPr>
        <xdr:cNvPr id="3010" name="PTObj_DBranchDLine_1_749">
          <a:extLst>
            <a:ext uri="{FF2B5EF4-FFF2-40B4-BE49-F238E27FC236}">
              <a16:creationId xmlns:a16="http://schemas.microsoft.com/office/drawing/2014/main" id="{833F2C5E-68B5-4EDC-93AF-A0E7973278AD}"/>
            </a:ext>
          </a:extLst>
        </xdr:cNvPr>
        <xdr:cNvCxnSpPr/>
      </xdr:nvCxnSpPr>
      <xdr:spPr>
        <a:xfrm>
          <a:off x="19997545" y="273578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1511</xdr:row>
      <xdr:rowOff>130175</xdr:rowOff>
    </xdr:from>
    <xdr:to>
      <xdr:col>10</xdr:col>
      <xdr:colOff>1388870</xdr:colOff>
      <xdr:row>1511</xdr:row>
      <xdr:rowOff>130175</xdr:rowOff>
    </xdr:to>
    <xdr:cxnSp macro="_xll.PtreeEvent_ObjectClick">
      <xdr:nvCxnSpPr>
        <xdr:cNvPr id="3007" name="PTObj_DBranchHLine_1_748">
          <a:extLst>
            <a:ext uri="{FF2B5EF4-FFF2-40B4-BE49-F238E27FC236}">
              <a16:creationId xmlns:a16="http://schemas.microsoft.com/office/drawing/2014/main" id="{7F7B67F5-B85F-4597-BFD7-AD0D0351AF56}"/>
            </a:ext>
          </a:extLst>
        </xdr:cNvPr>
        <xdr:cNvCxnSpPr/>
      </xdr:nvCxnSpPr>
      <xdr:spPr>
        <a:xfrm>
          <a:off x="18730720" y="273583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1509</xdr:row>
      <xdr:rowOff>121295</xdr:rowOff>
    </xdr:from>
    <xdr:to>
      <xdr:col>10</xdr:col>
      <xdr:colOff>204595</xdr:colOff>
      <xdr:row>1511</xdr:row>
      <xdr:rowOff>130175</xdr:rowOff>
    </xdr:to>
    <xdr:cxnSp macro="_xll.PtreeEvent_ObjectClick">
      <xdr:nvCxnSpPr>
        <xdr:cNvPr id="3006" name="PTObj_DBranchDLine_1_748">
          <a:extLst>
            <a:ext uri="{FF2B5EF4-FFF2-40B4-BE49-F238E27FC236}">
              <a16:creationId xmlns:a16="http://schemas.microsoft.com/office/drawing/2014/main" id="{1D3BAE8E-5791-4513-909C-8983F2A768D7}"/>
            </a:ext>
          </a:extLst>
        </xdr:cNvPr>
        <xdr:cNvCxnSpPr/>
      </xdr:nvCxnSpPr>
      <xdr:spPr>
        <a:xfrm>
          <a:off x="18578320" y="273212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1509</xdr:row>
      <xdr:rowOff>126355</xdr:rowOff>
    </xdr:from>
    <xdr:to>
      <xdr:col>9</xdr:col>
      <xdr:colOff>1392681</xdr:colOff>
      <xdr:row>1509</xdr:row>
      <xdr:rowOff>126355</xdr:rowOff>
    </xdr:to>
    <xdr:cxnSp macro="_xll.PtreeEvent_ObjectClick">
      <xdr:nvCxnSpPr>
        <xdr:cNvPr id="3003" name="PTObj_DBranchHLine_1_747">
          <a:extLst>
            <a:ext uri="{FF2B5EF4-FFF2-40B4-BE49-F238E27FC236}">
              <a16:creationId xmlns:a16="http://schemas.microsoft.com/office/drawing/2014/main" id="{5119B59D-E84A-4422-B1F3-FACBB3FFF106}"/>
            </a:ext>
          </a:extLst>
        </xdr:cNvPr>
        <xdr:cNvCxnSpPr/>
      </xdr:nvCxnSpPr>
      <xdr:spPr>
        <a:xfrm>
          <a:off x="17306734" y="273217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1507</xdr:row>
      <xdr:rowOff>113655</xdr:rowOff>
    </xdr:from>
    <xdr:to>
      <xdr:col>9</xdr:col>
      <xdr:colOff>209359</xdr:colOff>
      <xdr:row>1509</xdr:row>
      <xdr:rowOff>126355</xdr:rowOff>
    </xdr:to>
    <xdr:cxnSp macro="_xll.PtreeEvent_ObjectClick">
      <xdr:nvCxnSpPr>
        <xdr:cNvPr id="3002" name="PTObj_DBranchDLine_1_747">
          <a:extLst>
            <a:ext uri="{FF2B5EF4-FFF2-40B4-BE49-F238E27FC236}">
              <a16:creationId xmlns:a16="http://schemas.microsoft.com/office/drawing/2014/main" id="{0D8E271E-0DB3-4A10-8438-3885D8927330}"/>
            </a:ext>
          </a:extLst>
        </xdr:cNvPr>
        <xdr:cNvCxnSpPr/>
      </xdr:nvCxnSpPr>
      <xdr:spPr>
        <a:xfrm>
          <a:off x="17154334" y="272842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1507</xdr:row>
      <xdr:rowOff>122560</xdr:rowOff>
    </xdr:from>
    <xdr:to>
      <xdr:col>8</xdr:col>
      <xdr:colOff>1398397</xdr:colOff>
      <xdr:row>1507</xdr:row>
      <xdr:rowOff>122560</xdr:rowOff>
    </xdr:to>
    <xdr:cxnSp macro="_xll.PtreeEvent_ObjectClick">
      <xdr:nvCxnSpPr>
        <xdr:cNvPr id="2999" name="PTObj_DBranchHLine_1_746">
          <a:extLst>
            <a:ext uri="{FF2B5EF4-FFF2-40B4-BE49-F238E27FC236}">
              <a16:creationId xmlns:a16="http://schemas.microsoft.com/office/drawing/2014/main" id="{D01C0A94-604F-4B27-A501-1943A4F3E933}"/>
            </a:ext>
          </a:extLst>
        </xdr:cNvPr>
        <xdr:cNvCxnSpPr/>
      </xdr:nvCxnSpPr>
      <xdr:spPr>
        <a:xfrm>
          <a:off x="15888463" y="272851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1505</xdr:row>
      <xdr:rowOff>108917</xdr:rowOff>
    </xdr:from>
    <xdr:to>
      <xdr:col>8</xdr:col>
      <xdr:colOff>219838</xdr:colOff>
      <xdr:row>1507</xdr:row>
      <xdr:rowOff>122560</xdr:rowOff>
    </xdr:to>
    <xdr:cxnSp macro="_xll.PtreeEvent_ObjectClick">
      <xdr:nvCxnSpPr>
        <xdr:cNvPr id="2998" name="PTObj_DBranchDLine_1_746">
          <a:extLst>
            <a:ext uri="{FF2B5EF4-FFF2-40B4-BE49-F238E27FC236}">
              <a16:creationId xmlns:a16="http://schemas.microsoft.com/office/drawing/2014/main" id="{0F44C65A-C219-4272-B9C9-EEA88395BC07}"/>
            </a:ext>
          </a:extLst>
        </xdr:cNvPr>
        <xdr:cNvCxnSpPr/>
      </xdr:nvCxnSpPr>
      <xdr:spPr>
        <a:xfrm>
          <a:off x="15736063" y="2724762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1503</xdr:row>
      <xdr:rowOff>114945</xdr:rowOff>
    </xdr:from>
    <xdr:to>
      <xdr:col>11</xdr:col>
      <xdr:colOff>1386967</xdr:colOff>
      <xdr:row>1503</xdr:row>
      <xdr:rowOff>114945</xdr:rowOff>
    </xdr:to>
    <xdr:cxnSp macro="_xll.PtreeEvent_ObjectClick">
      <xdr:nvCxnSpPr>
        <xdr:cNvPr id="2995" name="PTObj_DBranchHLine_1_744">
          <a:extLst>
            <a:ext uri="{FF2B5EF4-FFF2-40B4-BE49-F238E27FC236}">
              <a16:creationId xmlns:a16="http://schemas.microsoft.com/office/drawing/2014/main" id="{44B34C42-EB20-4884-93E4-56FE23C1DF6C}"/>
            </a:ext>
          </a:extLst>
        </xdr:cNvPr>
        <xdr:cNvCxnSpPr/>
      </xdr:nvCxnSpPr>
      <xdr:spPr>
        <a:xfrm>
          <a:off x="20149945" y="272120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1501</xdr:row>
      <xdr:rowOff>102245</xdr:rowOff>
    </xdr:from>
    <xdr:to>
      <xdr:col>11</xdr:col>
      <xdr:colOff>195070</xdr:colOff>
      <xdr:row>1503</xdr:row>
      <xdr:rowOff>114945</xdr:rowOff>
    </xdr:to>
    <xdr:cxnSp macro="_xll.PtreeEvent_ObjectClick">
      <xdr:nvCxnSpPr>
        <xdr:cNvPr id="2994" name="PTObj_DBranchDLine_1_744">
          <a:extLst>
            <a:ext uri="{FF2B5EF4-FFF2-40B4-BE49-F238E27FC236}">
              <a16:creationId xmlns:a16="http://schemas.microsoft.com/office/drawing/2014/main" id="{8F09F52A-8245-4F4A-A61D-86CD0B279C8F}"/>
            </a:ext>
          </a:extLst>
        </xdr:cNvPr>
        <xdr:cNvCxnSpPr/>
      </xdr:nvCxnSpPr>
      <xdr:spPr>
        <a:xfrm>
          <a:off x="19997545" y="271745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1501</xdr:row>
      <xdr:rowOff>111125</xdr:rowOff>
    </xdr:from>
    <xdr:to>
      <xdr:col>10</xdr:col>
      <xdr:colOff>1388870</xdr:colOff>
      <xdr:row>1501</xdr:row>
      <xdr:rowOff>111125</xdr:rowOff>
    </xdr:to>
    <xdr:cxnSp macro="_xll.PtreeEvent_ObjectClick">
      <xdr:nvCxnSpPr>
        <xdr:cNvPr id="2991" name="PTObj_DBranchHLine_1_743">
          <a:extLst>
            <a:ext uri="{FF2B5EF4-FFF2-40B4-BE49-F238E27FC236}">
              <a16:creationId xmlns:a16="http://schemas.microsoft.com/office/drawing/2014/main" id="{ED4455E1-5382-4186-B448-9AB3A60F6BDF}"/>
            </a:ext>
          </a:extLst>
        </xdr:cNvPr>
        <xdr:cNvCxnSpPr/>
      </xdr:nvCxnSpPr>
      <xdr:spPr>
        <a:xfrm>
          <a:off x="18730720" y="271754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1499</xdr:row>
      <xdr:rowOff>106065</xdr:rowOff>
    </xdr:from>
    <xdr:to>
      <xdr:col>10</xdr:col>
      <xdr:colOff>204595</xdr:colOff>
      <xdr:row>1501</xdr:row>
      <xdr:rowOff>111125</xdr:rowOff>
    </xdr:to>
    <xdr:cxnSp macro="_xll.PtreeEvent_ObjectClick">
      <xdr:nvCxnSpPr>
        <xdr:cNvPr id="2990" name="PTObj_DBranchDLine_1_743">
          <a:extLst>
            <a:ext uri="{FF2B5EF4-FFF2-40B4-BE49-F238E27FC236}">
              <a16:creationId xmlns:a16="http://schemas.microsoft.com/office/drawing/2014/main" id="{9C4E5458-B1F2-4165-B467-913CE2F95E3F}"/>
            </a:ext>
          </a:extLst>
        </xdr:cNvPr>
        <xdr:cNvCxnSpPr/>
      </xdr:nvCxnSpPr>
      <xdr:spPr>
        <a:xfrm>
          <a:off x="18578320" y="271387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1499</xdr:row>
      <xdr:rowOff>107305</xdr:rowOff>
    </xdr:from>
    <xdr:to>
      <xdr:col>9</xdr:col>
      <xdr:colOff>1392681</xdr:colOff>
      <xdr:row>1499</xdr:row>
      <xdr:rowOff>107305</xdr:rowOff>
    </xdr:to>
    <xdr:cxnSp macro="_xll.PtreeEvent_ObjectClick">
      <xdr:nvCxnSpPr>
        <xdr:cNvPr id="2987" name="PTObj_DBranchHLine_1_742">
          <a:extLst>
            <a:ext uri="{FF2B5EF4-FFF2-40B4-BE49-F238E27FC236}">
              <a16:creationId xmlns:a16="http://schemas.microsoft.com/office/drawing/2014/main" id="{2A2410D7-5B34-4852-A3A1-772E9AECCFBC}"/>
            </a:ext>
          </a:extLst>
        </xdr:cNvPr>
        <xdr:cNvCxnSpPr/>
      </xdr:nvCxnSpPr>
      <xdr:spPr>
        <a:xfrm>
          <a:off x="17306734" y="271388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1497</xdr:row>
      <xdr:rowOff>102220</xdr:rowOff>
    </xdr:from>
    <xdr:to>
      <xdr:col>9</xdr:col>
      <xdr:colOff>209359</xdr:colOff>
      <xdr:row>1499</xdr:row>
      <xdr:rowOff>107305</xdr:rowOff>
    </xdr:to>
    <xdr:cxnSp macro="_xll.PtreeEvent_ObjectClick">
      <xdr:nvCxnSpPr>
        <xdr:cNvPr id="2986" name="PTObj_DBranchDLine_1_742">
          <a:extLst>
            <a:ext uri="{FF2B5EF4-FFF2-40B4-BE49-F238E27FC236}">
              <a16:creationId xmlns:a16="http://schemas.microsoft.com/office/drawing/2014/main" id="{155DAE19-8FA3-4D79-8CCF-4FC3FBF2E54F}"/>
            </a:ext>
          </a:extLst>
        </xdr:cNvPr>
        <xdr:cNvCxnSpPr/>
      </xdr:nvCxnSpPr>
      <xdr:spPr>
        <a:xfrm>
          <a:off x="17154334" y="27102179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1497</xdr:row>
      <xdr:rowOff>103510</xdr:rowOff>
    </xdr:from>
    <xdr:to>
      <xdr:col>8</xdr:col>
      <xdr:colOff>1398397</xdr:colOff>
      <xdr:row>1497</xdr:row>
      <xdr:rowOff>103510</xdr:rowOff>
    </xdr:to>
    <xdr:cxnSp macro="_xll.PtreeEvent_ObjectClick">
      <xdr:nvCxnSpPr>
        <xdr:cNvPr id="2983" name="PTObj_DBranchHLine_1_741">
          <a:extLst>
            <a:ext uri="{FF2B5EF4-FFF2-40B4-BE49-F238E27FC236}">
              <a16:creationId xmlns:a16="http://schemas.microsoft.com/office/drawing/2014/main" id="{1A627F8D-04CE-48A6-A807-5D6E96F16A34}"/>
            </a:ext>
          </a:extLst>
        </xdr:cNvPr>
        <xdr:cNvCxnSpPr/>
      </xdr:nvCxnSpPr>
      <xdr:spPr>
        <a:xfrm>
          <a:off x="15884652" y="271023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1497</xdr:row>
      <xdr:rowOff>103510</xdr:rowOff>
    </xdr:from>
    <xdr:to>
      <xdr:col>8</xdr:col>
      <xdr:colOff>216027</xdr:colOff>
      <xdr:row>1505</xdr:row>
      <xdr:rowOff>108917</xdr:rowOff>
    </xdr:to>
    <xdr:cxnSp macro="_xll.PtreeEvent_ObjectClick">
      <xdr:nvCxnSpPr>
        <xdr:cNvPr id="2982" name="PTObj_DBranchDLine_1_741">
          <a:extLst>
            <a:ext uri="{FF2B5EF4-FFF2-40B4-BE49-F238E27FC236}">
              <a16:creationId xmlns:a16="http://schemas.microsoft.com/office/drawing/2014/main" id="{75CA641C-1B7A-4781-A80B-AADA58B35E16}"/>
            </a:ext>
          </a:extLst>
        </xdr:cNvPr>
        <xdr:cNvCxnSpPr/>
      </xdr:nvCxnSpPr>
      <xdr:spPr>
        <a:xfrm flipV="1">
          <a:off x="15732252" y="2710230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1505</xdr:row>
      <xdr:rowOff>118740</xdr:rowOff>
    </xdr:from>
    <xdr:to>
      <xdr:col>7</xdr:col>
      <xdr:colOff>1402207</xdr:colOff>
      <xdr:row>1505</xdr:row>
      <xdr:rowOff>118740</xdr:rowOff>
    </xdr:to>
    <xdr:cxnSp macro="_xll.PtreeEvent_ObjectClick">
      <xdr:nvCxnSpPr>
        <xdr:cNvPr id="2979" name="PTObj_DBranchHLine_1_745">
          <a:extLst>
            <a:ext uri="{FF2B5EF4-FFF2-40B4-BE49-F238E27FC236}">
              <a16:creationId xmlns:a16="http://schemas.microsoft.com/office/drawing/2014/main" id="{769BC8CE-E9D0-4642-86A6-7881B573B883}"/>
            </a:ext>
          </a:extLst>
        </xdr:cNvPr>
        <xdr:cNvCxnSpPr/>
      </xdr:nvCxnSpPr>
      <xdr:spPr>
        <a:xfrm>
          <a:off x="14462570" y="2724861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1505</xdr:row>
      <xdr:rowOff>118740</xdr:rowOff>
    </xdr:from>
    <xdr:to>
      <xdr:col>7</xdr:col>
      <xdr:colOff>222695</xdr:colOff>
      <xdr:row>1515</xdr:row>
      <xdr:rowOff>138410</xdr:rowOff>
    </xdr:to>
    <xdr:cxnSp macro="_xll.PtreeEvent_ObjectClick">
      <xdr:nvCxnSpPr>
        <xdr:cNvPr id="2978" name="PTObj_DBranchDLine_1_745">
          <a:extLst>
            <a:ext uri="{FF2B5EF4-FFF2-40B4-BE49-F238E27FC236}">
              <a16:creationId xmlns:a16="http://schemas.microsoft.com/office/drawing/2014/main" id="{9023616D-7D2E-4D2B-841D-93BBA1F5E0FF}"/>
            </a:ext>
          </a:extLst>
        </xdr:cNvPr>
        <xdr:cNvCxnSpPr/>
      </xdr:nvCxnSpPr>
      <xdr:spPr>
        <a:xfrm flipV="1">
          <a:off x="14310170" y="272486115"/>
          <a:ext cx="152400" cy="1829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1515</xdr:row>
      <xdr:rowOff>137790</xdr:rowOff>
    </xdr:from>
    <xdr:to>
      <xdr:col>6</xdr:col>
      <xdr:colOff>1407922</xdr:colOff>
      <xdr:row>1515</xdr:row>
      <xdr:rowOff>137790</xdr:rowOff>
    </xdr:to>
    <xdr:cxnSp macro="_xll.PtreeEvent_ObjectClick">
      <xdr:nvCxnSpPr>
        <xdr:cNvPr id="2975" name="PTObj_DBranchHLine_1_750">
          <a:extLst>
            <a:ext uri="{FF2B5EF4-FFF2-40B4-BE49-F238E27FC236}">
              <a16:creationId xmlns:a16="http://schemas.microsoft.com/office/drawing/2014/main" id="{EF5007EA-0721-4884-ACA0-41E4F951823B}"/>
            </a:ext>
          </a:extLst>
        </xdr:cNvPr>
        <xdr:cNvCxnSpPr/>
      </xdr:nvCxnSpPr>
      <xdr:spPr>
        <a:xfrm>
          <a:off x="13036677" y="2743149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1495</xdr:row>
      <xdr:rowOff>98425</xdr:rowOff>
    </xdr:from>
    <xdr:to>
      <xdr:col>6</xdr:col>
      <xdr:colOff>225552</xdr:colOff>
      <xdr:row>1515</xdr:row>
      <xdr:rowOff>137790</xdr:rowOff>
    </xdr:to>
    <xdr:cxnSp macro="_xll.PtreeEvent_ObjectClick">
      <xdr:nvCxnSpPr>
        <xdr:cNvPr id="2974" name="PTObj_DBranchDLine_1_750">
          <a:extLst>
            <a:ext uri="{FF2B5EF4-FFF2-40B4-BE49-F238E27FC236}">
              <a16:creationId xmlns:a16="http://schemas.microsoft.com/office/drawing/2014/main" id="{700231C2-9AAE-4DC7-8784-3A924893A1B3}"/>
            </a:ext>
          </a:extLst>
        </xdr:cNvPr>
        <xdr:cNvCxnSpPr/>
      </xdr:nvCxnSpPr>
      <xdr:spPr>
        <a:xfrm>
          <a:off x="12884276" y="270656050"/>
          <a:ext cx="152401" cy="365886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1493</xdr:row>
      <xdr:rowOff>95895</xdr:rowOff>
    </xdr:from>
    <xdr:to>
      <xdr:col>11</xdr:col>
      <xdr:colOff>1386015</xdr:colOff>
      <xdr:row>1493</xdr:row>
      <xdr:rowOff>95895</xdr:rowOff>
    </xdr:to>
    <xdr:cxnSp macro="_xll.PtreeEvent_ObjectClick">
      <xdr:nvCxnSpPr>
        <xdr:cNvPr id="2971" name="PTObj_DBranchHLine_1_739">
          <a:extLst>
            <a:ext uri="{FF2B5EF4-FFF2-40B4-BE49-F238E27FC236}">
              <a16:creationId xmlns:a16="http://schemas.microsoft.com/office/drawing/2014/main" id="{A431E9C4-B2B1-4F5E-8718-F39F4F4A0280}"/>
            </a:ext>
          </a:extLst>
        </xdr:cNvPr>
        <xdr:cNvCxnSpPr/>
      </xdr:nvCxnSpPr>
      <xdr:spPr>
        <a:xfrm>
          <a:off x="20149945" y="270291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1491</xdr:row>
      <xdr:rowOff>87015</xdr:rowOff>
    </xdr:from>
    <xdr:to>
      <xdr:col>11</xdr:col>
      <xdr:colOff>195070</xdr:colOff>
      <xdr:row>1493</xdr:row>
      <xdr:rowOff>95895</xdr:rowOff>
    </xdr:to>
    <xdr:cxnSp macro="_xll.PtreeEvent_ObjectClick">
      <xdr:nvCxnSpPr>
        <xdr:cNvPr id="2970" name="PTObj_DBranchDLine_1_739">
          <a:extLst>
            <a:ext uri="{FF2B5EF4-FFF2-40B4-BE49-F238E27FC236}">
              <a16:creationId xmlns:a16="http://schemas.microsoft.com/office/drawing/2014/main" id="{D3A73DBF-4112-43C4-A841-4627D2B0406E}"/>
            </a:ext>
          </a:extLst>
        </xdr:cNvPr>
        <xdr:cNvCxnSpPr/>
      </xdr:nvCxnSpPr>
      <xdr:spPr>
        <a:xfrm>
          <a:off x="19997545" y="269920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1491</xdr:row>
      <xdr:rowOff>92075</xdr:rowOff>
    </xdr:from>
    <xdr:to>
      <xdr:col>10</xdr:col>
      <xdr:colOff>1388870</xdr:colOff>
      <xdr:row>1491</xdr:row>
      <xdr:rowOff>92075</xdr:rowOff>
    </xdr:to>
    <xdr:cxnSp macro="_xll.PtreeEvent_ObjectClick">
      <xdr:nvCxnSpPr>
        <xdr:cNvPr id="2967" name="PTObj_DBranchHLine_1_738">
          <a:extLst>
            <a:ext uri="{FF2B5EF4-FFF2-40B4-BE49-F238E27FC236}">
              <a16:creationId xmlns:a16="http://schemas.microsoft.com/office/drawing/2014/main" id="{3E7B842B-35C4-4284-A988-3331DFAAB9F6}"/>
            </a:ext>
          </a:extLst>
        </xdr:cNvPr>
        <xdr:cNvCxnSpPr/>
      </xdr:nvCxnSpPr>
      <xdr:spPr>
        <a:xfrm>
          <a:off x="18730720" y="269925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1489</xdr:row>
      <xdr:rowOff>76547</xdr:rowOff>
    </xdr:from>
    <xdr:to>
      <xdr:col>10</xdr:col>
      <xdr:colOff>204595</xdr:colOff>
      <xdr:row>1491</xdr:row>
      <xdr:rowOff>92075</xdr:rowOff>
    </xdr:to>
    <xdr:cxnSp macro="_xll.PtreeEvent_ObjectClick">
      <xdr:nvCxnSpPr>
        <xdr:cNvPr id="2966" name="PTObj_DBranchDLine_1_738">
          <a:extLst>
            <a:ext uri="{FF2B5EF4-FFF2-40B4-BE49-F238E27FC236}">
              <a16:creationId xmlns:a16="http://schemas.microsoft.com/office/drawing/2014/main" id="{D6B3B278-2450-4289-A793-0952D55FDD7A}"/>
            </a:ext>
          </a:extLst>
        </xdr:cNvPr>
        <xdr:cNvCxnSpPr/>
      </xdr:nvCxnSpPr>
      <xdr:spPr>
        <a:xfrm>
          <a:off x="18578320" y="269548322"/>
          <a:ext cx="152400" cy="3774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1489</xdr:row>
      <xdr:rowOff>88255</xdr:rowOff>
    </xdr:from>
    <xdr:to>
      <xdr:col>9</xdr:col>
      <xdr:colOff>1392681</xdr:colOff>
      <xdr:row>1489</xdr:row>
      <xdr:rowOff>88255</xdr:rowOff>
    </xdr:to>
    <xdr:cxnSp macro="_xll.PtreeEvent_ObjectClick">
      <xdr:nvCxnSpPr>
        <xdr:cNvPr id="2963" name="PTObj_DBranchHLine_1_737">
          <a:extLst>
            <a:ext uri="{FF2B5EF4-FFF2-40B4-BE49-F238E27FC236}">
              <a16:creationId xmlns:a16="http://schemas.microsoft.com/office/drawing/2014/main" id="{E1E0F2BA-2434-4344-8CAC-9C0581D6DE77}"/>
            </a:ext>
          </a:extLst>
        </xdr:cNvPr>
        <xdr:cNvCxnSpPr/>
      </xdr:nvCxnSpPr>
      <xdr:spPr>
        <a:xfrm>
          <a:off x="17306734" y="269560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1487</xdr:row>
      <xdr:rowOff>75555</xdr:rowOff>
    </xdr:from>
    <xdr:to>
      <xdr:col>9</xdr:col>
      <xdr:colOff>209359</xdr:colOff>
      <xdr:row>1489</xdr:row>
      <xdr:rowOff>88255</xdr:rowOff>
    </xdr:to>
    <xdr:cxnSp macro="_xll.PtreeEvent_ObjectClick">
      <xdr:nvCxnSpPr>
        <xdr:cNvPr id="2962" name="PTObj_DBranchDLine_1_737">
          <a:extLst>
            <a:ext uri="{FF2B5EF4-FFF2-40B4-BE49-F238E27FC236}">
              <a16:creationId xmlns:a16="http://schemas.microsoft.com/office/drawing/2014/main" id="{5069F20A-ED1A-442A-B736-1741D0F995AF}"/>
            </a:ext>
          </a:extLst>
        </xdr:cNvPr>
        <xdr:cNvCxnSpPr/>
      </xdr:nvCxnSpPr>
      <xdr:spPr>
        <a:xfrm>
          <a:off x="17154334" y="269185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1487</xdr:row>
      <xdr:rowOff>84460</xdr:rowOff>
    </xdr:from>
    <xdr:to>
      <xdr:col>8</xdr:col>
      <xdr:colOff>1398397</xdr:colOff>
      <xdr:row>1487</xdr:row>
      <xdr:rowOff>84460</xdr:rowOff>
    </xdr:to>
    <xdr:cxnSp macro="_xll.PtreeEvent_ObjectClick">
      <xdr:nvCxnSpPr>
        <xdr:cNvPr id="2959" name="PTObj_DBranchHLine_1_736">
          <a:extLst>
            <a:ext uri="{FF2B5EF4-FFF2-40B4-BE49-F238E27FC236}">
              <a16:creationId xmlns:a16="http://schemas.microsoft.com/office/drawing/2014/main" id="{8AE2151D-CC01-4753-9BD2-7094CD141459}"/>
            </a:ext>
          </a:extLst>
        </xdr:cNvPr>
        <xdr:cNvCxnSpPr/>
      </xdr:nvCxnSpPr>
      <xdr:spPr>
        <a:xfrm>
          <a:off x="15888463" y="269194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1485</xdr:row>
      <xdr:rowOff>75580</xdr:rowOff>
    </xdr:from>
    <xdr:to>
      <xdr:col>8</xdr:col>
      <xdr:colOff>219838</xdr:colOff>
      <xdr:row>1487</xdr:row>
      <xdr:rowOff>84460</xdr:rowOff>
    </xdr:to>
    <xdr:cxnSp macro="_xll.PtreeEvent_ObjectClick">
      <xdr:nvCxnSpPr>
        <xdr:cNvPr id="2958" name="PTObj_DBranchDLine_1_736">
          <a:extLst>
            <a:ext uri="{FF2B5EF4-FFF2-40B4-BE49-F238E27FC236}">
              <a16:creationId xmlns:a16="http://schemas.microsoft.com/office/drawing/2014/main" id="{DD1168ED-9A33-48F8-9C91-E31327A0311D}"/>
            </a:ext>
          </a:extLst>
        </xdr:cNvPr>
        <xdr:cNvCxnSpPr/>
      </xdr:nvCxnSpPr>
      <xdr:spPr>
        <a:xfrm>
          <a:off x="15736063" y="2688234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1483</xdr:row>
      <xdr:rowOff>76845</xdr:rowOff>
    </xdr:from>
    <xdr:to>
      <xdr:col>11</xdr:col>
      <xdr:colOff>1386967</xdr:colOff>
      <xdr:row>1483</xdr:row>
      <xdr:rowOff>76845</xdr:rowOff>
    </xdr:to>
    <xdr:cxnSp macro="_xll.PtreeEvent_ObjectClick">
      <xdr:nvCxnSpPr>
        <xdr:cNvPr id="2955" name="PTObj_DBranchHLine_1_734">
          <a:extLst>
            <a:ext uri="{FF2B5EF4-FFF2-40B4-BE49-F238E27FC236}">
              <a16:creationId xmlns:a16="http://schemas.microsoft.com/office/drawing/2014/main" id="{F07B7BCE-7B46-424F-8C89-37A0A83533F9}"/>
            </a:ext>
          </a:extLst>
        </xdr:cNvPr>
        <xdr:cNvCxnSpPr/>
      </xdr:nvCxnSpPr>
      <xdr:spPr>
        <a:xfrm>
          <a:off x="20149945" y="268462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1481</xdr:row>
      <xdr:rowOff>70817</xdr:rowOff>
    </xdr:from>
    <xdr:to>
      <xdr:col>11</xdr:col>
      <xdr:colOff>195070</xdr:colOff>
      <xdr:row>1483</xdr:row>
      <xdr:rowOff>76845</xdr:rowOff>
    </xdr:to>
    <xdr:cxnSp macro="_xll.PtreeEvent_ObjectClick">
      <xdr:nvCxnSpPr>
        <xdr:cNvPr id="2954" name="PTObj_DBranchDLine_1_734">
          <a:extLst>
            <a:ext uri="{FF2B5EF4-FFF2-40B4-BE49-F238E27FC236}">
              <a16:creationId xmlns:a16="http://schemas.microsoft.com/office/drawing/2014/main" id="{50932189-6CF7-4A55-A818-BB56AE4F453C}"/>
            </a:ext>
          </a:extLst>
        </xdr:cNvPr>
        <xdr:cNvCxnSpPr/>
      </xdr:nvCxnSpPr>
      <xdr:spPr>
        <a:xfrm>
          <a:off x="19997545" y="2680947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1481</xdr:row>
      <xdr:rowOff>73025</xdr:rowOff>
    </xdr:from>
    <xdr:to>
      <xdr:col>10</xdr:col>
      <xdr:colOff>1388870</xdr:colOff>
      <xdr:row>1481</xdr:row>
      <xdr:rowOff>73025</xdr:rowOff>
    </xdr:to>
    <xdr:cxnSp macro="_xll.PtreeEvent_ObjectClick">
      <xdr:nvCxnSpPr>
        <xdr:cNvPr id="2951" name="PTObj_DBranchHLine_1_733">
          <a:extLst>
            <a:ext uri="{FF2B5EF4-FFF2-40B4-BE49-F238E27FC236}">
              <a16:creationId xmlns:a16="http://schemas.microsoft.com/office/drawing/2014/main" id="{D134CC7D-AB83-43E9-8012-284E286D143F}"/>
            </a:ext>
          </a:extLst>
        </xdr:cNvPr>
        <xdr:cNvCxnSpPr/>
      </xdr:nvCxnSpPr>
      <xdr:spPr>
        <a:xfrm>
          <a:off x="18730720" y="268097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1479</xdr:row>
      <xdr:rowOff>68907</xdr:rowOff>
    </xdr:from>
    <xdr:to>
      <xdr:col>10</xdr:col>
      <xdr:colOff>204595</xdr:colOff>
      <xdr:row>1481</xdr:row>
      <xdr:rowOff>73025</xdr:rowOff>
    </xdr:to>
    <xdr:cxnSp macro="_xll.PtreeEvent_ObjectClick">
      <xdr:nvCxnSpPr>
        <xdr:cNvPr id="2950" name="PTObj_DBranchDLine_1_733">
          <a:extLst>
            <a:ext uri="{FF2B5EF4-FFF2-40B4-BE49-F238E27FC236}">
              <a16:creationId xmlns:a16="http://schemas.microsoft.com/office/drawing/2014/main" id="{EA24FC51-4A71-4E21-8C30-4E3C8FDD57DF}"/>
            </a:ext>
          </a:extLst>
        </xdr:cNvPr>
        <xdr:cNvCxnSpPr/>
      </xdr:nvCxnSpPr>
      <xdr:spPr>
        <a:xfrm>
          <a:off x="18578320" y="2677309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1479</xdr:row>
      <xdr:rowOff>69205</xdr:rowOff>
    </xdr:from>
    <xdr:to>
      <xdr:col>9</xdr:col>
      <xdr:colOff>1392681</xdr:colOff>
      <xdr:row>1479</xdr:row>
      <xdr:rowOff>69205</xdr:rowOff>
    </xdr:to>
    <xdr:cxnSp macro="_xll.PtreeEvent_ObjectClick">
      <xdr:nvCxnSpPr>
        <xdr:cNvPr id="2947" name="PTObj_DBranchHLine_1_732">
          <a:extLst>
            <a:ext uri="{FF2B5EF4-FFF2-40B4-BE49-F238E27FC236}">
              <a16:creationId xmlns:a16="http://schemas.microsoft.com/office/drawing/2014/main" id="{3ED35279-6068-45D5-9273-06886DDE34F4}"/>
            </a:ext>
          </a:extLst>
        </xdr:cNvPr>
        <xdr:cNvCxnSpPr/>
      </xdr:nvCxnSpPr>
      <xdr:spPr>
        <a:xfrm>
          <a:off x="17306734" y="267731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1477</xdr:row>
      <xdr:rowOff>63178</xdr:rowOff>
    </xdr:from>
    <xdr:to>
      <xdr:col>9</xdr:col>
      <xdr:colOff>209359</xdr:colOff>
      <xdr:row>1479</xdr:row>
      <xdr:rowOff>69205</xdr:rowOff>
    </xdr:to>
    <xdr:cxnSp macro="_xll.PtreeEvent_ObjectClick">
      <xdr:nvCxnSpPr>
        <xdr:cNvPr id="2946" name="PTObj_DBranchDLine_1_732">
          <a:extLst>
            <a:ext uri="{FF2B5EF4-FFF2-40B4-BE49-F238E27FC236}">
              <a16:creationId xmlns:a16="http://schemas.microsoft.com/office/drawing/2014/main" id="{1F8996EF-BB52-4DB4-A503-16B95FB4FBF0}"/>
            </a:ext>
          </a:extLst>
        </xdr:cNvPr>
        <xdr:cNvCxnSpPr/>
      </xdr:nvCxnSpPr>
      <xdr:spPr>
        <a:xfrm>
          <a:off x="17154334" y="2673632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1477</xdr:row>
      <xdr:rowOff>65410</xdr:rowOff>
    </xdr:from>
    <xdr:to>
      <xdr:col>8</xdr:col>
      <xdr:colOff>1398397</xdr:colOff>
      <xdr:row>1477</xdr:row>
      <xdr:rowOff>65410</xdr:rowOff>
    </xdr:to>
    <xdr:cxnSp macro="_xll.PtreeEvent_ObjectClick">
      <xdr:nvCxnSpPr>
        <xdr:cNvPr id="2943" name="PTObj_DBranchHLine_1_731">
          <a:extLst>
            <a:ext uri="{FF2B5EF4-FFF2-40B4-BE49-F238E27FC236}">
              <a16:creationId xmlns:a16="http://schemas.microsoft.com/office/drawing/2014/main" id="{DE0FBFC9-86CE-42E0-88ED-0BD1EB2B6492}"/>
            </a:ext>
          </a:extLst>
        </xdr:cNvPr>
        <xdr:cNvCxnSpPr/>
      </xdr:nvCxnSpPr>
      <xdr:spPr>
        <a:xfrm>
          <a:off x="15884652" y="267365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1477</xdr:row>
      <xdr:rowOff>65410</xdr:rowOff>
    </xdr:from>
    <xdr:to>
      <xdr:col>8</xdr:col>
      <xdr:colOff>216027</xdr:colOff>
      <xdr:row>1485</xdr:row>
      <xdr:rowOff>75580</xdr:rowOff>
    </xdr:to>
    <xdr:cxnSp macro="_xll.PtreeEvent_ObjectClick">
      <xdr:nvCxnSpPr>
        <xdr:cNvPr id="2942" name="PTObj_DBranchDLine_1_731">
          <a:extLst>
            <a:ext uri="{FF2B5EF4-FFF2-40B4-BE49-F238E27FC236}">
              <a16:creationId xmlns:a16="http://schemas.microsoft.com/office/drawing/2014/main" id="{B9EAD785-501F-4167-BC8B-91A7782CDC6D}"/>
            </a:ext>
          </a:extLst>
        </xdr:cNvPr>
        <xdr:cNvCxnSpPr/>
      </xdr:nvCxnSpPr>
      <xdr:spPr>
        <a:xfrm flipV="1">
          <a:off x="15732252" y="2673654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1485</xdr:row>
      <xdr:rowOff>80640</xdr:rowOff>
    </xdr:from>
    <xdr:to>
      <xdr:col>7</xdr:col>
      <xdr:colOff>1402207</xdr:colOff>
      <xdr:row>1485</xdr:row>
      <xdr:rowOff>80640</xdr:rowOff>
    </xdr:to>
    <xdr:cxnSp macro="_xll.PtreeEvent_ObjectClick">
      <xdr:nvCxnSpPr>
        <xdr:cNvPr id="2939" name="PTObj_DBranchHLine_1_735">
          <a:extLst>
            <a:ext uri="{FF2B5EF4-FFF2-40B4-BE49-F238E27FC236}">
              <a16:creationId xmlns:a16="http://schemas.microsoft.com/office/drawing/2014/main" id="{9B691AE8-90C4-4945-B856-10EB47F30C32}"/>
            </a:ext>
          </a:extLst>
        </xdr:cNvPr>
        <xdr:cNvCxnSpPr/>
      </xdr:nvCxnSpPr>
      <xdr:spPr>
        <a:xfrm>
          <a:off x="14460665" y="268828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1475</xdr:row>
      <xdr:rowOff>56530</xdr:rowOff>
    </xdr:from>
    <xdr:to>
      <xdr:col>7</xdr:col>
      <xdr:colOff>220790</xdr:colOff>
      <xdr:row>1485</xdr:row>
      <xdr:rowOff>80640</xdr:rowOff>
    </xdr:to>
    <xdr:cxnSp macro="_xll.PtreeEvent_ObjectClick">
      <xdr:nvCxnSpPr>
        <xdr:cNvPr id="2938" name="PTObj_DBranchDLine_1_735">
          <a:extLst>
            <a:ext uri="{FF2B5EF4-FFF2-40B4-BE49-F238E27FC236}">
              <a16:creationId xmlns:a16="http://schemas.microsoft.com/office/drawing/2014/main" id="{B28D2CD8-7463-4B6D-B7B1-7DE30F46F436}"/>
            </a:ext>
          </a:extLst>
        </xdr:cNvPr>
        <xdr:cNvCxnSpPr/>
      </xdr:nvCxnSpPr>
      <xdr:spPr>
        <a:xfrm>
          <a:off x="14308265" y="266994655"/>
          <a:ext cx="152400" cy="1833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1473</xdr:row>
      <xdr:rowOff>57795</xdr:rowOff>
    </xdr:from>
    <xdr:to>
      <xdr:col>11</xdr:col>
      <xdr:colOff>1394589</xdr:colOff>
      <xdr:row>1473</xdr:row>
      <xdr:rowOff>57795</xdr:rowOff>
    </xdr:to>
    <xdr:cxnSp macro="_xll.PtreeEvent_ObjectClick">
      <xdr:nvCxnSpPr>
        <xdr:cNvPr id="2935" name="PTObj_DBranchHLine_1_729">
          <a:extLst>
            <a:ext uri="{FF2B5EF4-FFF2-40B4-BE49-F238E27FC236}">
              <a16:creationId xmlns:a16="http://schemas.microsoft.com/office/drawing/2014/main" id="{5BED9504-8D21-452C-9555-788FC1B0D8DB}"/>
            </a:ext>
          </a:extLst>
        </xdr:cNvPr>
        <xdr:cNvCxnSpPr/>
      </xdr:nvCxnSpPr>
      <xdr:spPr>
        <a:xfrm>
          <a:off x="20149945" y="2666339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1471</xdr:row>
      <xdr:rowOff>41275</xdr:rowOff>
    </xdr:from>
    <xdr:to>
      <xdr:col>11</xdr:col>
      <xdr:colOff>195070</xdr:colOff>
      <xdr:row>1473</xdr:row>
      <xdr:rowOff>57795</xdr:rowOff>
    </xdr:to>
    <xdr:cxnSp macro="_xll.PtreeEvent_ObjectClick">
      <xdr:nvCxnSpPr>
        <xdr:cNvPr id="2934" name="PTObj_DBranchDLine_1_729">
          <a:extLst>
            <a:ext uri="{FF2B5EF4-FFF2-40B4-BE49-F238E27FC236}">
              <a16:creationId xmlns:a16="http://schemas.microsoft.com/office/drawing/2014/main" id="{54D56E36-0145-412F-A284-A695BD0D5774}"/>
            </a:ext>
          </a:extLst>
        </xdr:cNvPr>
        <xdr:cNvCxnSpPr/>
      </xdr:nvCxnSpPr>
      <xdr:spPr>
        <a:xfrm>
          <a:off x="19997545" y="2662555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1471</xdr:row>
      <xdr:rowOff>53975</xdr:rowOff>
    </xdr:from>
    <xdr:to>
      <xdr:col>10</xdr:col>
      <xdr:colOff>1388870</xdr:colOff>
      <xdr:row>1471</xdr:row>
      <xdr:rowOff>53975</xdr:rowOff>
    </xdr:to>
    <xdr:cxnSp macro="_xll.PtreeEvent_ObjectClick">
      <xdr:nvCxnSpPr>
        <xdr:cNvPr id="2931" name="PTObj_DBranchHLine_1_728">
          <a:extLst>
            <a:ext uri="{FF2B5EF4-FFF2-40B4-BE49-F238E27FC236}">
              <a16:creationId xmlns:a16="http://schemas.microsoft.com/office/drawing/2014/main" id="{B2DEF700-A216-4C0E-B780-EB2D94DF9E7E}"/>
            </a:ext>
          </a:extLst>
        </xdr:cNvPr>
        <xdr:cNvCxnSpPr/>
      </xdr:nvCxnSpPr>
      <xdr:spPr>
        <a:xfrm>
          <a:off x="18730720" y="266268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1469</xdr:row>
      <xdr:rowOff>38422</xdr:rowOff>
    </xdr:from>
    <xdr:to>
      <xdr:col>10</xdr:col>
      <xdr:colOff>204595</xdr:colOff>
      <xdr:row>1471</xdr:row>
      <xdr:rowOff>53975</xdr:rowOff>
    </xdr:to>
    <xdr:cxnSp macro="_xll.PtreeEvent_ObjectClick">
      <xdr:nvCxnSpPr>
        <xdr:cNvPr id="2930" name="PTObj_DBranchDLine_1_728">
          <a:extLst>
            <a:ext uri="{FF2B5EF4-FFF2-40B4-BE49-F238E27FC236}">
              <a16:creationId xmlns:a16="http://schemas.microsoft.com/office/drawing/2014/main" id="{EEA04127-C4D5-4B74-ADA5-7B26E7D20C8F}"/>
            </a:ext>
          </a:extLst>
        </xdr:cNvPr>
        <xdr:cNvCxnSpPr/>
      </xdr:nvCxnSpPr>
      <xdr:spPr>
        <a:xfrm>
          <a:off x="18578320" y="2658906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1469</xdr:row>
      <xdr:rowOff>50155</xdr:rowOff>
    </xdr:from>
    <xdr:to>
      <xdr:col>9</xdr:col>
      <xdr:colOff>1392681</xdr:colOff>
      <xdr:row>1469</xdr:row>
      <xdr:rowOff>50155</xdr:rowOff>
    </xdr:to>
    <xdr:cxnSp macro="_xll.PtreeEvent_ObjectClick">
      <xdr:nvCxnSpPr>
        <xdr:cNvPr id="2927" name="PTObj_DBranchHLine_1_727">
          <a:extLst>
            <a:ext uri="{FF2B5EF4-FFF2-40B4-BE49-F238E27FC236}">
              <a16:creationId xmlns:a16="http://schemas.microsoft.com/office/drawing/2014/main" id="{EB5B8463-0C7A-49F0-BF40-8D5EB5F6BF2B}"/>
            </a:ext>
          </a:extLst>
        </xdr:cNvPr>
        <xdr:cNvCxnSpPr/>
      </xdr:nvCxnSpPr>
      <xdr:spPr>
        <a:xfrm>
          <a:off x="17306734" y="265902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1467</xdr:row>
      <xdr:rowOff>37480</xdr:rowOff>
    </xdr:from>
    <xdr:to>
      <xdr:col>9</xdr:col>
      <xdr:colOff>209359</xdr:colOff>
      <xdr:row>1469</xdr:row>
      <xdr:rowOff>50155</xdr:rowOff>
    </xdr:to>
    <xdr:cxnSp macro="_xll.PtreeEvent_ObjectClick">
      <xdr:nvCxnSpPr>
        <xdr:cNvPr id="2926" name="PTObj_DBranchDLine_1_727">
          <a:extLst>
            <a:ext uri="{FF2B5EF4-FFF2-40B4-BE49-F238E27FC236}">
              <a16:creationId xmlns:a16="http://schemas.microsoft.com/office/drawing/2014/main" id="{A20C7C0E-898C-465C-88D9-B278DD8E09B5}"/>
            </a:ext>
          </a:extLst>
        </xdr:cNvPr>
        <xdr:cNvCxnSpPr/>
      </xdr:nvCxnSpPr>
      <xdr:spPr>
        <a:xfrm>
          <a:off x="17154334" y="2655278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1467</xdr:row>
      <xdr:rowOff>46360</xdr:rowOff>
    </xdr:from>
    <xdr:to>
      <xdr:col>8</xdr:col>
      <xdr:colOff>1398397</xdr:colOff>
      <xdr:row>1467</xdr:row>
      <xdr:rowOff>46360</xdr:rowOff>
    </xdr:to>
    <xdr:cxnSp macro="_xll.PtreeEvent_ObjectClick">
      <xdr:nvCxnSpPr>
        <xdr:cNvPr id="2923" name="PTObj_DBranchHLine_1_726">
          <a:extLst>
            <a:ext uri="{FF2B5EF4-FFF2-40B4-BE49-F238E27FC236}">
              <a16:creationId xmlns:a16="http://schemas.microsoft.com/office/drawing/2014/main" id="{596E2C7B-FF3F-49AB-81AF-704A8D99B2FF}"/>
            </a:ext>
          </a:extLst>
        </xdr:cNvPr>
        <xdr:cNvCxnSpPr/>
      </xdr:nvCxnSpPr>
      <xdr:spPr>
        <a:xfrm>
          <a:off x="15888463" y="265536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1465</xdr:row>
      <xdr:rowOff>37480</xdr:rowOff>
    </xdr:from>
    <xdr:to>
      <xdr:col>8</xdr:col>
      <xdr:colOff>219838</xdr:colOff>
      <xdr:row>1467</xdr:row>
      <xdr:rowOff>46360</xdr:rowOff>
    </xdr:to>
    <xdr:cxnSp macro="_xll.PtreeEvent_ObjectClick">
      <xdr:nvCxnSpPr>
        <xdr:cNvPr id="2922" name="PTObj_DBranchDLine_1_726">
          <a:extLst>
            <a:ext uri="{FF2B5EF4-FFF2-40B4-BE49-F238E27FC236}">
              <a16:creationId xmlns:a16="http://schemas.microsoft.com/office/drawing/2014/main" id="{0EBC2F11-76A4-4DA4-919C-BC8C0467CF6A}"/>
            </a:ext>
          </a:extLst>
        </xdr:cNvPr>
        <xdr:cNvCxnSpPr/>
      </xdr:nvCxnSpPr>
      <xdr:spPr>
        <a:xfrm>
          <a:off x="15736063" y="2651658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1463</xdr:row>
      <xdr:rowOff>38745</xdr:rowOff>
    </xdr:from>
    <xdr:to>
      <xdr:col>11</xdr:col>
      <xdr:colOff>1386967</xdr:colOff>
      <xdr:row>1463</xdr:row>
      <xdr:rowOff>38745</xdr:rowOff>
    </xdr:to>
    <xdr:cxnSp macro="_xll.PtreeEvent_ObjectClick">
      <xdr:nvCxnSpPr>
        <xdr:cNvPr id="2919" name="PTObj_DBranchHLine_1_724">
          <a:extLst>
            <a:ext uri="{FF2B5EF4-FFF2-40B4-BE49-F238E27FC236}">
              <a16:creationId xmlns:a16="http://schemas.microsoft.com/office/drawing/2014/main" id="{C6B3AAA2-6653-433D-BDA0-DE451A53E48C}"/>
            </a:ext>
          </a:extLst>
        </xdr:cNvPr>
        <xdr:cNvCxnSpPr/>
      </xdr:nvCxnSpPr>
      <xdr:spPr>
        <a:xfrm>
          <a:off x="20149945" y="264805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1461</xdr:row>
      <xdr:rowOff>32717</xdr:rowOff>
    </xdr:from>
    <xdr:to>
      <xdr:col>11</xdr:col>
      <xdr:colOff>195070</xdr:colOff>
      <xdr:row>1463</xdr:row>
      <xdr:rowOff>38745</xdr:rowOff>
    </xdr:to>
    <xdr:cxnSp macro="_xll.PtreeEvent_ObjectClick">
      <xdr:nvCxnSpPr>
        <xdr:cNvPr id="2918" name="PTObj_DBranchDLine_1_724">
          <a:extLst>
            <a:ext uri="{FF2B5EF4-FFF2-40B4-BE49-F238E27FC236}">
              <a16:creationId xmlns:a16="http://schemas.microsoft.com/office/drawing/2014/main" id="{D9A56875-7F92-4E25-900B-3171150AB444}"/>
            </a:ext>
          </a:extLst>
        </xdr:cNvPr>
        <xdr:cNvCxnSpPr/>
      </xdr:nvCxnSpPr>
      <xdr:spPr>
        <a:xfrm>
          <a:off x="19997545" y="2644371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1461</xdr:row>
      <xdr:rowOff>34925</xdr:rowOff>
    </xdr:from>
    <xdr:to>
      <xdr:col>10</xdr:col>
      <xdr:colOff>1388870</xdr:colOff>
      <xdr:row>1461</xdr:row>
      <xdr:rowOff>34925</xdr:rowOff>
    </xdr:to>
    <xdr:cxnSp macro="_xll.PtreeEvent_ObjectClick">
      <xdr:nvCxnSpPr>
        <xdr:cNvPr id="2915" name="PTObj_DBranchHLine_1_723">
          <a:extLst>
            <a:ext uri="{FF2B5EF4-FFF2-40B4-BE49-F238E27FC236}">
              <a16:creationId xmlns:a16="http://schemas.microsoft.com/office/drawing/2014/main" id="{FAE3FD53-BA2E-4626-9BDE-BA32E1A1CECC}"/>
            </a:ext>
          </a:extLst>
        </xdr:cNvPr>
        <xdr:cNvCxnSpPr/>
      </xdr:nvCxnSpPr>
      <xdr:spPr>
        <a:xfrm>
          <a:off x="18730720" y="264439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1459</xdr:row>
      <xdr:rowOff>30807</xdr:rowOff>
    </xdr:from>
    <xdr:to>
      <xdr:col>10</xdr:col>
      <xdr:colOff>204595</xdr:colOff>
      <xdr:row>1461</xdr:row>
      <xdr:rowOff>34925</xdr:rowOff>
    </xdr:to>
    <xdr:cxnSp macro="_xll.PtreeEvent_ObjectClick">
      <xdr:nvCxnSpPr>
        <xdr:cNvPr id="2914" name="PTObj_DBranchDLine_1_723">
          <a:extLst>
            <a:ext uri="{FF2B5EF4-FFF2-40B4-BE49-F238E27FC236}">
              <a16:creationId xmlns:a16="http://schemas.microsoft.com/office/drawing/2014/main" id="{805C6401-2EC0-40F7-9EF5-2D7902578308}"/>
            </a:ext>
          </a:extLst>
        </xdr:cNvPr>
        <xdr:cNvCxnSpPr/>
      </xdr:nvCxnSpPr>
      <xdr:spPr>
        <a:xfrm>
          <a:off x="18578320" y="2640733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1459</xdr:row>
      <xdr:rowOff>31105</xdr:rowOff>
    </xdr:from>
    <xdr:to>
      <xdr:col>9</xdr:col>
      <xdr:colOff>1392681</xdr:colOff>
      <xdr:row>1459</xdr:row>
      <xdr:rowOff>31105</xdr:rowOff>
    </xdr:to>
    <xdr:cxnSp macro="_xll.PtreeEvent_ObjectClick">
      <xdr:nvCxnSpPr>
        <xdr:cNvPr id="2911" name="PTObj_DBranchHLine_1_722">
          <a:extLst>
            <a:ext uri="{FF2B5EF4-FFF2-40B4-BE49-F238E27FC236}">
              <a16:creationId xmlns:a16="http://schemas.microsoft.com/office/drawing/2014/main" id="{58B638CF-E05D-4A58-ABE4-DE8E0FF9E587}"/>
            </a:ext>
          </a:extLst>
        </xdr:cNvPr>
        <xdr:cNvCxnSpPr/>
      </xdr:nvCxnSpPr>
      <xdr:spPr>
        <a:xfrm>
          <a:off x="17306734" y="264073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1457</xdr:row>
      <xdr:rowOff>25078</xdr:rowOff>
    </xdr:from>
    <xdr:to>
      <xdr:col>9</xdr:col>
      <xdr:colOff>209359</xdr:colOff>
      <xdr:row>1459</xdr:row>
      <xdr:rowOff>31105</xdr:rowOff>
    </xdr:to>
    <xdr:cxnSp macro="_xll.PtreeEvent_ObjectClick">
      <xdr:nvCxnSpPr>
        <xdr:cNvPr id="2910" name="PTObj_DBranchDLine_1_722">
          <a:extLst>
            <a:ext uri="{FF2B5EF4-FFF2-40B4-BE49-F238E27FC236}">
              <a16:creationId xmlns:a16="http://schemas.microsoft.com/office/drawing/2014/main" id="{A272D739-35C2-47F5-86CC-66637F3F5E64}"/>
            </a:ext>
          </a:extLst>
        </xdr:cNvPr>
        <xdr:cNvCxnSpPr/>
      </xdr:nvCxnSpPr>
      <xdr:spPr>
        <a:xfrm>
          <a:off x="17154334" y="2637056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1457</xdr:row>
      <xdr:rowOff>27310</xdr:rowOff>
    </xdr:from>
    <xdr:to>
      <xdr:col>8</xdr:col>
      <xdr:colOff>1398397</xdr:colOff>
      <xdr:row>1457</xdr:row>
      <xdr:rowOff>27310</xdr:rowOff>
    </xdr:to>
    <xdr:cxnSp macro="_xll.PtreeEvent_ObjectClick">
      <xdr:nvCxnSpPr>
        <xdr:cNvPr id="2907" name="PTObj_DBranchHLine_1_721">
          <a:extLst>
            <a:ext uri="{FF2B5EF4-FFF2-40B4-BE49-F238E27FC236}">
              <a16:creationId xmlns:a16="http://schemas.microsoft.com/office/drawing/2014/main" id="{4FA0B302-F927-4CE6-81CE-7027582DEA8E}"/>
            </a:ext>
          </a:extLst>
        </xdr:cNvPr>
        <xdr:cNvCxnSpPr/>
      </xdr:nvCxnSpPr>
      <xdr:spPr>
        <a:xfrm>
          <a:off x="15884652" y="263707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1457</xdr:row>
      <xdr:rowOff>27310</xdr:rowOff>
    </xdr:from>
    <xdr:to>
      <xdr:col>8</xdr:col>
      <xdr:colOff>216027</xdr:colOff>
      <xdr:row>1465</xdr:row>
      <xdr:rowOff>37480</xdr:rowOff>
    </xdr:to>
    <xdr:cxnSp macro="_xll.PtreeEvent_ObjectClick">
      <xdr:nvCxnSpPr>
        <xdr:cNvPr id="2906" name="PTObj_DBranchDLine_1_721">
          <a:extLst>
            <a:ext uri="{FF2B5EF4-FFF2-40B4-BE49-F238E27FC236}">
              <a16:creationId xmlns:a16="http://schemas.microsoft.com/office/drawing/2014/main" id="{2C112598-2254-463B-96E1-F6C1A7A836E2}"/>
            </a:ext>
          </a:extLst>
        </xdr:cNvPr>
        <xdr:cNvCxnSpPr/>
      </xdr:nvCxnSpPr>
      <xdr:spPr>
        <a:xfrm flipV="1">
          <a:off x="15732252" y="2637078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1465</xdr:row>
      <xdr:rowOff>42540</xdr:rowOff>
    </xdr:from>
    <xdr:to>
      <xdr:col>7</xdr:col>
      <xdr:colOff>1402207</xdr:colOff>
      <xdr:row>1465</xdr:row>
      <xdr:rowOff>42540</xdr:rowOff>
    </xdr:to>
    <xdr:cxnSp macro="_xll.PtreeEvent_ObjectClick">
      <xdr:nvCxnSpPr>
        <xdr:cNvPr id="2903" name="PTObj_DBranchHLine_1_725">
          <a:extLst>
            <a:ext uri="{FF2B5EF4-FFF2-40B4-BE49-F238E27FC236}">
              <a16:creationId xmlns:a16="http://schemas.microsoft.com/office/drawing/2014/main" id="{8677B524-A4D8-4198-B845-41D91D237A30}"/>
            </a:ext>
          </a:extLst>
        </xdr:cNvPr>
        <xdr:cNvCxnSpPr/>
      </xdr:nvCxnSpPr>
      <xdr:spPr>
        <a:xfrm>
          <a:off x="14462570" y="2651709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1465</xdr:row>
      <xdr:rowOff>42540</xdr:rowOff>
    </xdr:from>
    <xdr:to>
      <xdr:col>7</xdr:col>
      <xdr:colOff>222695</xdr:colOff>
      <xdr:row>1475</xdr:row>
      <xdr:rowOff>56530</xdr:rowOff>
    </xdr:to>
    <xdr:cxnSp macro="_xll.PtreeEvent_ObjectClick">
      <xdr:nvCxnSpPr>
        <xdr:cNvPr id="2902" name="PTObj_DBranchDLine_1_725">
          <a:extLst>
            <a:ext uri="{FF2B5EF4-FFF2-40B4-BE49-F238E27FC236}">
              <a16:creationId xmlns:a16="http://schemas.microsoft.com/office/drawing/2014/main" id="{55186069-C19E-4425-8EFB-6EEA13142253}"/>
            </a:ext>
          </a:extLst>
        </xdr:cNvPr>
        <xdr:cNvCxnSpPr/>
      </xdr:nvCxnSpPr>
      <xdr:spPr>
        <a:xfrm flipV="1">
          <a:off x="14310170" y="2651709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1475</xdr:row>
      <xdr:rowOff>61590</xdr:rowOff>
    </xdr:from>
    <xdr:to>
      <xdr:col>6</xdr:col>
      <xdr:colOff>1407922</xdr:colOff>
      <xdr:row>1475</xdr:row>
      <xdr:rowOff>61590</xdr:rowOff>
    </xdr:to>
    <xdr:cxnSp macro="_xll.PtreeEvent_ObjectClick">
      <xdr:nvCxnSpPr>
        <xdr:cNvPr id="2899" name="PTObj_DBranchHLine_1_730">
          <a:extLst>
            <a:ext uri="{FF2B5EF4-FFF2-40B4-BE49-F238E27FC236}">
              <a16:creationId xmlns:a16="http://schemas.microsoft.com/office/drawing/2014/main" id="{DD63D704-CC36-4AA9-BF55-C3DF14D1480E}"/>
            </a:ext>
          </a:extLst>
        </xdr:cNvPr>
        <xdr:cNvCxnSpPr/>
      </xdr:nvCxnSpPr>
      <xdr:spPr>
        <a:xfrm>
          <a:off x="13034772" y="2669997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1475</xdr:row>
      <xdr:rowOff>61590</xdr:rowOff>
    </xdr:from>
    <xdr:to>
      <xdr:col>6</xdr:col>
      <xdr:colOff>223647</xdr:colOff>
      <xdr:row>1495</xdr:row>
      <xdr:rowOff>100310</xdr:rowOff>
    </xdr:to>
    <xdr:cxnSp macro="_xll.PtreeEvent_ObjectClick">
      <xdr:nvCxnSpPr>
        <xdr:cNvPr id="2898" name="PTObj_DBranchDLine_1_730">
          <a:extLst>
            <a:ext uri="{FF2B5EF4-FFF2-40B4-BE49-F238E27FC236}">
              <a16:creationId xmlns:a16="http://schemas.microsoft.com/office/drawing/2014/main" id="{995002AA-BD4B-420E-8341-D97C6FAB5D9C}"/>
            </a:ext>
          </a:extLst>
        </xdr:cNvPr>
        <xdr:cNvCxnSpPr/>
      </xdr:nvCxnSpPr>
      <xdr:spPr>
        <a:xfrm flipV="1">
          <a:off x="12882372" y="266999715"/>
          <a:ext cx="152400" cy="3658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1495</xdr:row>
      <xdr:rowOff>99690</xdr:rowOff>
    </xdr:from>
    <xdr:to>
      <xdr:col>5</xdr:col>
      <xdr:colOff>1411732</xdr:colOff>
      <xdr:row>1495</xdr:row>
      <xdr:rowOff>99690</xdr:rowOff>
    </xdr:to>
    <xdr:cxnSp macro="_xll.PtreeEvent_ObjectClick">
      <xdr:nvCxnSpPr>
        <xdr:cNvPr id="2895" name="PTObj_DBranchHLine_1_740">
          <a:extLst>
            <a:ext uri="{FF2B5EF4-FFF2-40B4-BE49-F238E27FC236}">
              <a16:creationId xmlns:a16="http://schemas.microsoft.com/office/drawing/2014/main" id="{8D7E39EE-8BB2-496E-9734-2C95D6CC8723}"/>
            </a:ext>
          </a:extLst>
        </xdr:cNvPr>
        <xdr:cNvCxnSpPr/>
      </xdr:nvCxnSpPr>
      <xdr:spPr>
        <a:xfrm>
          <a:off x="11610785" y="2706573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1495</xdr:row>
      <xdr:rowOff>99690</xdr:rowOff>
    </xdr:from>
    <xdr:to>
      <xdr:col>5</xdr:col>
      <xdr:colOff>228410</xdr:colOff>
      <xdr:row>1535</xdr:row>
      <xdr:rowOff>176510</xdr:rowOff>
    </xdr:to>
    <xdr:cxnSp macro="_xll.PtreeEvent_ObjectClick">
      <xdr:nvCxnSpPr>
        <xdr:cNvPr id="2894" name="PTObj_DBranchDLine_1_740">
          <a:extLst>
            <a:ext uri="{FF2B5EF4-FFF2-40B4-BE49-F238E27FC236}">
              <a16:creationId xmlns:a16="http://schemas.microsoft.com/office/drawing/2014/main" id="{23243755-2532-4FB6-B39A-18C67A5A2BA1}"/>
            </a:ext>
          </a:extLst>
        </xdr:cNvPr>
        <xdr:cNvCxnSpPr/>
      </xdr:nvCxnSpPr>
      <xdr:spPr>
        <a:xfrm flipV="1">
          <a:off x="11458385" y="270657315"/>
          <a:ext cx="152400" cy="73158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228409</xdr:colOff>
      <xdr:row>1535</xdr:row>
      <xdr:rowOff>175890</xdr:rowOff>
    </xdr:from>
    <xdr:to>
      <xdr:col>4</xdr:col>
      <xdr:colOff>1417447</xdr:colOff>
      <xdr:row>1535</xdr:row>
      <xdr:rowOff>175890</xdr:rowOff>
    </xdr:to>
    <xdr:cxnSp macro="_xll.PtreeEvent_ObjectClick">
      <xdr:nvCxnSpPr>
        <xdr:cNvPr id="2891" name="PTObj_DBranchHLine_1_760">
          <a:extLst>
            <a:ext uri="{FF2B5EF4-FFF2-40B4-BE49-F238E27FC236}">
              <a16:creationId xmlns:a16="http://schemas.microsoft.com/office/drawing/2014/main" id="{F334C96D-5CAE-4361-BA0E-2143693EB720}"/>
            </a:ext>
          </a:extLst>
        </xdr:cNvPr>
        <xdr:cNvCxnSpPr/>
      </xdr:nvCxnSpPr>
      <xdr:spPr>
        <a:xfrm>
          <a:off x="10182034" y="277972515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76009</xdr:colOff>
      <xdr:row>1455</xdr:row>
      <xdr:rowOff>18430</xdr:rowOff>
    </xdr:from>
    <xdr:to>
      <xdr:col>4</xdr:col>
      <xdr:colOff>228409</xdr:colOff>
      <xdr:row>1535</xdr:row>
      <xdr:rowOff>175890</xdr:rowOff>
    </xdr:to>
    <xdr:cxnSp macro="_xll.PtreeEvent_ObjectClick">
      <xdr:nvCxnSpPr>
        <xdr:cNvPr id="2890" name="PTObj_DBranchDLine_1_760">
          <a:extLst>
            <a:ext uri="{FF2B5EF4-FFF2-40B4-BE49-F238E27FC236}">
              <a16:creationId xmlns:a16="http://schemas.microsoft.com/office/drawing/2014/main" id="{867F4FC2-666A-4366-B86B-0020D48CD176}"/>
            </a:ext>
          </a:extLst>
        </xdr:cNvPr>
        <xdr:cNvCxnSpPr/>
      </xdr:nvCxnSpPr>
      <xdr:spPr>
        <a:xfrm>
          <a:off x="10029634" y="263337055"/>
          <a:ext cx="152400" cy="146354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1453</xdr:row>
      <xdr:rowOff>19695</xdr:rowOff>
    </xdr:from>
    <xdr:to>
      <xdr:col>11</xdr:col>
      <xdr:colOff>1394589</xdr:colOff>
      <xdr:row>1453</xdr:row>
      <xdr:rowOff>19695</xdr:rowOff>
    </xdr:to>
    <xdr:cxnSp macro="_xll.PtreeEvent_ObjectClick">
      <xdr:nvCxnSpPr>
        <xdr:cNvPr id="2887" name="PTObj_DBranchHLine_1_719">
          <a:extLst>
            <a:ext uri="{FF2B5EF4-FFF2-40B4-BE49-F238E27FC236}">
              <a16:creationId xmlns:a16="http://schemas.microsoft.com/office/drawing/2014/main" id="{A69BEE21-07C7-423A-88ED-CD2F1AA72304}"/>
            </a:ext>
          </a:extLst>
        </xdr:cNvPr>
        <xdr:cNvCxnSpPr/>
      </xdr:nvCxnSpPr>
      <xdr:spPr>
        <a:xfrm>
          <a:off x="20149945" y="2629763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1451</xdr:row>
      <xdr:rowOff>3175</xdr:rowOff>
    </xdr:from>
    <xdr:to>
      <xdr:col>11</xdr:col>
      <xdr:colOff>195070</xdr:colOff>
      <xdr:row>1453</xdr:row>
      <xdr:rowOff>19695</xdr:rowOff>
    </xdr:to>
    <xdr:cxnSp macro="_xll.PtreeEvent_ObjectClick">
      <xdr:nvCxnSpPr>
        <xdr:cNvPr id="2886" name="PTObj_DBranchDLine_1_719">
          <a:extLst>
            <a:ext uri="{FF2B5EF4-FFF2-40B4-BE49-F238E27FC236}">
              <a16:creationId xmlns:a16="http://schemas.microsoft.com/office/drawing/2014/main" id="{073F5F7E-2522-4C23-A3A7-ABEC07A17415}"/>
            </a:ext>
          </a:extLst>
        </xdr:cNvPr>
        <xdr:cNvCxnSpPr/>
      </xdr:nvCxnSpPr>
      <xdr:spPr>
        <a:xfrm>
          <a:off x="19997545" y="2625979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1451</xdr:row>
      <xdr:rowOff>15875</xdr:rowOff>
    </xdr:from>
    <xdr:to>
      <xdr:col>10</xdr:col>
      <xdr:colOff>1388870</xdr:colOff>
      <xdr:row>1451</xdr:row>
      <xdr:rowOff>15875</xdr:rowOff>
    </xdr:to>
    <xdr:cxnSp macro="_xll.PtreeEvent_ObjectClick">
      <xdr:nvCxnSpPr>
        <xdr:cNvPr id="2883" name="PTObj_DBranchHLine_1_718">
          <a:extLst>
            <a:ext uri="{FF2B5EF4-FFF2-40B4-BE49-F238E27FC236}">
              <a16:creationId xmlns:a16="http://schemas.microsoft.com/office/drawing/2014/main" id="{464D6F59-5AAA-4F3F-B886-AD50D16EF26D}"/>
            </a:ext>
          </a:extLst>
        </xdr:cNvPr>
        <xdr:cNvCxnSpPr/>
      </xdr:nvCxnSpPr>
      <xdr:spPr>
        <a:xfrm>
          <a:off x="18730720" y="262610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1449</xdr:row>
      <xdr:rowOff>322</xdr:rowOff>
    </xdr:from>
    <xdr:to>
      <xdr:col>10</xdr:col>
      <xdr:colOff>204595</xdr:colOff>
      <xdr:row>1451</xdr:row>
      <xdr:rowOff>15875</xdr:rowOff>
    </xdr:to>
    <xdr:cxnSp macro="_xll.PtreeEvent_ObjectClick">
      <xdr:nvCxnSpPr>
        <xdr:cNvPr id="2882" name="PTObj_DBranchDLine_1_718">
          <a:extLst>
            <a:ext uri="{FF2B5EF4-FFF2-40B4-BE49-F238E27FC236}">
              <a16:creationId xmlns:a16="http://schemas.microsoft.com/office/drawing/2014/main" id="{52A55674-3E3C-49A6-93FE-9B16DEF29CFA}"/>
            </a:ext>
          </a:extLst>
        </xdr:cNvPr>
        <xdr:cNvCxnSpPr/>
      </xdr:nvCxnSpPr>
      <xdr:spPr>
        <a:xfrm>
          <a:off x="18578320" y="2622330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1449</xdr:row>
      <xdr:rowOff>12055</xdr:rowOff>
    </xdr:from>
    <xdr:to>
      <xdr:col>9</xdr:col>
      <xdr:colOff>1392681</xdr:colOff>
      <xdr:row>1449</xdr:row>
      <xdr:rowOff>12055</xdr:rowOff>
    </xdr:to>
    <xdr:cxnSp macro="_xll.PtreeEvent_ObjectClick">
      <xdr:nvCxnSpPr>
        <xdr:cNvPr id="2879" name="PTObj_DBranchHLine_1_717">
          <a:extLst>
            <a:ext uri="{FF2B5EF4-FFF2-40B4-BE49-F238E27FC236}">
              <a16:creationId xmlns:a16="http://schemas.microsoft.com/office/drawing/2014/main" id="{FC2C072D-DFBB-4044-8214-0DE68FA6ED44}"/>
            </a:ext>
          </a:extLst>
        </xdr:cNvPr>
        <xdr:cNvCxnSpPr/>
      </xdr:nvCxnSpPr>
      <xdr:spPr>
        <a:xfrm>
          <a:off x="17306734" y="262244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1446</xdr:row>
      <xdr:rowOff>180355</xdr:rowOff>
    </xdr:from>
    <xdr:to>
      <xdr:col>9</xdr:col>
      <xdr:colOff>209359</xdr:colOff>
      <xdr:row>1449</xdr:row>
      <xdr:rowOff>12055</xdr:rowOff>
    </xdr:to>
    <xdr:cxnSp macro="_xll.PtreeEvent_ObjectClick">
      <xdr:nvCxnSpPr>
        <xdr:cNvPr id="2878" name="PTObj_DBranchDLine_1_717">
          <a:extLst>
            <a:ext uri="{FF2B5EF4-FFF2-40B4-BE49-F238E27FC236}">
              <a16:creationId xmlns:a16="http://schemas.microsoft.com/office/drawing/2014/main" id="{3E8A96C6-E673-450C-8AF4-F41B421C9515}"/>
            </a:ext>
          </a:extLst>
        </xdr:cNvPr>
        <xdr:cNvCxnSpPr/>
      </xdr:nvCxnSpPr>
      <xdr:spPr>
        <a:xfrm>
          <a:off x="17154334" y="2618702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1447</xdr:row>
      <xdr:rowOff>8260</xdr:rowOff>
    </xdr:from>
    <xdr:to>
      <xdr:col>8</xdr:col>
      <xdr:colOff>1398397</xdr:colOff>
      <xdr:row>1447</xdr:row>
      <xdr:rowOff>8260</xdr:rowOff>
    </xdr:to>
    <xdr:cxnSp macro="_xll.PtreeEvent_ObjectClick">
      <xdr:nvCxnSpPr>
        <xdr:cNvPr id="2875" name="PTObj_DBranchHLine_1_716">
          <a:extLst>
            <a:ext uri="{FF2B5EF4-FFF2-40B4-BE49-F238E27FC236}">
              <a16:creationId xmlns:a16="http://schemas.microsoft.com/office/drawing/2014/main" id="{D0C75DD0-D0E8-4B5D-A61D-5C07FA590C95}"/>
            </a:ext>
          </a:extLst>
        </xdr:cNvPr>
        <xdr:cNvCxnSpPr/>
      </xdr:nvCxnSpPr>
      <xdr:spPr>
        <a:xfrm>
          <a:off x="15888463" y="261879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1444</xdr:row>
      <xdr:rowOff>180355</xdr:rowOff>
    </xdr:from>
    <xdr:to>
      <xdr:col>8</xdr:col>
      <xdr:colOff>219838</xdr:colOff>
      <xdr:row>1447</xdr:row>
      <xdr:rowOff>8260</xdr:rowOff>
    </xdr:to>
    <xdr:cxnSp macro="_xll.PtreeEvent_ObjectClick">
      <xdr:nvCxnSpPr>
        <xdr:cNvPr id="2874" name="PTObj_DBranchDLine_1_716">
          <a:extLst>
            <a:ext uri="{FF2B5EF4-FFF2-40B4-BE49-F238E27FC236}">
              <a16:creationId xmlns:a16="http://schemas.microsoft.com/office/drawing/2014/main" id="{7549A4D9-90CF-44D9-ADF1-BD9C97FE2B42}"/>
            </a:ext>
          </a:extLst>
        </xdr:cNvPr>
        <xdr:cNvCxnSpPr/>
      </xdr:nvCxnSpPr>
      <xdr:spPr>
        <a:xfrm>
          <a:off x="15736063" y="2615082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1443</xdr:row>
      <xdr:rowOff>645</xdr:rowOff>
    </xdr:from>
    <xdr:to>
      <xdr:col>11</xdr:col>
      <xdr:colOff>1386967</xdr:colOff>
      <xdr:row>1443</xdr:row>
      <xdr:rowOff>645</xdr:rowOff>
    </xdr:to>
    <xdr:cxnSp macro="_xll.PtreeEvent_ObjectClick">
      <xdr:nvCxnSpPr>
        <xdr:cNvPr id="2871" name="PTObj_DBranchHLine_1_714">
          <a:extLst>
            <a:ext uri="{FF2B5EF4-FFF2-40B4-BE49-F238E27FC236}">
              <a16:creationId xmlns:a16="http://schemas.microsoft.com/office/drawing/2014/main" id="{EA145DF4-38B7-4BB7-88ED-64688EBD5C9F}"/>
            </a:ext>
          </a:extLst>
        </xdr:cNvPr>
        <xdr:cNvCxnSpPr/>
      </xdr:nvCxnSpPr>
      <xdr:spPr>
        <a:xfrm>
          <a:off x="20149945" y="261147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1440</xdr:row>
      <xdr:rowOff>175592</xdr:rowOff>
    </xdr:from>
    <xdr:to>
      <xdr:col>11</xdr:col>
      <xdr:colOff>195070</xdr:colOff>
      <xdr:row>1443</xdr:row>
      <xdr:rowOff>645</xdr:rowOff>
    </xdr:to>
    <xdr:cxnSp macro="_xll.PtreeEvent_ObjectClick">
      <xdr:nvCxnSpPr>
        <xdr:cNvPr id="2870" name="PTObj_DBranchDLine_1_714">
          <a:extLst>
            <a:ext uri="{FF2B5EF4-FFF2-40B4-BE49-F238E27FC236}">
              <a16:creationId xmlns:a16="http://schemas.microsoft.com/office/drawing/2014/main" id="{BFA71E7A-2930-477F-8799-DC65AEE75D18}"/>
            </a:ext>
          </a:extLst>
        </xdr:cNvPr>
        <xdr:cNvCxnSpPr/>
      </xdr:nvCxnSpPr>
      <xdr:spPr>
        <a:xfrm>
          <a:off x="19997545" y="2607795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1440</xdr:row>
      <xdr:rowOff>177800</xdr:rowOff>
    </xdr:from>
    <xdr:to>
      <xdr:col>10</xdr:col>
      <xdr:colOff>1388870</xdr:colOff>
      <xdr:row>1440</xdr:row>
      <xdr:rowOff>177800</xdr:rowOff>
    </xdr:to>
    <xdr:cxnSp macro="_xll.PtreeEvent_ObjectClick">
      <xdr:nvCxnSpPr>
        <xdr:cNvPr id="2867" name="PTObj_DBranchHLine_1_713">
          <a:extLst>
            <a:ext uri="{FF2B5EF4-FFF2-40B4-BE49-F238E27FC236}">
              <a16:creationId xmlns:a16="http://schemas.microsoft.com/office/drawing/2014/main" id="{F04D33B4-2B34-4EF7-A492-E8683BC69C8C}"/>
            </a:ext>
          </a:extLst>
        </xdr:cNvPr>
        <xdr:cNvCxnSpPr/>
      </xdr:nvCxnSpPr>
      <xdr:spPr>
        <a:xfrm>
          <a:off x="18730720" y="260781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1438</xdr:row>
      <xdr:rowOff>173682</xdr:rowOff>
    </xdr:from>
    <xdr:to>
      <xdr:col>10</xdr:col>
      <xdr:colOff>204595</xdr:colOff>
      <xdr:row>1440</xdr:row>
      <xdr:rowOff>177800</xdr:rowOff>
    </xdr:to>
    <xdr:cxnSp macro="_xll.PtreeEvent_ObjectClick">
      <xdr:nvCxnSpPr>
        <xdr:cNvPr id="2866" name="PTObj_DBranchDLine_1_713">
          <a:extLst>
            <a:ext uri="{FF2B5EF4-FFF2-40B4-BE49-F238E27FC236}">
              <a16:creationId xmlns:a16="http://schemas.microsoft.com/office/drawing/2014/main" id="{CAC5EADC-EDCA-4F31-9F12-4227F3FADAA9}"/>
            </a:ext>
          </a:extLst>
        </xdr:cNvPr>
        <xdr:cNvCxnSpPr/>
      </xdr:nvCxnSpPr>
      <xdr:spPr>
        <a:xfrm>
          <a:off x="18578320" y="2604157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1438</xdr:row>
      <xdr:rowOff>173980</xdr:rowOff>
    </xdr:from>
    <xdr:to>
      <xdr:col>9</xdr:col>
      <xdr:colOff>1392681</xdr:colOff>
      <xdr:row>1438</xdr:row>
      <xdr:rowOff>173980</xdr:rowOff>
    </xdr:to>
    <xdr:cxnSp macro="_xll.PtreeEvent_ObjectClick">
      <xdr:nvCxnSpPr>
        <xdr:cNvPr id="2863" name="PTObj_DBranchHLine_1_712">
          <a:extLst>
            <a:ext uri="{FF2B5EF4-FFF2-40B4-BE49-F238E27FC236}">
              <a16:creationId xmlns:a16="http://schemas.microsoft.com/office/drawing/2014/main" id="{A1F1F2EC-159A-455B-A7FA-92A97038E79C}"/>
            </a:ext>
          </a:extLst>
        </xdr:cNvPr>
        <xdr:cNvCxnSpPr/>
      </xdr:nvCxnSpPr>
      <xdr:spPr>
        <a:xfrm>
          <a:off x="17306734" y="260416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1436</xdr:row>
      <xdr:rowOff>167953</xdr:rowOff>
    </xdr:from>
    <xdr:to>
      <xdr:col>9</xdr:col>
      <xdr:colOff>209359</xdr:colOff>
      <xdr:row>1438</xdr:row>
      <xdr:rowOff>173980</xdr:rowOff>
    </xdr:to>
    <xdr:cxnSp macro="_xll.PtreeEvent_ObjectClick">
      <xdr:nvCxnSpPr>
        <xdr:cNvPr id="2862" name="PTObj_DBranchDLine_1_712">
          <a:extLst>
            <a:ext uri="{FF2B5EF4-FFF2-40B4-BE49-F238E27FC236}">
              <a16:creationId xmlns:a16="http://schemas.microsoft.com/office/drawing/2014/main" id="{E6E708FE-0B0B-4131-B999-4A84F16C65DC}"/>
            </a:ext>
          </a:extLst>
        </xdr:cNvPr>
        <xdr:cNvCxnSpPr/>
      </xdr:nvCxnSpPr>
      <xdr:spPr>
        <a:xfrm>
          <a:off x="17154334" y="2600480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1436</xdr:row>
      <xdr:rowOff>170185</xdr:rowOff>
    </xdr:from>
    <xdr:to>
      <xdr:col>8</xdr:col>
      <xdr:colOff>1398397</xdr:colOff>
      <xdr:row>1436</xdr:row>
      <xdr:rowOff>170185</xdr:rowOff>
    </xdr:to>
    <xdr:cxnSp macro="_xll.PtreeEvent_ObjectClick">
      <xdr:nvCxnSpPr>
        <xdr:cNvPr id="2859" name="PTObj_DBranchHLine_1_711">
          <a:extLst>
            <a:ext uri="{FF2B5EF4-FFF2-40B4-BE49-F238E27FC236}">
              <a16:creationId xmlns:a16="http://schemas.microsoft.com/office/drawing/2014/main" id="{B7BE46BB-5119-4B90-8139-BB6B144A12E6}"/>
            </a:ext>
          </a:extLst>
        </xdr:cNvPr>
        <xdr:cNvCxnSpPr/>
      </xdr:nvCxnSpPr>
      <xdr:spPr>
        <a:xfrm>
          <a:off x="15884652" y="260050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1436</xdr:row>
      <xdr:rowOff>170185</xdr:rowOff>
    </xdr:from>
    <xdr:to>
      <xdr:col>8</xdr:col>
      <xdr:colOff>216027</xdr:colOff>
      <xdr:row>1444</xdr:row>
      <xdr:rowOff>180355</xdr:rowOff>
    </xdr:to>
    <xdr:cxnSp macro="_xll.PtreeEvent_ObjectClick">
      <xdr:nvCxnSpPr>
        <xdr:cNvPr id="2858" name="PTObj_DBranchDLine_1_711">
          <a:extLst>
            <a:ext uri="{FF2B5EF4-FFF2-40B4-BE49-F238E27FC236}">
              <a16:creationId xmlns:a16="http://schemas.microsoft.com/office/drawing/2014/main" id="{71F10219-3563-4132-8AAA-20A977D0BF71}"/>
            </a:ext>
          </a:extLst>
        </xdr:cNvPr>
        <xdr:cNvCxnSpPr/>
      </xdr:nvCxnSpPr>
      <xdr:spPr>
        <a:xfrm flipV="1">
          <a:off x="15732252" y="2600502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1445</xdr:row>
      <xdr:rowOff>4440</xdr:rowOff>
    </xdr:from>
    <xdr:to>
      <xdr:col>7</xdr:col>
      <xdr:colOff>1402207</xdr:colOff>
      <xdr:row>1445</xdr:row>
      <xdr:rowOff>4440</xdr:rowOff>
    </xdr:to>
    <xdr:cxnSp macro="_xll.PtreeEvent_ObjectClick">
      <xdr:nvCxnSpPr>
        <xdr:cNvPr id="2855" name="PTObj_DBranchHLine_1_715">
          <a:extLst>
            <a:ext uri="{FF2B5EF4-FFF2-40B4-BE49-F238E27FC236}">
              <a16:creationId xmlns:a16="http://schemas.microsoft.com/office/drawing/2014/main" id="{C0C54320-645E-40E0-A636-2C85075620BB}"/>
            </a:ext>
          </a:extLst>
        </xdr:cNvPr>
        <xdr:cNvCxnSpPr/>
      </xdr:nvCxnSpPr>
      <xdr:spPr>
        <a:xfrm>
          <a:off x="14460665" y="261513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1434</xdr:row>
      <xdr:rowOff>161305</xdr:rowOff>
    </xdr:from>
    <xdr:to>
      <xdr:col>7</xdr:col>
      <xdr:colOff>220790</xdr:colOff>
      <xdr:row>1445</xdr:row>
      <xdr:rowOff>4440</xdr:rowOff>
    </xdr:to>
    <xdr:cxnSp macro="_xll.PtreeEvent_ObjectClick">
      <xdr:nvCxnSpPr>
        <xdr:cNvPr id="2854" name="PTObj_DBranchDLine_1_715">
          <a:extLst>
            <a:ext uri="{FF2B5EF4-FFF2-40B4-BE49-F238E27FC236}">
              <a16:creationId xmlns:a16="http://schemas.microsoft.com/office/drawing/2014/main" id="{47B600BE-8ED2-47C3-AB36-F521D9287D02}"/>
            </a:ext>
          </a:extLst>
        </xdr:cNvPr>
        <xdr:cNvCxnSpPr/>
      </xdr:nvCxnSpPr>
      <xdr:spPr>
        <a:xfrm>
          <a:off x="14308265" y="259679455"/>
          <a:ext cx="152400" cy="18338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1432</xdr:row>
      <xdr:rowOff>162570</xdr:rowOff>
    </xdr:from>
    <xdr:to>
      <xdr:col>11</xdr:col>
      <xdr:colOff>1394589</xdr:colOff>
      <xdr:row>1432</xdr:row>
      <xdr:rowOff>162570</xdr:rowOff>
    </xdr:to>
    <xdr:cxnSp macro="_xll.PtreeEvent_ObjectClick">
      <xdr:nvCxnSpPr>
        <xdr:cNvPr id="2851" name="PTObj_DBranchHLine_1_709">
          <a:extLst>
            <a:ext uri="{FF2B5EF4-FFF2-40B4-BE49-F238E27FC236}">
              <a16:creationId xmlns:a16="http://schemas.microsoft.com/office/drawing/2014/main" id="{5B5E4957-756E-4F8F-8F0C-A57F86CF669F}"/>
            </a:ext>
          </a:extLst>
        </xdr:cNvPr>
        <xdr:cNvCxnSpPr/>
      </xdr:nvCxnSpPr>
      <xdr:spPr>
        <a:xfrm>
          <a:off x="20149945" y="2593187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1430</xdr:row>
      <xdr:rowOff>146050</xdr:rowOff>
    </xdr:from>
    <xdr:to>
      <xdr:col>11</xdr:col>
      <xdr:colOff>195070</xdr:colOff>
      <xdr:row>1432</xdr:row>
      <xdr:rowOff>162570</xdr:rowOff>
    </xdr:to>
    <xdr:cxnSp macro="_xll.PtreeEvent_ObjectClick">
      <xdr:nvCxnSpPr>
        <xdr:cNvPr id="2850" name="PTObj_DBranchDLine_1_709">
          <a:extLst>
            <a:ext uri="{FF2B5EF4-FFF2-40B4-BE49-F238E27FC236}">
              <a16:creationId xmlns:a16="http://schemas.microsoft.com/office/drawing/2014/main" id="{E7A70C13-2B8A-4053-BA83-708EC9FC465B}"/>
            </a:ext>
          </a:extLst>
        </xdr:cNvPr>
        <xdr:cNvCxnSpPr/>
      </xdr:nvCxnSpPr>
      <xdr:spPr>
        <a:xfrm>
          <a:off x="19997545" y="2589403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1430</xdr:row>
      <xdr:rowOff>158750</xdr:rowOff>
    </xdr:from>
    <xdr:to>
      <xdr:col>10</xdr:col>
      <xdr:colOff>1388870</xdr:colOff>
      <xdr:row>1430</xdr:row>
      <xdr:rowOff>158750</xdr:rowOff>
    </xdr:to>
    <xdr:cxnSp macro="_xll.PtreeEvent_ObjectClick">
      <xdr:nvCxnSpPr>
        <xdr:cNvPr id="2847" name="PTObj_DBranchHLine_1_708">
          <a:extLst>
            <a:ext uri="{FF2B5EF4-FFF2-40B4-BE49-F238E27FC236}">
              <a16:creationId xmlns:a16="http://schemas.microsoft.com/office/drawing/2014/main" id="{F0031FD7-A7F5-4AB6-8C1E-A3F28F3C0897}"/>
            </a:ext>
          </a:extLst>
        </xdr:cNvPr>
        <xdr:cNvCxnSpPr/>
      </xdr:nvCxnSpPr>
      <xdr:spPr>
        <a:xfrm>
          <a:off x="18730720" y="258953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1428</xdr:row>
      <xdr:rowOff>143197</xdr:rowOff>
    </xdr:from>
    <xdr:to>
      <xdr:col>10</xdr:col>
      <xdr:colOff>204595</xdr:colOff>
      <xdr:row>1430</xdr:row>
      <xdr:rowOff>158750</xdr:rowOff>
    </xdr:to>
    <xdr:cxnSp macro="_xll.PtreeEvent_ObjectClick">
      <xdr:nvCxnSpPr>
        <xdr:cNvPr id="2846" name="PTObj_DBranchDLine_1_708">
          <a:extLst>
            <a:ext uri="{FF2B5EF4-FFF2-40B4-BE49-F238E27FC236}">
              <a16:creationId xmlns:a16="http://schemas.microsoft.com/office/drawing/2014/main" id="{31B99F72-A3CC-4845-BB6A-A5C30EEF29DC}"/>
            </a:ext>
          </a:extLst>
        </xdr:cNvPr>
        <xdr:cNvCxnSpPr/>
      </xdr:nvCxnSpPr>
      <xdr:spPr>
        <a:xfrm>
          <a:off x="18578320" y="2585754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1428</xdr:row>
      <xdr:rowOff>154930</xdr:rowOff>
    </xdr:from>
    <xdr:to>
      <xdr:col>9</xdr:col>
      <xdr:colOff>1392681</xdr:colOff>
      <xdr:row>1428</xdr:row>
      <xdr:rowOff>154930</xdr:rowOff>
    </xdr:to>
    <xdr:cxnSp macro="_xll.PtreeEvent_ObjectClick">
      <xdr:nvCxnSpPr>
        <xdr:cNvPr id="2843" name="PTObj_DBranchHLine_1_707">
          <a:extLst>
            <a:ext uri="{FF2B5EF4-FFF2-40B4-BE49-F238E27FC236}">
              <a16:creationId xmlns:a16="http://schemas.microsoft.com/office/drawing/2014/main" id="{85C7B883-A44C-4A74-AE3C-BFBBB64DC692}"/>
            </a:ext>
          </a:extLst>
        </xdr:cNvPr>
        <xdr:cNvCxnSpPr/>
      </xdr:nvCxnSpPr>
      <xdr:spPr>
        <a:xfrm>
          <a:off x="17306734" y="258587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1426</xdr:row>
      <xdr:rowOff>142255</xdr:rowOff>
    </xdr:from>
    <xdr:to>
      <xdr:col>9</xdr:col>
      <xdr:colOff>209359</xdr:colOff>
      <xdr:row>1428</xdr:row>
      <xdr:rowOff>154930</xdr:rowOff>
    </xdr:to>
    <xdr:cxnSp macro="_xll.PtreeEvent_ObjectClick">
      <xdr:nvCxnSpPr>
        <xdr:cNvPr id="2842" name="PTObj_DBranchDLine_1_707">
          <a:extLst>
            <a:ext uri="{FF2B5EF4-FFF2-40B4-BE49-F238E27FC236}">
              <a16:creationId xmlns:a16="http://schemas.microsoft.com/office/drawing/2014/main" id="{8D895464-C6AA-4021-9735-ECDAA52CF5AD}"/>
            </a:ext>
          </a:extLst>
        </xdr:cNvPr>
        <xdr:cNvCxnSpPr/>
      </xdr:nvCxnSpPr>
      <xdr:spPr>
        <a:xfrm>
          <a:off x="17154334" y="2582126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1426</xdr:row>
      <xdr:rowOff>151135</xdr:rowOff>
    </xdr:from>
    <xdr:to>
      <xdr:col>8</xdr:col>
      <xdr:colOff>1398397</xdr:colOff>
      <xdr:row>1426</xdr:row>
      <xdr:rowOff>151135</xdr:rowOff>
    </xdr:to>
    <xdr:cxnSp macro="_xll.PtreeEvent_ObjectClick">
      <xdr:nvCxnSpPr>
        <xdr:cNvPr id="2839" name="PTObj_DBranchHLine_1_706">
          <a:extLst>
            <a:ext uri="{FF2B5EF4-FFF2-40B4-BE49-F238E27FC236}">
              <a16:creationId xmlns:a16="http://schemas.microsoft.com/office/drawing/2014/main" id="{CFB0E135-31DA-43B7-A0D4-2D6DCCC458B7}"/>
            </a:ext>
          </a:extLst>
        </xdr:cNvPr>
        <xdr:cNvCxnSpPr/>
      </xdr:nvCxnSpPr>
      <xdr:spPr>
        <a:xfrm>
          <a:off x="15888463" y="258221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1424</xdr:row>
      <xdr:rowOff>142255</xdr:rowOff>
    </xdr:from>
    <xdr:to>
      <xdr:col>8</xdr:col>
      <xdr:colOff>219838</xdr:colOff>
      <xdr:row>1426</xdr:row>
      <xdr:rowOff>151135</xdr:rowOff>
    </xdr:to>
    <xdr:cxnSp macro="_xll.PtreeEvent_ObjectClick">
      <xdr:nvCxnSpPr>
        <xdr:cNvPr id="2838" name="PTObj_DBranchDLine_1_706">
          <a:extLst>
            <a:ext uri="{FF2B5EF4-FFF2-40B4-BE49-F238E27FC236}">
              <a16:creationId xmlns:a16="http://schemas.microsoft.com/office/drawing/2014/main" id="{04C114B6-EBD3-494D-B622-DD147A177427}"/>
            </a:ext>
          </a:extLst>
        </xdr:cNvPr>
        <xdr:cNvCxnSpPr/>
      </xdr:nvCxnSpPr>
      <xdr:spPr>
        <a:xfrm>
          <a:off x="15736063" y="2578506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1422</xdr:row>
      <xdr:rowOff>143520</xdr:rowOff>
    </xdr:from>
    <xdr:to>
      <xdr:col>11</xdr:col>
      <xdr:colOff>1386967</xdr:colOff>
      <xdr:row>1422</xdr:row>
      <xdr:rowOff>143520</xdr:rowOff>
    </xdr:to>
    <xdr:cxnSp macro="_xll.PtreeEvent_ObjectClick">
      <xdr:nvCxnSpPr>
        <xdr:cNvPr id="2835" name="PTObj_DBranchHLine_1_704">
          <a:extLst>
            <a:ext uri="{FF2B5EF4-FFF2-40B4-BE49-F238E27FC236}">
              <a16:creationId xmlns:a16="http://schemas.microsoft.com/office/drawing/2014/main" id="{041C0A3C-E76B-4267-A077-43F40933118E}"/>
            </a:ext>
          </a:extLst>
        </xdr:cNvPr>
        <xdr:cNvCxnSpPr/>
      </xdr:nvCxnSpPr>
      <xdr:spPr>
        <a:xfrm>
          <a:off x="20149945" y="257489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1420</xdr:row>
      <xdr:rowOff>137492</xdr:rowOff>
    </xdr:from>
    <xdr:to>
      <xdr:col>11</xdr:col>
      <xdr:colOff>195070</xdr:colOff>
      <xdr:row>1422</xdr:row>
      <xdr:rowOff>143520</xdr:rowOff>
    </xdr:to>
    <xdr:cxnSp macro="_xll.PtreeEvent_ObjectClick">
      <xdr:nvCxnSpPr>
        <xdr:cNvPr id="2834" name="PTObj_DBranchDLine_1_704">
          <a:extLst>
            <a:ext uri="{FF2B5EF4-FFF2-40B4-BE49-F238E27FC236}">
              <a16:creationId xmlns:a16="http://schemas.microsoft.com/office/drawing/2014/main" id="{0E98BC63-3A07-492A-9BAC-81BD6407502F}"/>
            </a:ext>
          </a:extLst>
        </xdr:cNvPr>
        <xdr:cNvCxnSpPr/>
      </xdr:nvCxnSpPr>
      <xdr:spPr>
        <a:xfrm>
          <a:off x="19997545" y="2571219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1420</xdr:row>
      <xdr:rowOff>139700</xdr:rowOff>
    </xdr:from>
    <xdr:to>
      <xdr:col>10</xdr:col>
      <xdr:colOff>1388870</xdr:colOff>
      <xdr:row>1420</xdr:row>
      <xdr:rowOff>139700</xdr:rowOff>
    </xdr:to>
    <xdr:cxnSp macro="_xll.PtreeEvent_ObjectClick">
      <xdr:nvCxnSpPr>
        <xdr:cNvPr id="2831" name="PTObj_DBranchHLine_1_703">
          <a:extLst>
            <a:ext uri="{FF2B5EF4-FFF2-40B4-BE49-F238E27FC236}">
              <a16:creationId xmlns:a16="http://schemas.microsoft.com/office/drawing/2014/main" id="{AE757DFF-3671-457A-81CF-53414ED3F73E}"/>
            </a:ext>
          </a:extLst>
        </xdr:cNvPr>
        <xdr:cNvCxnSpPr/>
      </xdr:nvCxnSpPr>
      <xdr:spPr>
        <a:xfrm>
          <a:off x="18730720" y="257124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1418</xdr:row>
      <xdr:rowOff>135582</xdr:rowOff>
    </xdr:from>
    <xdr:to>
      <xdr:col>10</xdr:col>
      <xdr:colOff>204595</xdr:colOff>
      <xdr:row>1420</xdr:row>
      <xdr:rowOff>139700</xdr:rowOff>
    </xdr:to>
    <xdr:cxnSp macro="_xll.PtreeEvent_ObjectClick">
      <xdr:nvCxnSpPr>
        <xdr:cNvPr id="2830" name="PTObj_DBranchDLine_1_703">
          <a:extLst>
            <a:ext uri="{FF2B5EF4-FFF2-40B4-BE49-F238E27FC236}">
              <a16:creationId xmlns:a16="http://schemas.microsoft.com/office/drawing/2014/main" id="{E054AF14-67DC-4B8F-B3C9-EE92C6F5DBC3}"/>
            </a:ext>
          </a:extLst>
        </xdr:cNvPr>
        <xdr:cNvCxnSpPr/>
      </xdr:nvCxnSpPr>
      <xdr:spPr>
        <a:xfrm>
          <a:off x="18578320" y="2567581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1418</xdr:row>
      <xdr:rowOff>135880</xdr:rowOff>
    </xdr:from>
    <xdr:to>
      <xdr:col>9</xdr:col>
      <xdr:colOff>1392681</xdr:colOff>
      <xdr:row>1418</xdr:row>
      <xdr:rowOff>135880</xdr:rowOff>
    </xdr:to>
    <xdr:cxnSp macro="_xll.PtreeEvent_ObjectClick">
      <xdr:nvCxnSpPr>
        <xdr:cNvPr id="2827" name="PTObj_DBranchHLine_1_702">
          <a:extLst>
            <a:ext uri="{FF2B5EF4-FFF2-40B4-BE49-F238E27FC236}">
              <a16:creationId xmlns:a16="http://schemas.microsoft.com/office/drawing/2014/main" id="{31CE69B4-55BD-4A89-81F0-E44B394066ED}"/>
            </a:ext>
          </a:extLst>
        </xdr:cNvPr>
        <xdr:cNvCxnSpPr/>
      </xdr:nvCxnSpPr>
      <xdr:spPr>
        <a:xfrm>
          <a:off x="17306734" y="256758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1416</xdr:row>
      <xdr:rowOff>129853</xdr:rowOff>
    </xdr:from>
    <xdr:to>
      <xdr:col>9</xdr:col>
      <xdr:colOff>209359</xdr:colOff>
      <xdr:row>1418</xdr:row>
      <xdr:rowOff>135880</xdr:rowOff>
    </xdr:to>
    <xdr:cxnSp macro="_xll.PtreeEvent_ObjectClick">
      <xdr:nvCxnSpPr>
        <xdr:cNvPr id="2826" name="PTObj_DBranchDLine_1_702">
          <a:extLst>
            <a:ext uri="{FF2B5EF4-FFF2-40B4-BE49-F238E27FC236}">
              <a16:creationId xmlns:a16="http://schemas.microsoft.com/office/drawing/2014/main" id="{AE48ECA3-9490-4A77-9F62-2A486F3AEBCF}"/>
            </a:ext>
          </a:extLst>
        </xdr:cNvPr>
        <xdr:cNvCxnSpPr/>
      </xdr:nvCxnSpPr>
      <xdr:spPr>
        <a:xfrm>
          <a:off x="17154334" y="2563904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1416</xdr:row>
      <xdr:rowOff>132085</xdr:rowOff>
    </xdr:from>
    <xdr:to>
      <xdr:col>8</xdr:col>
      <xdr:colOff>1398397</xdr:colOff>
      <xdr:row>1416</xdr:row>
      <xdr:rowOff>132085</xdr:rowOff>
    </xdr:to>
    <xdr:cxnSp macro="_xll.PtreeEvent_ObjectClick">
      <xdr:nvCxnSpPr>
        <xdr:cNvPr id="2823" name="PTObj_DBranchHLine_1_701">
          <a:extLst>
            <a:ext uri="{FF2B5EF4-FFF2-40B4-BE49-F238E27FC236}">
              <a16:creationId xmlns:a16="http://schemas.microsoft.com/office/drawing/2014/main" id="{193AE47A-514D-490F-AF6E-7C0CB6643B69}"/>
            </a:ext>
          </a:extLst>
        </xdr:cNvPr>
        <xdr:cNvCxnSpPr/>
      </xdr:nvCxnSpPr>
      <xdr:spPr>
        <a:xfrm>
          <a:off x="15884652" y="256392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1416</xdr:row>
      <xdr:rowOff>132085</xdr:rowOff>
    </xdr:from>
    <xdr:to>
      <xdr:col>8</xdr:col>
      <xdr:colOff>216027</xdr:colOff>
      <xdr:row>1424</xdr:row>
      <xdr:rowOff>142255</xdr:rowOff>
    </xdr:to>
    <xdr:cxnSp macro="_xll.PtreeEvent_ObjectClick">
      <xdr:nvCxnSpPr>
        <xdr:cNvPr id="2822" name="PTObj_DBranchDLine_1_701">
          <a:extLst>
            <a:ext uri="{FF2B5EF4-FFF2-40B4-BE49-F238E27FC236}">
              <a16:creationId xmlns:a16="http://schemas.microsoft.com/office/drawing/2014/main" id="{8323FAC9-C56E-4325-B900-3CFEF8534256}"/>
            </a:ext>
          </a:extLst>
        </xdr:cNvPr>
        <xdr:cNvCxnSpPr/>
      </xdr:nvCxnSpPr>
      <xdr:spPr>
        <a:xfrm flipV="1">
          <a:off x="15732252" y="2563926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1424</xdr:row>
      <xdr:rowOff>147315</xdr:rowOff>
    </xdr:from>
    <xdr:to>
      <xdr:col>7</xdr:col>
      <xdr:colOff>1402207</xdr:colOff>
      <xdr:row>1424</xdr:row>
      <xdr:rowOff>147315</xdr:rowOff>
    </xdr:to>
    <xdr:cxnSp macro="_xll.PtreeEvent_ObjectClick">
      <xdr:nvCxnSpPr>
        <xdr:cNvPr id="2819" name="PTObj_DBranchHLine_1_705">
          <a:extLst>
            <a:ext uri="{FF2B5EF4-FFF2-40B4-BE49-F238E27FC236}">
              <a16:creationId xmlns:a16="http://schemas.microsoft.com/office/drawing/2014/main" id="{95CE4ADE-D2C0-4722-9AA9-323CD0AF4722}"/>
            </a:ext>
          </a:extLst>
        </xdr:cNvPr>
        <xdr:cNvCxnSpPr/>
      </xdr:nvCxnSpPr>
      <xdr:spPr>
        <a:xfrm>
          <a:off x="14462570" y="2578557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1424</xdr:row>
      <xdr:rowOff>147315</xdr:rowOff>
    </xdr:from>
    <xdr:to>
      <xdr:col>7</xdr:col>
      <xdr:colOff>222695</xdr:colOff>
      <xdr:row>1434</xdr:row>
      <xdr:rowOff>161305</xdr:rowOff>
    </xdr:to>
    <xdr:cxnSp macro="_xll.PtreeEvent_ObjectClick">
      <xdr:nvCxnSpPr>
        <xdr:cNvPr id="2818" name="PTObj_DBranchDLine_1_705">
          <a:extLst>
            <a:ext uri="{FF2B5EF4-FFF2-40B4-BE49-F238E27FC236}">
              <a16:creationId xmlns:a16="http://schemas.microsoft.com/office/drawing/2014/main" id="{070C516F-9C5B-4365-B50B-A1D2C3A53C7B}"/>
            </a:ext>
          </a:extLst>
        </xdr:cNvPr>
        <xdr:cNvCxnSpPr/>
      </xdr:nvCxnSpPr>
      <xdr:spPr>
        <a:xfrm flipV="1">
          <a:off x="14310170" y="2578557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1434</xdr:row>
      <xdr:rowOff>166365</xdr:rowOff>
    </xdr:from>
    <xdr:to>
      <xdr:col>6</xdr:col>
      <xdr:colOff>1407922</xdr:colOff>
      <xdr:row>1434</xdr:row>
      <xdr:rowOff>166365</xdr:rowOff>
    </xdr:to>
    <xdr:cxnSp macro="_xll.PtreeEvent_ObjectClick">
      <xdr:nvCxnSpPr>
        <xdr:cNvPr id="2815" name="PTObj_DBranchHLine_1_710">
          <a:extLst>
            <a:ext uri="{FF2B5EF4-FFF2-40B4-BE49-F238E27FC236}">
              <a16:creationId xmlns:a16="http://schemas.microsoft.com/office/drawing/2014/main" id="{046D000E-74EE-4252-9C54-C682682C1C86}"/>
            </a:ext>
          </a:extLst>
        </xdr:cNvPr>
        <xdr:cNvCxnSpPr/>
      </xdr:nvCxnSpPr>
      <xdr:spPr>
        <a:xfrm>
          <a:off x="13036677" y="259684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1414</xdr:row>
      <xdr:rowOff>123205</xdr:rowOff>
    </xdr:from>
    <xdr:to>
      <xdr:col>6</xdr:col>
      <xdr:colOff>225552</xdr:colOff>
      <xdr:row>1434</xdr:row>
      <xdr:rowOff>166365</xdr:rowOff>
    </xdr:to>
    <xdr:cxnSp macro="_xll.PtreeEvent_ObjectClick">
      <xdr:nvCxnSpPr>
        <xdr:cNvPr id="2814" name="PTObj_DBranchDLine_1_710">
          <a:extLst>
            <a:ext uri="{FF2B5EF4-FFF2-40B4-BE49-F238E27FC236}">
              <a16:creationId xmlns:a16="http://schemas.microsoft.com/office/drawing/2014/main" id="{2D59D9D8-214E-4384-88E7-B9BA31323183}"/>
            </a:ext>
          </a:extLst>
        </xdr:cNvPr>
        <xdr:cNvCxnSpPr/>
      </xdr:nvCxnSpPr>
      <xdr:spPr>
        <a:xfrm>
          <a:off x="12884276" y="256021855"/>
          <a:ext cx="152401" cy="36626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1412</xdr:row>
      <xdr:rowOff>124470</xdr:rowOff>
    </xdr:from>
    <xdr:to>
      <xdr:col>11</xdr:col>
      <xdr:colOff>1394589</xdr:colOff>
      <xdr:row>1412</xdr:row>
      <xdr:rowOff>124470</xdr:rowOff>
    </xdr:to>
    <xdr:cxnSp macro="_xll.PtreeEvent_ObjectClick">
      <xdr:nvCxnSpPr>
        <xdr:cNvPr id="2811" name="PTObj_DBranchHLine_1_699">
          <a:extLst>
            <a:ext uri="{FF2B5EF4-FFF2-40B4-BE49-F238E27FC236}">
              <a16:creationId xmlns:a16="http://schemas.microsoft.com/office/drawing/2014/main" id="{59AE40C7-2E29-4823-82A5-E8D52107AC72}"/>
            </a:ext>
          </a:extLst>
        </xdr:cNvPr>
        <xdr:cNvCxnSpPr/>
      </xdr:nvCxnSpPr>
      <xdr:spPr>
        <a:xfrm>
          <a:off x="20149945" y="255661170"/>
          <a:ext cx="119951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1410</xdr:row>
      <xdr:rowOff>107950</xdr:rowOff>
    </xdr:from>
    <xdr:to>
      <xdr:col>11</xdr:col>
      <xdr:colOff>195070</xdr:colOff>
      <xdr:row>1412</xdr:row>
      <xdr:rowOff>124470</xdr:rowOff>
    </xdr:to>
    <xdr:cxnSp macro="_xll.PtreeEvent_ObjectClick">
      <xdr:nvCxnSpPr>
        <xdr:cNvPr id="2810" name="PTObj_DBranchDLine_1_699">
          <a:extLst>
            <a:ext uri="{FF2B5EF4-FFF2-40B4-BE49-F238E27FC236}">
              <a16:creationId xmlns:a16="http://schemas.microsoft.com/office/drawing/2014/main" id="{8517B247-D8EE-412D-B98F-676ABD41EAD8}"/>
            </a:ext>
          </a:extLst>
        </xdr:cNvPr>
        <xdr:cNvCxnSpPr/>
      </xdr:nvCxnSpPr>
      <xdr:spPr>
        <a:xfrm>
          <a:off x="19997545" y="2552827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1410</xdr:row>
      <xdr:rowOff>120650</xdr:rowOff>
    </xdr:from>
    <xdr:to>
      <xdr:col>10</xdr:col>
      <xdr:colOff>1388870</xdr:colOff>
      <xdr:row>1410</xdr:row>
      <xdr:rowOff>120650</xdr:rowOff>
    </xdr:to>
    <xdr:cxnSp macro="_xll.PtreeEvent_ObjectClick">
      <xdr:nvCxnSpPr>
        <xdr:cNvPr id="2807" name="PTObj_DBranchHLine_1_698">
          <a:extLst>
            <a:ext uri="{FF2B5EF4-FFF2-40B4-BE49-F238E27FC236}">
              <a16:creationId xmlns:a16="http://schemas.microsoft.com/office/drawing/2014/main" id="{E0D58A10-2595-481C-9C93-EF1672053EB8}"/>
            </a:ext>
          </a:extLst>
        </xdr:cNvPr>
        <xdr:cNvCxnSpPr/>
      </xdr:nvCxnSpPr>
      <xdr:spPr>
        <a:xfrm>
          <a:off x="18730720" y="255295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1408</xdr:row>
      <xdr:rowOff>105097</xdr:rowOff>
    </xdr:from>
    <xdr:to>
      <xdr:col>10</xdr:col>
      <xdr:colOff>204595</xdr:colOff>
      <xdr:row>1410</xdr:row>
      <xdr:rowOff>120650</xdr:rowOff>
    </xdr:to>
    <xdr:cxnSp macro="_xll.PtreeEvent_ObjectClick">
      <xdr:nvCxnSpPr>
        <xdr:cNvPr id="2806" name="PTObj_DBranchDLine_1_698">
          <a:extLst>
            <a:ext uri="{FF2B5EF4-FFF2-40B4-BE49-F238E27FC236}">
              <a16:creationId xmlns:a16="http://schemas.microsoft.com/office/drawing/2014/main" id="{F83E7763-FA04-4FB9-833B-2DE52B9AAF8B}"/>
            </a:ext>
          </a:extLst>
        </xdr:cNvPr>
        <xdr:cNvCxnSpPr/>
      </xdr:nvCxnSpPr>
      <xdr:spPr>
        <a:xfrm>
          <a:off x="18578320" y="2549178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1408</xdr:row>
      <xdr:rowOff>116830</xdr:rowOff>
    </xdr:from>
    <xdr:to>
      <xdr:col>9</xdr:col>
      <xdr:colOff>1392681</xdr:colOff>
      <xdr:row>1408</xdr:row>
      <xdr:rowOff>116830</xdr:rowOff>
    </xdr:to>
    <xdr:cxnSp macro="_xll.PtreeEvent_ObjectClick">
      <xdr:nvCxnSpPr>
        <xdr:cNvPr id="2803" name="PTObj_DBranchHLine_1_697">
          <a:extLst>
            <a:ext uri="{FF2B5EF4-FFF2-40B4-BE49-F238E27FC236}">
              <a16:creationId xmlns:a16="http://schemas.microsoft.com/office/drawing/2014/main" id="{860630B0-AD25-41A4-8D52-6FF68BFF4CFC}"/>
            </a:ext>
          </a:extLst>
        </xdr:cNvPr>
        <xdr:cNvCxnSpPr/>
      </xdr:nvCxnSpPr>
      <xdr:spPr>
        <a:xfrm>
          <a:off x="17306734" y="254929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1406</xdr:row>
      <xdr:rowOff>104155</xdr:rowOff>
    </xdr:from>
    <xdr:to>
      <xdr:col>9</xdr:col>
      <xdr:colOff>209359</xdr:colOff>
      <xdr:row>1408</xdr:row>
      <xdr:rowOff>116830</xdr:rowOff>
    </xdr:to>
    <xdr:cxnSp macro="_xll.PtreeEvent_ObjectClick">
      <xdr:nvCxnSpPr>
        <xdr:cNvPr id="2802" name="PTObj_DBranchDLine_1_697">
          <a:extLst>
            <a:ext uri="{FF2B5EF4-FFF2-40B4-BE49-F238E27FC236}">
              <a16:creationId xmlns:a16="http://schemas.microsoft.com/office/drawing/2014/main" id="{F3179DCF-5065-4C7A-B6F0-8861FC724CA0}"/>
            </a:ext>
          </a:extLst>
        </xdr:cNvPr>
        <xdr:cNvCxnSpPr/>
      </xdr:nvCxnSpPr>
      <xdr:spPr>
        <a:xfrm>
          <a:off x="17154334" y="2545550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1406</xdr:row>
      <xdr:rowOff>113035</xdr:rowOff>
    </xdr:from>
    <xdr:to>
      <xdr:col>8</xdr:col>
      <xdr:colOff>1398397</xdr:colOff>
      <xdr:row>1406</xdr:row>
      <xdr:rowOff>113035</xdr:rowOff>
    </xdr:to>
    <xdr:cxnSp macro="_xll.PtreeEvent_ObjectClick">
      <xdr:nvCxnSpPr>
        <xdr:cNvPr id="2799" name="PTObj_DBranchHLine_1_696">
          <a:extLst>
            <a:ext uri="{FF2B5EF4-FFF2-40B4-BE49-F238E27FC236}">
              <a16:creationId xmlns:a16="http://schemas.microsoft.com/office/drawing/2014/main" id="{44A2B223-414F-454C-9D4F-1FA5084AB01B}"/>
            </a:ext>
          </a:extLst>
        </xdr:cNvPr>
        <xdr:cNvCxnSpPr/>
      </xdr:nvCxnSpPr>
      <xdr:spPr>
        <a:xfrm>
          <a:off x="15888463" y="254563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1404</xdr:row>
      <xdr:rowOff>104155</xdr:rowOff>
    </xdr:from>
    <xdr:to>
      <xdr:col>8</xdr:col>
      <xdr:colOff>219838</xdr:colOff>
      <xdr:row>1406</xdr:row>
      <xdr:rowOff>113035</xdr:rowOff>
    </xdr:to>
    <xdr:cxnSp macro="_xll.PtreeEvent_ObjectClick">
      <xdr:nvCxnSpPr>
        <xdr:cNvPr id="2798" name="PTObj_DBranchDLine_1_696">
          <a:extLst>
            <a:ext uri="{FF2B5EF4-FFF2-40B4-BE49-F238E27FC236}">
              <a16:creationId xmlns:a16="http://schemas.microsoft.com/office/drawing/2014/main" id="{CDA06B5B-7E2C-442C-AB0C-EDBA97F71819}"/>
            </a:ext>
          </a:extLst>
        </xdr:cNvPr>
        <xdr:cNvCxnSpPr/>
      </xdr:nvCxnSpPr>
      <xdr:spPr>
        <a:xfrm>
          <a:off x="15736063" y="2541930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1402</xdr:row>
      <xdr:rowOff>105420</xdr:rowOff>
    </xdr:from>
    <xdr:to>
      <xdr:col>11</xdr:col>
      <xdr:colOff>1386967</xdr:colOff>
      <xdr:row>1402</xdr:row>
      <xdr:rowOff>105420</xdr:rowOff>
    </xdr:to>
    <xdr:cxnSp macro="_xll.PtreeEvent_ObjectClick">
      <xdr:nvCxnSpPr>
        <xdr:cNvPr id="2795" name="PTObj_DBranchHLine_1_694">
          <a:extLst>
            <a:ext uri="{FF2B5EF4-FFF2-40B4-BE49-F238E27FC236}">
              <a16:creationId xmlns:a16="http://schemas.microsoft.com/office/drawing/2014/main" id="{2E342FD2-AB64-495F-95CA-530E6C6C3772}"/>
            </a:ext>
          </a:extLst>
        </xdr:cNvPr>
        <xdr:cNvCxnSpPr/>
      </xdr:nvCxnSpPr>
      <xdr:spPr>
        <a:xfrm>
          <a:off x="20149945" y="253832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1400</xdr:row>
      <xdr:rowOff>99392</xdr:rowOff>
    </xdr:from>
    <xdr:to>
      <xdr:col>11</xdr:col>
      <xdr:colOff>195070</xdr:colOff>
      <xdr:row>1402</xdr:row>
      <xdr:rowOff>105420</xdr:rowOff>
    </xdr:to>
    <xdr:cxnSp macro="_xll.PtreeEvent_ObjectClick">
      <xdr:nvCxnSpPr>
        <xdr:cNvPr id="2794" name="PTObj_DBranchDLine_1_694">
          <a:extLst>
            <a:ext uri="{FF2B5EF4-FFF2-40B4-BE49-F238E27FC236}">
              <a16:creationId xmlns:a16="http://schemas.microsoft.com/office/drawing/2014/main" id="{AC560224-8333-4878-9B8D-DA61B3F9996B}"/>
            </a:ext>
          </a:extLst>
        </xdr:cNvPr>
        <xdr:cNvCxnSpPr/>
      </xdr:nvCxnSpPr>
      <xdr:spPr>
        <a:xfrm>
          <a:off x="19997545" y="2534643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1400</xdr:row>
      <xdr:rowOff>101600</xdr:rowOff>
    </xdr:from>
    <xdr:to>
      <xdr:col>10</xdr:col>
      <xdr:colOff>1388870</xdr:colOff>
      <xdr:row>1400</xdr:row>
      <xdr:rowOff>101600</xdr:rowOff>
    </xdr:to>
    <xdr:cxnSp macro="_xll.PtreeEvent_ObjectClick">
      <xdr:nvCxnSpPr>
        <xdr:cNvPr id="2791" name="PTObj_DBranchHLine_1_693">
          <a:extLst>
            <a:ext uri="{FF2B5EF4-FFF2-40B4-BE49-F238E27FC236}">
              <a16:creationId xmlns:a16="http://schemas.microsoft.com/office/drawing/2014/main" id="{24733BBD-B972-4B2A-9396-62592C40D63E}"/>
            </a:ext>
          </a:extLst>
        </xdr:cNvPr>
        <xdr:cNvCxnSpPr/>
      </xdr:nvCxnSpPr>
      <xdr:spPr>
        <a:xfrm>
          <a:off x="18730720" y="253466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1398</xdr:row>
      <xdr:rowOff>97482</xdr:rowOff>
    </xdr:from>
    <xdr:to>
      <xdr:col>10</xdr:col>
      <xdr:colOff>204595</xdr:colOff>
      <xdr:row>1400</xdr:row>
      <xdr:rowOff>101600</xdr:rowOff>
    </xdr:to>
    <xdr:cxnSp macro="_xll.PtreeEvent_ObjectClick">
      <xdr:nvCxnSpPr>
        <xdr:cNvPr id="2790" name="PTObj_DBranchDLine_1_693">
          <a:extLst>
            <a:ext uri="{FF2B5EF4-FFF2-40B4-BE49-F238E27FC236}">
              <a16:creationId xmlns:a16="http://schemas.microsoft.com/office/drawing/2014/main" id="{9CA4281E-6671-4313-A06D-1FA124BA8604}"/>
            </a:ext>
          </a:extLst>
        </xdr:cNvPr>
        <xdr:cNvCxnSpPr/>
      </xdr:nvCxnSpPr>
      <xdr:spPr>
        <a:xfrm>
          <a:off x="18578320" y="2531005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1398</xdr:row>
      <xdr:rowOff>97780</xdr:rowOff>
    </xdr:from>
    <xdr:to>
      <xdr:col>9</xdr:col>
      <xdr:colOff>1392681</xdr:colOff>
      <xdr:row>1398</xdr:row>
      <xdr:rowOff>97780</xdr:rowOff>
    </xdr:to>
    <xdr:cxnSp macro="_xll.PtreeEvent_ObjectClick">
      <xdr:nvCxnSpPr>
        <xdr:cNvPr id="2787" name="PTObj_DBranchHLine_1_692">
          <a:extLst>
            <a:ext uri="{FF2B5EF4-FFF2-40B4-BE49-F238E27FC236}">
              <a16:creationId xmlns:a16="http://schemas.microsoft.com/office/drawing/2014/main" id="{FB439939-BB87-4D4B-999F-AB9AECD2D506}"/>
            </a:ext>
          </a:extLst>
        </xdr:cNvPr>
        <xdr:cNvCxnSpPr/>
      </xdr:nvCxnSpPr>
      <xdr:spPr>
        <a:xfrm>
          <a:off x="17306734" y="253100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1396</xdr:row>
      <xdr:rowOff>91753</xdr:rowOff>
    </xdr:from>
    <xdr:to>
      <xdr:col>9</xdr:col>
      <xdr:colOff>209359</xdr:colOff>
      <xdr:row>1398</xdr:row>
      <xdr:rowOff>97780</xdr:rowOff>
    </xdr:to>
    <xdr:cxnSp macro="_xll.PtreeEvent_ObjectClick">
      <xdr:nvCxnSpPr>
        <xdr:cNvPr id="2786" name="PTObj_DBranchDLine_1_692">
          <a:extLst>
            <a:ext uri="{FF2B5EF4-FFF2-40B4-BE49-F238E27FC236}">
              <a16:creationId xmlns:a16="http://schemas.microsoft.com/office/drawing/2014/main" id="{8F054378-5B1A-4B81-B393-05BB9ECEF9E8}"/>
            </a:ext>
          </a:extLst>
        </xdr:cNvPr>
        <xdr:cNvCxnSpPr/>
      </xdr:nvCxnSpPr>
      <xdr:spPr>
        <a:xfrm>
          <a:off x="17154334" y="2527328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1396</xdr:row>
      <xdr:rowOff>93985</xdr:rowOff>
    </xdr:from>
    <xdr:to>
      <xdr:col>8</xdr:col>
      <xdr:colOff>1398397</xdr:colOff>
      <xdr:row>1396</xdr:row>
      <xdr:rowOff>93985</xdr:rowOff>
    </xdr:to>
    <xdr:cxnSp macro="_xll.PtreeEvent_ObjectClick">
      <xdr:nvCxnSpPr>
        <xdr:cNvPr id="2783" name="PTObj_DBranchHLine_1_691">
          <a:extLst>
            <a:ext uri="{FF2B5EF4-FFF2-40B4-BE49-F238E27FC236}">
              <a16:creationId xmlns:a16="http://schemas.microsoft.com/office/drawing/2014/main" id="{B51BB6BE-075A-4131-99FD-BB400BFE407B}"/>
            </a:ext>
          </a:extLst>
        </xdr:cNvPr>
        <xdr:cNvCxnSpPr/>
      </xdr:nvCxnSpPr>
      <xdr:spPr>
        <a:xfrm>
          <a:off x="15884652" y="252735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1396</xdr:row>
      <xdr:rowOff>93985</xdr:rowOff>
    </xdr:from>
    <xdr:to>
      <xdr:col>8</xdr:col>
      <xdr:colOff>216027</xdr:colOff>
      <xdr:row>1404</xdr:row>
      <xdr:rowOff>104155</xdr:rowOff>
    </xdr:to>
    <xdr:cxnSp macro="_xll.PtreeEvent_ObjectClick">
      <xdr:nvCxnSpPr>
        <xdr:cNvPr id="2782" name="PTObj_DBranchDLine_1_691">
          <a:extLst>
            <a:ext uri="{FF2B5EF4-FFF2-40B4-BE49-F238E27FC236}">
              <a16:creationId xmlns:a16="http://schemas.microsoft.com/office/drawing/2014/main" id="{B974BAF1-556D-4FA7-A44C-3AFD2B49D58B}"/>
            </a:ext>
          </a:extLst>
        </xdr:cNvPr>
        <xdr:cNvCxnSpPr/>
      </xdr:nvCxnSpPr>
      <xdr:spPr>
        <a:xfrm flipV="1">
          <a:off x="15732252" y="2527350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1404</xdr:row>
      <xdr:rowOff>109215</xdr:rowOff>
    </xdr:from>
    <xdr:to>
      <xdr:col>7</xdr:col>
      <xdr:colOff>1402207</xdr:colOff>
      <xdr:row>1404</xdr:row>
      <xdr:rowOff>109215</xdr:rowOff>
    </xdr:to>
    <xdr:cxnSp macro="_xll.PtreeEvent_ObjectClick">
      <xdr:nvCxnSpPr>
        <xdr:cNvPr id="2779" name="PTObj_DBranchHLine_1_695">
          <a:extLst>
            <a:ext uri="{FF2B5EF4-FFF2-40B4-BE49-F238E27FC236}">
              <a16:creationId xmlns:a16="http://schemas.microsoft.com/office/drawing/2014/main" id="{BA25A91A-EE53-4B9D-9F3A-59A60AE16A11}"/>
            </a:ext>
          </a:extLst>
        </xdr:cNvPr>
        <xdr:cNvCxnSpPr/>
      </xdr:nvCxnSpPr>
      <xdr:spPr>
        <a:xfrm>
          <a:off x="14460665" y="2541981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1394</xdr:row>
      <xdr:rowOff>84138</xdr:rowOff>
    </xdr:from>
    <xdr:to>
      <xdr:col>7</xdr:col>
      <xdr:colOff>220790</xdr:colOff>
      <xdr:row>1404</xdr:row>
      <xdr:rowOff>109215</xdr:rowOff>
    </xdr:to>
    <xdr:cxnSp macro="_xll.PtreeEvent_ObjectClick">
      <xdr:nvCxnSpPr>
        <xdr:cNvPr id="2778" name="PTObj_DBranchDLine_1_695">
          <a:extLst>
            <a:ext uri="{FF2B5EF4-FFF2-40B4-BE49-F238E27FC236}">
              <a16:creationId xmlns:a16="http://schemas.microsoft.com/office/drawing/2014/main" id="{B849510D-E0C8-479E-A0CD-E566191C3C51}"/>
            </a:ext>
          </a:extLst>
        </xdr:cNvPr>
        <xdr:cNvCxnSpPr/>
      </xdr:nvCxnSpPr>
      <xdr:spPr>
        <a:xfrm>
          <a:off x="14308265" y="252363288"/>
          <a:ext cx="152400" cy="18348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1392</xdr:row>
      <xdr:rowOff>86370</xdr:rowOff>
    </xdr:from>
    <xdr:to>
      <xdr:col>11</xdr:col>
      <xdr:colOff>1386967</xdr:colOff>
      <xdr:row>1392</xdr:row>
      <xdr:rowOff>86370</xdr:rowOff>
    </xdr:to>
    <xdr:cxnSp macro="_xll.PtreeEvent_ObjectClick">
      <xdr:nvCxnSpPr>
        <xdr:cNvPr id="2775" name="PTObj_DBranchHLine_1_689">
          <a:extLst>
            <a:ext uri="{FF2B5EF4-FFF2-40B4-BE49-F238E27FC236}">
              <a16:creationId xmlns:a16="http://schemas.microsoft.com/office/drawing/2014/main" id="{C06DEB9B-02FC-4B96-9D67-1D002D12DB25}"/>
            </a:ext>
          </a:extLst>
        </xdr:cNvPr>
        <xdr:cNvCxnSpPr/>
      </xdr:nvCxnSpPr>
      <xdr:spPr>
        <a:xfrm>
          <a:off x="20149945" y="2520035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1390</xdr:row>
      <xdr:rowOff>73670</xdr:rowOff>
    </xdr:from>
    <xdr:to>
      <xdr:col>11</xdr:col>
      <xdr:colOff>195070</xdr:colOff>
      <xdr:row>1392</xdr:row>
      <xdr:rowOff>86370</xdr:rowOff>
    </xdr:to>
    <xdr:cxnSp macro="_xll.PtreeEvent_ObjectClick">
      <xdr:nvCxnSpPr>
        <xdr:cNvPr id="2774" name="PTObj_DBranchDLine_1_689">
          <a:extLst>
            <a:ext uri="{FF2B5EF4-FFF2-40B4-BE49-F238E27FC236}">
              <a16:creationId xmlns:a16="http://schemas.microsoft.com/office/drawing/2014/main" id="{84330034-A451-4AF3-8ED7-80AC8CC61FE6}"/>
            </a:ext>
          </a:extLst>
        </xdr:cNvPr>
        <xdr:cNvCxnSpPr/>
      </xdr:nvCxnSpPr>
      <xdr:spPr>
        <a:xfrm>
          <a:off x="19997545" y="2516289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1390</xdr:row>
      <xdr:rowOff>82550</xdr:rowOff>
    </xdr:from>
    <xdr:to>
      <xdr:col>10</xdr:col>
      <xdr:colOff>1388870</xdr:colOff>
      <xdr:row>1390</xdr:row>
      <xdr:rowOff>82550</xdr:rowOff>
    </xdr:to>
    <xdr:cxnSp macro="_xll.PtreeEvent_ObjectClick">
      <xdr:nvCxnSpPr>
        <xdr:cNvPr id="2771" name="PTObj_DBranchHLine_1_688">
          <a:extLst>
            <a:ext uri="{FF2B5EF4-FFF2-40B4-BE49-F238E27FC236}">
              <a16:creationId xmlns:a16="http://schemas.microsoft.com/office/drawing/2014/main" id="{E4A31022-1478-450F-8FD2-D70587231E54}"/>
            </a:ext>
          </a:extLst>
        </xdr:cNvPr>
        <xdr:cNvCxnSpPr/>
      </xdr:nvCxnSpPr>
      <xdr:spPr>
        <a:xfrm>
          <a:off x="18730720" y="251637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1388</xdr:row>
      <xdr:rowOff>77490</xdr:rowOff>
    </xdr:from>
    <xdr:to>
      <xdr:col>10</xdr:col>
      <xdr:colOff>204595</xdr:colOff>
      <xdr:row>1390</xdr:row>
      <xdr:rowOff>82550</xdr:rowOff>
    </xdr:to>
    <xdr:cxnSp macro="_xll.PtreeEvent_ObjectClick">
      <xdr:nvCxnSpPr>
        <xdr:cNvPr id="2770" name="PTObj_DBranchDLine_1_688">
          <a:extLst>
            <a:ext uri="{FF2B5EF4-FFF2-40B4-BE49-F238E27FC236}">
              <a16:creationId xmlns:a16="http://schemas.microsoft.com/office/drawing/2014/main" id="{5F7E43AB-D53C-403A-884A-BA9654E130D8}"/>
            </a:ext>
          </a:extLst>
        </xdr:cNvPr>
        <xdr:cNvCxnSpPr/>
      </xdr:nvCxnSpPr>
      <xdr:spPr>
        <a:xfrm>
          <a:off x="18578320" y="2512707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1388</xdr:row>
      <xdr:rowOff>78730</xdr:rowOff>
    </xdr:from>
    <xdr:to>
      <xdr:col>9</xdr:col>
      <xdr:colOff>1392681</xdr:colOff>
      <xdr:row>1388</xdr:row>
      <xdr:rowOff>78730</xdr:rowOff>
    </xdr:to>
    <xdr:cxnSp macro="_xll.PtreeEvent_ObjectClick">
      <xdr:nvCxnSpPr>
        <xdr:cNvPr id="2767" name="PTObj_DBranchHLine_1_687">
          <a:extLst>
            <a:ext uri="{FF2B5EF4-FFF2-40B4-BE49-F238E27FC236}">
              <a16:creationId xmlns:a16="http://schemas.microsoft.com/office/drawing/2014/main" id="{CDA86463-E691-47F2-9D22-BDA5DA99F523}"/>
            </a:ext>
          </a:extLst>
        </xdr:cNvPr>
        <xdr:cNvCxnSpPr/>
      </xdr:nvCxnSpPr>
      <xdr:spPr>
        <a:xfrm>
          <a:off x="17306734" y="251272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1386</xdr:row>
      <xdr:rowOff>73670</xdr:rowOff>
    </xdr:from>
    <xdr:to>
      <xdr:col>9</xdr:col>
      <xdr:colOff>209359</xdr:colOff>
      <xdr:row>1388</xdr:row>
      <xdr:rowOff>78730</xdr:rowOff>
    </xdr:to>
    <xdr:cxnSp macro="_xll.PtreeEvent_ObjectClick">
      <xdr:nvCxnSpPr>
        <xdr:cNvPr id="2766" name="PTObj_DBranchDLine_1_687">
          <a:extLst>
            <a:ext uri="{FF2B5EF4-FFF2-40B4-BE49-F238E27FC236}">
              <a16:creationId xmlns:a16="http://schemas.microsoft.com/office/drawing/2014/main" id="{EFC1A290-2481-4BC5-999E-11C8481F686A}"/>
            </a:ext>
          </a:extLst>
        </xdr:cNvPr>
        <xdr:cNvCxnSpPr/>
      </xdr:nvCxnSpPr>
      <xdr:spPr>
        <a:xfrm>
          <a:off x="17154334" y="2509050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1386</xdr:row>
      <xdr:rowOff>74935</xdr:rowOff>
    </xdr:from>
    <xdr:to>
      <xdr:col>8</xdr:col>
      <xdr:colOff>1398397</xdr:colOff>
      <xdr:row>1386</xdr:row>
      <xdr:rowOff>74935</xdr:rowOff>
    </xdr:to>
    <xdr:cxnSp macro="_xll.PtreeEvent_ObjectClick">
      <xdr:nvCxnSpPr>
        <xdr:cNvPr id="2763" name="PTObj_DBranchHLine_1_686">
          <a:extLst>
            <a:ext uri="{FF2B5EF4-FFF2-40B4-BE49-F238E27FC236}">
              <a16:creationId xmlns:a16="http://schemas.microsoft.com/office/drawing/2014/main" id="{62F28C7C-2F8E-4A9D-B272-A4D9A2FB7849}"/>
            </a:ext>
          </a:extLst>
        </xdr:cNvPr>
        <xdr:cNvCxnSpPr/>
      </xdr:nvCxnSpPr>
      <xdr:spPr>
        <a:xfrm>
          <a:off x="15888463" y="2509062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1384</xdr:row>
      <xdr:rowOff>71760</xdr:rowOff>
    </xdr:from>
    <xdr:to>
      <xdr:col>8</xdr:col>
      <xdr:colOff>219838</xdr:colOff>
      <xdr:row>1386</xdr:row>
      <xdr:rowOff>74935</xdr:rowOff>
    </xdr:to>
    <xdr:cxnSp macro="_xll.PtreeEvent_ObjectClick">
      <xdr:nvCxnSpPr>
        <xdr:cNvPr id="2762" name="PTObj_DBranchDLine_1_686">
          <a:extLst>
            <a:ext uri="{FF2B5EF4-FFF2-40B4-BE49-F238E27FC236}">
              <a16:creationId xmlns:a16="http://schemas.microsoft.com/office/drawing/2014/main" id="{D214CD0F-1FB9-4CC4-AA10-6EE6AF1670D2}"/>
            </a:ext>
          </a:extLst>
        </xdr:cNvPr>
        <xdr:cNvCxnSpPr/>
      </xdr:nvCxnSpPr>
      <xdr:spPr>
        <a:xfrm>
          <a:off x="15736063" y="250541160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1382</xdr:row>
      <xdr:rowOff>67320</xdr:rowOff>
    </xdr:from>
    <xdr:to>
      <xdr:col>11</xdr:col>
      <xdr:colOff>1386015</xdr:colOff>
      <xdr:row>1382</xdr:row>
      <xdr:rowOff>67320</xdr:rowOff>
    </xdr:to>
    <xdr:cxnSp macro="_xll.PtreeEvent_ObjectClick">
      <xdr:nvCxnSpPr>
        <xdr:cNvPr id="2759" name="PTObj_DBranchHLine_1_684">
          <a:extLst>
            <a:ext uri="{FF2B5EF4-FFF2-40B4-BE49-F238E27FC236}">
              <a16:creationId xmlns:a16="http://schemas.microsoft.com/office/drawing/2014/main" id="{E2099145-683D-4D37-B027-C4F259EEB188}"/>
            </a:ext>
          </a:extLst>
        </xdr:cNvPr>
        <xdr:cNvCxnSpPr/>
      </xdr:nvCxnSpPr>
      <xdr:spPr>
        <a:xfrm>
          <a:off x="20149945" y="2501747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1380</xdr:row>
      <xdr:rowOff>58440</xdr:rowOff>
    </xdr:from>
    <xdr:to>
      <xdr:col>11</xdr:col>
      <xdr:colOff>195070</xdr:colOff>
      <xdr:row>1382</xdr:row>
      <xdr:rowOff>67320</xdr:rowOff>
    </xdr:to>
    <xdr:cxnSp macro="_xll.PtreeEvent_ObjectClick">
      <xdr:nvCxnSpPr>
        <xdr:cNvPr id="2758" name="PTObj_DBranchDLine_1_684">
          <a:extLst>
            <a:ext uri="{FF2B5EF4-FFF2-40B4-BE49-F238E27FC236}">
              <a16:creationId xmlns:a16="http://schemas.microsoft.com/office/drawing/2014/main" id="{0D3A5AD5-B170-4B72-8697-A86581189993}"/>
            </a:ext>
          </a:extLst>
        </xdr:cNvPr>
        <xdr:cNvCxnSpPr/>
      </xdr:nvCxnSpPr>
      <xdr:spPr>
        <a:xfrm>
          <a:off x="19997545" y="2498039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1380</xdr:row>
      <xdr:rowOff>63500</xdr:rowOff>
    </xdr:from>
    <xdr:to>
      <xdr:col>10</xdr:col>
      <xdr:colOff>1388870</xdr:colOff>
      <xdr:row>1380</xdr:row>
      <xdr:rowOff>63500</xdr:rowOff>
    </xdr:to>
    <xdr:cxnSp macro="_xll.PtreeEvent_ObjectClick">
      <xdr:nvCxnSpPr>
        <xdr:cNvPr id="2755" name="PTObj_DBranchHLine_1_683">
          <a:extLst>
            <a:ext uri="{FF2B5EF4-FFF2-40B4-BE49-F238E27FC236}">
              <a16:creationId xmlns:a16="http://schemas.microsoft.com/office/drawing/2014/main" id="{8FAD91DD-B9CC-4ABF-80FF-A446ABD1E161}"/>
            </a:ext>
          </a:extLst>
        </xdr:cNvPr>
        <xdr:cNvCxnSpPr/>
      </xdr:nvCxnSpPr>
      <xdr:spPr>
        <a:xfrm>
          <a:off x="18730720" y="249809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1378</xdr:row>
      <xdr:rowOff>54620</xdr:rowOff>
    </xdr:from>
    <xdr:to>
      <xdr:col>10</xdr:col>
      <xdr:colOff>204595</xdr:colOff>
      <xdr:row>1380</xdr:row>
      <xdr:rowOff>63500</xdr:rowOff>
    </xdr:to>
    <xdr:cxnSp macro="_xll.PtreeEvent_ObjectClick">
      <xdr:nvCxnSpPr>
        <xdr:cNvPr id="2754" name="PTObj_DBranchDLine_1_683">
          <a:extLst>
            <a:ext uri="{FF2B5EF4-FFF2-40B4-BE49-F238E27FC236}">
              <a16:creationId xmlns:a16="http://schemas.microsoft.com/office/drawing/2014/main" id="{F644FD4D-BBEE-45C1-BDCC-24977B0BB849}"/>
            </a:ext>
          </a:extLst>
        </xdr:cNvPr>
        <xdr:cNvCxnSpPr/>
      </xdr:nvCxnSpPr>
      <xdr:spPr>
        <a:xfrm>
          <a:off x="18578320" y="249438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1378</xdr:row>
      <xdr:rowOff>59680</xdr:rowOff>
    </xdr:from>
    <xdr:to>
      <xdr:col>9</xdr:col>
      <xdr:colOff>1392681</xdr:colOff>
      <xdr:row>1378</xdr:row>
      <xdr:rowOff>59680</xdr:rowOff>
    </xdr:to>
    <xdr:cxnSp macro="_xll.PtreeEvent_ObjectClick">
      <xdr:nvCxnSpPr>
        <xdr:cNvPr id="2751" name="PTObj_DBranchHLine_1_682">
          <a:extLst>
            <a:ext uri="{FF2B5EF4-FFF2-40B4-BE49-F238E27FC236}">
              <a16:creationId xmlns:a16="http://schemas.microsoft.com/office/drawing/2014/main" id="{B12CFA68-35E8-4E9A-AC8D-107AE1AD150A}"/>
            </a:ext>
          </a:extLst>
        </xdr:cNvPr>
        <xdr:cNvCxnSpPr/>
      </xdr:nvCxnSpPr>
      <xdr:spPr>
        <a:xfrm>
          <a:off x="17306734" y="249443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1376</xdr:row>
      <xdr:rowOff>46980</xdr:rowOff>
    </xdr:from>
    <xdr:to>
      <xdr:col>9</xdr:col>
      <xdr:colOff>209359</xdr:colOff>
      <xdr:row>1378</xdr:row>
      <xdr:rowOff>59680</xdr:rowOff>
    </xdr:to>
    <xdr:cxnSp macro="_xll.PtreeEvent_ObjectClick">
      <xdr:nvCxnSpPr>
        <xdr:cNvPr id="2750" name="PTObj_DBranchDLine_1_682">
          <a:extLst>
            <a:ext uri="{FF2B5EF4-FFF2-40B4-BE49-F238E27FC236}">
              <a16:creationId xmlns:a16="http://schemas.microsoft.com/office/drawing/2014/main" id="{0A57B18A-E777-43B4-A08A-9B01B4B86051}"/>
            </a:ext>
          </a:extLst>
        </xdr:cNvPr>
        <xdr:cNvCxnSpPr/>
      </xdr:nvCxnSpPr>
      <xdr:spPr>
        <a:xfrm>
          <a:off x="17154334" y="2490685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1376</xdr:row>
      <xdr:rowOff>55885</xdr:rowOff>
    </xdr:from>
    <xdr:to>
      <xdr:col>8</xdr:col>
      <xdr:colOff>1398397</xdr:colOff>
      <xdr:row>1376</xdr:row>
      <xdr:rowOff>55885</xdr:rowOff>
    </xdr:to>
    <xdr:cxnSp macro="_xll.PtreeEvent_ObjectClick">
      <xdr:nvCxnSpPr>
        <xdr:cNvPr id="2747" name="PTObj_DBranchHLine_1_681">
          <a:extLst>
            <a:ext uri="{FF2B5EF4-FFF2-40B4-BE49-F238E27FC236}">
              <a16:creationId xmlns:a16="http://schemas.microsoft.com/office/drawing/2014/main" id="{130E629E-57E4-490B-9155-B45F7551121E}"/>
            </a:ext>
          </a:extLst>
        </xdr:cNvPr>
        <xdr:cNvCxnSpPr/>
      </xdr:nvCxnSpPr>
      <xdr:spPr>
        <a:xfrm>
          <a:off x="15884652" y="2490774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1376</xdr:row>
      <xdr:rowOff>55885</xdr:rowOff>
    </xdr:from>
    <xdr:to>
      <xdr:col>8</xdr:col>
      <xdr:colOff>216027</xdr:colOff>
      <xdr:row>1384</xdr:row>
      <xdr:rowOff>71760</xdr:rowOff>
    </xdr:to>
    <xdr:cxnSp macro="_xll.PtreeEvent_ObjectClick">
      <xdr:nvCxnSpPr>
        <xdr:cNvPr id="2746" name="PTObj_DBranchDLine_1_681">
          <a:extLst>
            <a:ext uri="{FF2B5EF4-FFF2-40B4-BE49-F238E27FC236}">
              <a16:creationId xmlns:a16="http://schemas.microsoft.com/office/drawing/2014/main" id="{E564A0AA-285D-4ECC-96BA-3EC00F7D3B97}"/>
            </a:ext>
          </a:extLst>
        </xdr:cNvPr>
        <xdr:cNvCxnSpPr/>
      </xdr:nvCxnSpPr>
      <xdr:spPr>
        <a:xfrm flipV="1">
          <a:off x="15732252" y="249077485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1384</xdr:row>
      <xdr:rowOff>71115</xdr:rowOff>
    </xdr:from>
    <xdr:to>
      <xdr:col>7</xdr:col>
      <xdr:colOff>1402207</xdr:colOff>
      <xdr:row>1384</xdr:row>
      <xdr:rowOff>71115</xdr:rowOff>
    </xdr:to>
    <xdr:cxnSp macro="_xll.PtreeEvent_ObjectClick">
      <xdr:nvCxnSpPr>
        <xdr:cNvPr id="2743" name="PTObj_DBranchHLine_1_685">
          <a:extLst>
            <a:ext uri="{FF2B5EF4-FFF2-40B4-BE49-F238E27FC236}">
              <a16:creationId xmlns:a16="http://schemas.microsoft.com/office/drawing/2014/main" id="{27748D47-0C98-4F83-A2F8-94CDD4CA0111}"/>
            </a:ext>
          </a:extLst>
        </xdr:cNvPr>
        <xdr:cNvCxnSpPr/>
      </xdr:nvCxnSpPr>
      <xdr:spPr>
        <a:xfrm>
          <a:off x="14462570" y="2505405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1384</xdr:row>
      <xdr:rowOff>71115</xdr:rowOff>
    </xdr:from>
    <xdr:to>
      <xdr:col>7</xdr:col>
      <xdr:colOff>222695</xdr:colOff>
      <xdr:row>1394</xdr:row>
      <xdr:rowOff>84138</xdr:rowOff>
    </xdr:to>
    <xdr:cxnSp macro="_xll.PtreeEvent_ObjectClick">
      <xdr:nvCxnSpPr>
        <xdr:cNvPr id="2742" name="PTObj_DBranchDLine_1_685">
          <a:extLst>
            <a:ext uri="{FF2B5EF4-FFF2-40B4-BE49-F238E27FC236}">
              <a16:creationId xmlns:a16="http://schemas.microsoft.com/office/drawing/2014/main" id="{B7D7CDD4-34E1-441E-8445-92EED2D19A49}"/>
            </a:ext>
          </a:extLst>
        </xdr:cNvPr>
        <xdr:cNvCxnSpPr/>
      </xdr:nvCxnSpPr>
      <xdr:spPr>
        <a:xfrm flipV="1">
          <a:off x="14310170" y="250540515"/>
          <a:ext cx="152400" cy="18227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1394</xdr:row>
      <xdr:rowOff>90165</xdr:rowOff>
    </xdr:from>
    <xdr:to>
      <xdr:col>6</xdr:col>
      <xdr:colOff>1407922</xdr:colOff>
      <xdr:row>1394</xdr:row>
      <xdr:rowOff>90165</xdr:rowOff>
    </xdr:to>
    <xdr:cxnSp macro="_xll.PtreeEvent_ObjectClick">
      <xdr:nvCxnSpPr>
        <xdr:cNvPr id="2739" name="PTObj_DBranchHLine_1_690">
          <a:extLst>
            <a:ext uri="{FF2B5EF4-FFF2-40B4-BE49-F238E27FC236}">
              <a16:creationId xmlns:a16="http://schemas.microsoft.com/office/drawing/2014/main" id="{557E0774-A82C-49D4-8D9B-608AF2174A95}"/>
            </a:ext>
          </a:extLst>
        </xdr:cNvPr>
        <xdr:cNvCxnSpPr/>
      </xdr:nvCxnSpPr>
      <xdr:spPr>
        <a:xfrm>
          <a:off x="13034772" y="2523693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1394</xdr:row>
      <xdr:rowOff>90165</xdr:rowOff>
    </xdr:from>
    <xdr:to>
      <xdr:col>6</xdr:col>
      <xdr:colOff>223647</xdr:colOff>
      <xdr:row>1414</xdr:row>
      <xdr:rowOff>123205</xdr:rowOff>
    </xdr:to>
    <xdr:cxnSp macro="_xll.PtreeEvent_ObjectClick">
      <xdr:nvCxnSpPr>
        <xdr:cNvPr id="2738" name="PTObj_DBranchDLine_1_690">
          <a:extLst>
            <a:ext uri="{FF2B5EF4-FFF2-40B4-BE49-F238E27FC236}">
              <a16:creationId xmlns:a16="http://schemas.microsoft.com/office/drawing/2014/main" id="{8F750C78-FBAF-4858-8414-69E9BC44C1A5}"/>
            </a:ext>
          </a:extLst>
        </xdr:cNvPr>
        <xdr:cNvCxnSpPr/>
      </xdr:nvCxnSpPr>
      <xdr:spPr>
        <a:xfrm flipV="1">
          <a:off x="12882372" y="2523693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226505</xdr:colOff>
      <xdr:row>1414</xdr:row>
      <xdr:rowOff>128265</xdr:rowOff>
    </xdr:from>
    <xdr:to>
      <xdr:col>5</xdr:col>
      <xdr:colOff>1411732</xdr:colOff>
      <xdr:row>1414</xdr:row>
      <xdr:rowOff>128265</xdr:rowOff>
    </xdr:to>
    <xdr:cxnSp macro="_xll.PtreeEvent_ObjectClick">
      <xdr:nvCxnSpPr>
        <xdr:cNvPr id="2735" name="PTObj_DBranchHLine_1_700">
          <a:extLst>
            <a:ext uri="{FF2B5EF4-FFF2-40B4-BE49-F238E27FC236}">
              <a16:creationId xmlns:a16="http://schemas.microsoft.com/office/drawing/2014/main" id="{3362C1A9-8E49-41C7-BCF1-1CCFDFDC3DD4}"/>
            </a:ext>
          </a:extLst>
        </xdr:cNvPr>
        <xdr:cNvCxnSpPr/>
      </xdr:nvCxnSpPr>
      <xdr:spPr>
        <a:xfrm>
          <a:off x="11608880" y="2560269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74105</xdr:colOff>
      <xdr:row>1374</xdr:row>
      <xdr:rowOff>40332</xdr:rowOff>
    </xdr:from>
    <xdr:to>
      <xdr:col>5</xdr:col>
      <xdr:colOff>226505</xdr:colOff>
      <xdr:row>1414</xdr:row>
      <xdr:rowOff>128265</xdr:rowOff>
    </xdr:to>
    <xdr:cxnSp macro="_xll.PtreeEvent_ObjectClick">
      <xdr:nvCxnSpPr>
        <xdr:cNvPr id="2734" name="PTObj_DBranchDLine_1_700">
          <a:extLst>
            <a:ext uri="{FF2B5EF4-FFF2-40B4-BE49-F238E27FC236}">
              <a16:creationId xmlns:a16="http://schemas.microsoft.com/office/drawing/2014/main" id="{30A5F579-3351-453F-BD16-EAC8243974F7}"/>
            </a:ext>
          </a:extLst>
        </xdr:cNvPr>
        <xdr:cNvCxnSpPr/>
      </xdr:nvCxnSpPr>
      <xdr:spPr>
        <a:xfrm>
          <a:off x="11456480" y="248699982"/>
          <a:ext cx="152400" cy="73269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1372</xdr:row>
      <xdr:rowOff>48270</xdr:rowOff>
    </xdr:from>
    <xdr:to>
      <xdr:col>11</xdr:col>
      <xdr:colOff>1386967</xdr:colOff>
      <xdr:row>1372</xdr:row>
      <xdr:rowOff>48270</xdr:rowOff>
    </xdr:to>
    <xdr:cxnSp macro="_xll.PtreeEvent_ObjectClick">
      <xdr:nvCxnSpPr>
        <xdr:cNvPr id="2731" name="PTObj_DBranchHLine_1_679">
          <a:extLst>
            <a:ext uri="{FF2B5EF4-FFF2-40B4-BE49-F238E27FC236}">
              <a16:creationId xmlns:a16="http://schemas.microsoft.com/office/drawing/2014/main" id="{9FF9005B-E350-4721-8446-946AA5C1CAA0}"/>
            </a:ext>
          </a:extLst>
        </xdr:cNvPr>
        <xdr:cNvCxnSpPr/>
      </xdr:nvCxnSpPr>
      <xdr:spPr>
        <a:xfrm>
          <a:off x="20149945" y="2483459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1370</xdr:row>
      <xdr:rowOff>35570</xdr:rowOff>
    </xdr:from>
    <xdr:to>
      <xdr:col>11</xdr:col>
      <xdr:colOff>195070</xdr:colOff>
      <xdr:row>1372</xdr:row>
      <xdr:rowOff>48270</xdr:rowOff>
    </xdr:to>
    <xdr:cxnSp macro="_xll.PtreeEvent_ObjectClick">
      <xdr:nvCxnSpPr>
        <xdr:cNvPr id="2730" name="PTObj_DBranchDLine_1_679">
          <a:extLst>
            <a:ext uri="{FF2B5EF4-FFF2-40B4-BE49-F238E27FC236}">
              <a16:creationId xmlns:a16="http://schemas.microsoft.com/office/drawing/2014/main" id="{C3776363-2EB4-4B61-906A-6B2CAA86B0A4}"/>
            </a:ext>
          </a:extLst>
        </xdr:cNvPr>
        <xdr:cNvCxnSpPr/>
      </xdr:nvCxnSpPr>
      <xdr:spPr>
        <a:xfrm>
          <a:off x="19997545" y="2479713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1370</xdr:row>
      <xdr:rowOff>44450</xdr:rowOff>
    </xdr:from>
    <xdr:to>
      <xdr:col>10</xdr:col>
      <xdr:colOff>1388870</xdr:colOff>
      <xdr:row>1370</xdr:row>
      <xdr:rowOff>44450</xdr:rowOff>
    </xdr:to>
    <xdr:cxnSp macro="_xll.PtreeEvent_ObjectClick">
      <xdr:nvCxnSpPr>
        <xdr:cNvPr id="2727" name="PTObj_DBranchHLine_1_678">
          <a:extLst>
            <a:ext uri="{FF2B5EF4-FFF2-40B4-BE49-F238E27FC236}">
              <a16:creationId xmlns:a16="http://schemas.microsoft.com/office/drawing/2014/main" id="{28B9E94B-BB9F-4090-A6EC-05D04E2B9718}"/>
            </a:ext>
          </a:extLst>
        </xdr:cNvPr>
        <xdr:cNvCxnSpPr/>
      </xdr:nvCxnSpPr>
      <xdr:spPr>
        <a:xfrm>
          <a:off x="18730720" y="247980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1368</xdr:row>
      <xdr:rowOff>39390</xdr:rowOff>
    </xdr:from>
    <xdr:to>
      <xdr:col>10</xdr:col>
      <xdr:colOff>204595</xdr:colOff>
      <xdr:row>1370</xdr:row>
      <xdr:rowOff>44450</xdr:rowOff>
    </xdr:to>
    <xdr:cxnSp macro="_xll.PtreeEvent_ObjectClick">
      <xdr:nvCxnSpPr>
        <xdr:cNvPr id="2726" name="PTObj_DBranchDLine_1_678">
          <a:extLst>
            <a:ext uri="{FF2B5EF4-FFF2-40B4-BE49-F238E27FC236}">
              <a16:creationId xmlns:a16="http://schemas.microsoft.com/office/drawing/2014/main" id="{54539DD2-81C2-424E-9358-7B960766E534}"/>
            </a:ext>
          </a:extLst>
        </xdr:cNvPr>
        <xdr:cNvCxnSpPr/>
      </xdr:nvCxnSpPr>
      <xdr:spPr>
        <a:xfrm>
          <a:off x="18578320" y="2476131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1368</xdr:row>
      <xdr:rowOff>40630</xdr:rowOff>
    </xdr:from>
    <xdr:to>
      <xdr:col>9</xdr:col>
      <xdr:colOff>1392681</xdr:colOff>
      <xdr:row>1368</xdr:row>
      <xdr:rowOff>40630</xdr:rowOff>
    </xdr:to>
    <xdr:cxnSp macro="_xll.PtreeEvent_ObjectClick">
      <xdr:nvCxnSpPr>
        <xdr:cNvPr id="2723" name="PTObj_DBranchHLine_1_677">
          <a:extLst>
            <a:ext uri="{FF2B5EF4-FFF2-40B4-BE49-F238E27FC236}">
              <a16:creationId xmlns:a16="http://schemas.microsoft.com/office/drawing/2014/main" id="{227250AF-8030-4241-872D-A08CA295E77B}"/>
            </a:ext>
          </a:extLst>
        </xdr:cNvPr>
        <xdr:cNvCxnSpPr/>
      </xdr:nvCxnSpPr>
      <xdr:spPr>
        <a:xfrm>
          <a:off x="17306734" y="247614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1366</xdr:row>
      <xdr:rowOff>35570</xdr:rowOff>
    </xdr:from>
    <xdr:to>
      <xdr:col>9</xdr:col>
      <xdr:colOff>209359</xdr:colOff>
      <xdr:row>1368</xdr:row>
      <xdr:rowOff>40630</xdr:rowOff>
    </xdr:to>
    <xdr:cxnSp macro="_xll.PtreeEvent_ObjectClick">
      <xdr:nvCxnSpPr>
        <xdr:cNvPr id="2722" name="PTObj_DBranchDLine_1_677">
          <a:extLst>
            <a:ext uri="{FF2B5EF4-FFF2-40B4-BE49-F238E27FC236}">
              <a16:creationId xmlns:a16="http://schemas.microsoft.com/office/drawing/2014/main" id="{C34A9E47-CFAF-49AF-B9E9-BC3EEACA89CB}"/>
            </a:ext>
          </a:extLst>
        </xdr:cNvPr>
        <xdr:cNvCxnSpPr/>
      </xdr:nvCxnSpPr>
      <xdr:spPr>
        <a:xfrm>
          <a:off x="17154334" y="2472474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1366</xdr:row>
      <xdr:rowOff>36835</xdr:rowOff>
    </xdr:from>
    <xdr:to>
      <xdr:col>8</xdr:col>
      <xdr:colOff>1398397</xdr:colOff>
      <xdr:row>1366</xdr:row>
      <xdr:rowOff>36835</xdr:rowOff>
    </xdr:to>
    <xdr:cxnSp macro="_xll.PtreeEvent_ObjectClick">
      <xdr:nvCxnSpPr>
        <xdr:cNvPr id="2719" name="PTObj_DBranchHLine_1_676">
          <a:extLst>
            <a:ext uri="{FF2B5EF4-FFF2-40B4-BE49-F238E27FC236}">
              <a16:creationId xmlns:a16="http://schemas.microsoft.com/office/drawing/2014/main" id="{BB9F657A-0091-4347-A43A-A74D64FB97A5}"/>
            </a:ext>
          </a:extLst>
        </xdr:cNvPr>
        <xdr:cNvCxnSpPr/>
      </xdr:nvCxnSpPr>
      <xdr:spPr>
        <a:xfrm>
          <a:off x="15888463" y="2472486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1364</xdr:row>
      <xdr:rowOff>33660</xdr:rowOff>
    </xdr:from>
    <xdr:to>
      <xdr:col>8</xdr:col>
      <xdr:colOff>219838</xdr:colOff>
      <xdr:row>1366</xdr:row>
      <xdr:rowOff>36835</xdr:rowOff>
    </xdr:to>
    <xdr:cxnSp macro="_xll.PtreeEvent_ObjectClick">
      <xdr:nvCxnSpPr>
        <xdr:cNvPr id="2718" name="PTObj_DBranchDLine_1_676">
          <a:extLst>
            <a:ext uri="{FF2B5EF4-FFF2-40B4-BE49-F238E27FC236}">
              <a16:creationId xmlns:a16="http://schemas.microsoft.com/office/drawing/2014/main" id="{6F1CD063-1D98-4207-BD84-9E9B2872FFAB}"/>
            </a:ext>
          </a:extLst>
        </xdr:cNvPr>
        <xdr:cNvCxnSpPr/>
      </xdr:nvCxnSpPr>
      <xdr:spPr>
        <a:xfrm>
          <a:off x="15736063" y="246883560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1362</xdr:row>
      <xdr:rowOff>29220</xdr:rowOff>
    </xdr:from>
    <xdr:to>
      <xdr:col>11</xdr:col>
      <xdr:colOff>1386015</xdr:colOff>
      <xdr:row>1362</xdr:row>
      <xdr:rowOff>29220</xdr:rowOff>
    </xdr:to>
    <xdr:cxnSp macro="_xll.PtreeEvent_ObjectClick">
      <xdr:nvCxnSpPr>
        <xdr:cNvPr id="2715" name="PTObj_DBranchHLine_1_674">
          <a:extLst>
            <a:ext uri="{FF2B5EF4-FFF2-40B4-BE49-F238E27FC236}">
              <a16:creationId xmlns:a16="http://schemas.microsoft.com/office/drawing/2014/main" id="{BE14DB80-2EF5-4C97-B1BB-5B03866AB974}"/>
            </a:ext>
          </a:extLst>
        </xdr:cNvPr>
        <xdr:cNvCxnSpPr/>
      </xdr:nvCxnSpPr>
      <xdr:spPr>
        <a:xfrm>
          <a:off x="20149945" y="2465171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1360</xdr:row>
      <xdr:rowOff>20340</xdr:rowOff>
    </xdr:from>
    <xdr:to>
      <xdr:col>11</xdr:col>
      <xdr:colOff>195070</xdr:colOff>
      <xdr:row>1362</xdr:row>
      <xdr:rowOff>29220</xdr:rowOff>
    </xdr:to>
    <xdr:cxnSp macro="_xll.PtreeEvent_ObjectClick">
      <xdr:nvCxnSpPr>
        <xdr:cNvPr id="2714" name="PTObj_DBranchDLine_1_674">
          <a:extLst>
            <a:ext uri="{FF2B5EF4-FFF2-40B4-BE49-F238E27FC236}">
              <a16:creationId xmlns:a16="http://schemas.microsoft.com/office/drawing/2014/main" id="{FD6A6D73-29A7-409E-B767-073E233854D1}"/>
            </a:ext>
          </a:extLst>
        </xdr:cNvPr>
        <xdr:cNvCxnSpPr/>
      </xdr:nvCxnSpPr>
      <xdr:spPr>
        <a:xfrm>
          <a:off x="19997545" y="2461463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1360</xdr:row>
      <xdr:rowOff>25400</xdr:rowOff>
    </xdr:from>
    <xdr:to>
      <xdr:col>10</xdr:col>
      <xdr:colOff>1388870</xdr:colOff>
      <xdr:row>1360</xdr:row>
      <xdr:rowOff>25400</xdr:rowOff>
    </xdr:to>
    <xdr:cxnSp macro="_xll.PtreeEvent_ObjectClick">
      <xdr:nvCxnSpPr>
        <xdr:cNvPr id="2711" name="PTObj_DBranchHLine_1_673">
          <a:extLst>
            <a:ext uri="{FF2B5EF4-FFF2-40B4-BE49-F238E27FC236}">
              <a16:creationId xmlns:a16="http://schemas.microsoft.com/office/drawing/2014/main" id="{32BEA6BE-78B8-4F6C-AE9E-2352632D1FAB}"/>
            </a:ext>
          </a:extLst>
        </xdr:cNvPr>
        <xdr:cNvCxnSpPr/>
      </xdr:nvCxnSpPr>
      <xdr:spPr>
        <a:xfrm>
          <a:off x="18730720" y="246151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1358</xdr:row>
      <xdr:rowOff>16520</xdr:rowOff>
    </xdr:from>
    <xdr:to>
      <xdr:col>10</xdr:col>
      <xdr:colOff>204595</xdr:colOff>
      <xdr:row>1360</xdr:row>
      <xdr:rowOff>25400</xdr:rowOff>
    </xdr:to>
    <xdr:cxnSp macro="_xll.PtreeEvent_ObjectClick">
      <xdr:nvCxnSpPr>
        <xdr:cNvPr id="2710" name="PTObj_DBranchDLine_1_673">
          <a:extLst>
            <a:ext uri="{FF2B5EF4-FFF2-40B4-BE49-F238E27FC236}">
              <a16:creationId xmlns:a16="http://schemas.microsoft.com/office/drawing/2014/main" id="{C4230ECE-8CFA-414C-B17E-2EEDC6C88155}"/>
            </a:ext>
          </a:extLst>
        </xdr:cNvPr>
        <xdr:cNvCxnSpPr/>
      </xdr:nvCxnSpPr>
      <xdr:spPr>
        <a:xfrm>
          <a:off x="18578320" y="245780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1358</xdr:row>
      <xdr:rowOff>21580</xdr:rowOff>
    </xdr:from>
    <xdr:to>
      <xdr:col>9</xdr:col>
      <xdr:colOff>1392681</xdr:colOff>
      <xdr:row>1358</xdr:row>
      <xdr:rowOff>21580</xdr:rowOff>
    </xdr:to>
    <xdr:cxnSp macro="_xll.PtreeEvent_ObjectClick">
      <xdr:nvCxnSpPr>
        <xdr:cNvPr id="2707" name="PTObj_DBranchHLine_1_672">
          <a:extLst>
            <a:ext uri="{FF2B5EF4-FFF2-40B4-BE49-F238E27FC236}">
              <a16:creationId xmlns:a16="http://schemas.microsoft.com/office/drawing/2014/main" id="{2CDF8FDB-C7EF-4D32-9C7B-8486955AD641}"/>
            </a:ext>
          </a:extLst>
        </xdr:cNvPr>
        <xdr:cNvCxnSpPr/>
      </xdr:nvCxnSpPr>
      <xdr:spPr>
        <a:xfrm>
          <a:off x="17306734" y="245785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1356</xdr:row>
      <xdr:rowOff>8880</xdr:rowOff>
    </xdr:from>
    <xdr:to>
      <xdr:col>9</xdr:col>
      <xdr:colOff>209359</xdr:colOff>
      <xdr:row>1358</xdr:row>
      <xdr:rowOff>21580</xdr:rowOff>
    </xdr:to>
    <xdr:cxnSp macro="_xll.PtreeEvent_ObjectClick">
      <xdr:nvCxnSpPr>
        <xdr:cNvPr id="2706" name="PTObj_DBranchDLine_1_672">
          <a:extLst>
            <a:ext uri="{FF2B5EF4-FFF2-40B4-BE49-F238E27FC236}">
              <a16:creationId xmlns:a16="http://schemas.microsoft.com/office/drawing/2014/main" id="{EDB0BB5F-5B9B-474D-8771-C13C33199B3E}"/>
            </a:ext>
          </a:extLst>
        </xdr:cNvPr>
        <xdr:cNvCxnSpPr/>
      </xdr:nvCxnSpPr>
      <xdr:spPr>
        <a:xfrm>
          <a:off x="17154334" y="2454109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1356</xdr:row>
      <xdr:rowOff>17785</xdr:rowOff>
    </xdr:from>
    <xdr:to>
      <xdr:col>8</xdr:col>
      <xdr:colOff>1398397</xdr:colOff>
      <xdr:row>1356</xdr:row>
      <xdr:rowOff>17785</xdr:rowOff>
    </xdr:to>
    <xdr:cxnSp macro="_xll.PtreeEvent_ObjectClick">
      <xdr:nvCxnSpPr>
        <xdr:cNvPr id="2703" name="PTObj_DBranchHLine_1_671">
          <a:extLst>
            <a:ext uri="{FF2B5EF4-FFF2-40B4-BE49-F238E27FC236}">
              <a16:creationId xmlns:a16="http://schemas.microsoft.com/office/drawing/2014/main" id="{6A7754CB-5E11-47B0-A3C0-B9FB0F0F05B3}"/>
            </a:ext>
          </a:extLst>
        </xdr:cNvPr>
        <xdr:cNvCxnSpPr/>
      </xdr:nvCxnSpPr>
      <xdr:spPr>
        <a:xfrm>
          <a:off x="15884652" y="2454198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1356</xdr:row>
      <xdr:rowOff>17785</xdr:rowOff>
    </xdr:from>
    <xdr:to>
      <xdr:col>8</xdr:col>
      <xdr:colOff>216027</xdr:colOff>
      <xdr:row>1364</xdr:row>
      <xdr:rowOff>33660</xdr:rowOff>
    </xdr:to>
    <xdr:cxnSp macro="_xll.PtreeEvent_ObjectClick">
      <xdr:nvCxnSpPr>
        <xdr:cNvPr id="2702" name="PTObj_DBranchDLine_1_671">
          <a:extLst>
            <a:ext uri="{FF2B5EF4-FFF2-40B4-BE49-F238E27FC236}">
              <a16:creationId xmlns:a16="http://schemas.microsoft.com/office/drawing/2014/main" id="{686E98CC-4A4A-4336-A2F6-4B04402B7A0E}"/>
            </a:ext>
          </a:extLst>
        </xdr:cNvPr>
        <xdr:cNvCxnSpPr/>
      </xdr:nvCxnSpPr>
      <xdr:spPr>
        <a:xfrm flipV="1">
          <a:off x="15732252" y="245419885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1364</xdr:row>
      <xdr:rowOff>33015</xdr:rowOff>
    </xdr:from>
    <xdr:to>
      <xdr:col>7</xdr:col>
      <xdr:colOff>1402207</xdr:colOff>
      <xdr:row>1364</xdr:row>
      <xdr:rowOff>33015</xdr:rowOff>
    </xdr:to>
    <xdr:cxnSp macro="_xll.PtreeEvent_ObjectClick">
      <xdr:nvCxnSpPr>
        <xdr:cNvPr id="2699" name="PTObj_DBranchHLine_1_675">
          <a:extLst>
            <a:ext uri="{FF2B5EF4-FFF2-40B4-BE49-F238E27FC236}">
              <a16:creationId xmlns:a16="http://schemas.microsoft.com/office/drawing/2014/main" id="{4A6862EF-F058-49EF-AE8F-91BBE1E9D471}"/>
            </a:ext>
          </a:extLst>
        </xdr:cNvPr>
        <xdr:cNvCxnSpPr/>
      </xdr:nvCxnSpPr>
      <xdr:spPr>
        <a:xfrm>
          <a:off x="14460665" y="246882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1354</xdr:row>
      <xdr:rowOff>2232</xdr:rowOff>
    </xdr:from>
    <xdr:to>
      <xdr:col>7</xdr:col>
      <xdr:colOff>220790</xdr:colOff>
      <xdr:row>1364</xdr:row>
      <xdr:rowOff>33015</xdr:rowOff>
    </xdr:to>
    <xdr:cxnSp macro="_xll.PtreeEvent_ObjectClick">
      <xdr:nvCxnSpPr>
        <xdr:cNvPr id="2698" name="PTObj_DBranchDLine_1_675">
          <a:extLst>
            <a:ext uri="{FF2B5EF4-FFF2-40B4-BE49-F238E27FC236}">
              <a16:creationId xmlns:a16="http://schemas.microsoft.com/office/drawing/2014/main" id="{106D918B-AA1B-4759-B308-45679BA8ECA0}"/>
            </a:ext>
          </a:extLst>
        </xdr:cNvPr>
        <xdr:cNvCxnSpPr/>
      </xdr:nvCxnSpPr>
      <xdr:spPr>
        <a:xfrm>
          <a:off x="14308265" y="2450423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1352</xdr:row>
      <xdr:rowOff>10170</xdr:rowOff>
    </xdr:from>
    <xdr:to>
      <xdr:col>11</xdr:col>
      <xdr:colOff>1386967</xdr:colOff>
      <xdr:row>1352</xdr:row>
      <xdr:rowOff>10170</xdr:rowOff>
    </xdr:to>
    <xdr:cxnSp macro="_xll.PtreeEvent_ObjectClick">
      <xdr:nvCxnSpPr>
        <xdr:cNvPr id="2695" name="PTObj_DBranchHLine_1_669">
          <a:extLst>
            <a:ext uri="{FF2B5EF4-FFF2-40B4-BE49-F238E27FC236}">
              <a16:creationId xmlns:a16="http://schemas.microsoft.com/office/drawing/2014/main" id="{38A162FC-495A-4B7B-ADA9-B784388552DC}"/>
            </a:ext>
          </a:extLst>
        </xdr:cNvPr>
        <xdr:cNvCxnSpPr/>
      </xdr:nvCxnSpPr>
      <xdr:spPr>
        <a:xfrm>
          <a:off x="20149945" y="2446883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1349</xdr:row>
      <xdr:rowOff>178445</xdr:rowOff>
    </xdr:from>
    <xdr:to>
      <xdr:col>11</xdr:col>
      <xdr:colOff>195070</xdr:colOff>
      <xdr:row>1352</xdr:row>
      <xdr:rowOff>10170</xdr:rowOff>
    </xdr:to>
    <xdr:cxnSp macro="_xll.PtreeEvent_ObjectClick">
      <xdr:nvCxnSpPr>
        <xdr:cNvPr id="2694" name="PTObj_DBranchDLine_1_669">
          <a:extLst>
            <a:ext uri="{FF2B5EF4-FFF2-40B4-BE49-F238E27FC236}">
              <a16:creationId xmlns:a16="http://schemas.microsoft.com/office/drawing/2014/main" id="{E9354570-691E-4D83-81C5-6B9AB1BB3B03}"/>
            </a:ext>
          </a:extLst>
        </xdr:cNvPr>
        <xdr:cNvCxnSpPr/>
      </xdr:nvCxnSpPr>
      <xdr:spPr>
        <a:xfrm>
          <a:off x="19997545" y="244313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1350</xdr:row>
      <xdr:rowOff>6350</xdr:rowOff>
    </xdr:from>
    <xdr:to>
      <xdr:col>10</xdr:col>
      <xdr:colOff>1388870</xdr:colOff>
      <xdr:row>1350</xdr:row>
      <xdr:rowOff>6350</xdr:rowOff>
    </xdr:to>
    <xdr:cxnSp macro="_xll.PtreeEvent_ObjectClick">
      <xdr:nvCxnSpPr>
        <xdr:cNvPr id="2691" name="PTObj_DBranchHLine_1_668">
          <a:extLst>
            <a:ext uri="{FF2B5EF4-FFF2-40B4-BE49-F238E27FC236}">
              <a16:creationId xmlns:a16="http://schemas.microsoft.com/office/drawing/2014/main" id="{567E3D5B-2870-436E-BC48-EC6933EAC00F}"/>
            </a:ext>
          </a:extLst>
        </xdr:cNvPr>
        <xdr:cNvCxnSpPr/>
      </xdr:nvCxnSpPr>
      <xdr:spPr>
        <a:xfrm>
          <a:off x="18730720" y="244322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1348</xdr:row>
      <xdr:rowOff>1290</xdr:rowOff>
    </xdr:from>
    <xdr:to>
      <xdr:col>10</xdr:col>
      <xdr:colOff>204595</xdr:colOff>
      <xdr:row>1350</xdr:row>
      <xdr:rowOff>6350</xdr:rowOff>
    </xdr:to>
    <xdr:cxnSp macro="_xll.PtreeEvent_ObjectClick">
      <xdr:nvCxnSpPr>
        <xdr:cNvPr id="2690" name="PTObj_DBranchDLine_1_668">
          <a:extLst>
            <a:ext uri="{FF2B5EF4-FFF2-40B4-BE49-F238E27FC236}">
              <a16:creationId xmlns:a16="http://schemas.microsoft.com/office/drawing/2014/main" id="{E5649183-1F9B-4D38-B9A3-525C95720B23}"/>
            </a:ext>
          </a:extLst>
        </xdr:cNvPr>
        <xdr:cNvCxnSpPr/>
      </xdr:nvCxnSpPr>
      <xdr:spPr>
        <a:xfrm>
          <a:off x="18578320" y="243955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1348</xdr:row>
      <xdr:rowOff>2530</xdr:rowOff>
    </xdr:from>
    <xdr:to>
      <xdr:col>9</xdr:col>
      <xdr:colOff>1392681</xdr:colOff>
      <xdr:row>1348</xdr:row>
      <xdr:rowOff>2530</xdr:rowOff>
    </xdr:to>
    <xdr:cxnSp macro="_xll.PtreeEvent_ObjectClick">
      <xdr:nvCxnSpPr>
        <xdr:cNvPr id="2687" name="PTObj_DBranchHLine_1_667">
          <a:extLst>
            <a:ext uri="{FF2B5EF4-FFF2-40B4-BE49-F238E27FC236}">
              <a16:creationId xmlns:a16="http://schemas.microsoft.com/office/drawing/2014/main" id="{14F0D0CB-F007-47AF-8500-A4D9671D0824}"/>
            </a:ext>
          </a:extLst>
        </xdr:cNvPr>
        <xdr:cNvCxnSpPr/>
      </xdr:nvCxnSpPr>
      <xdr:spPr>
        <a:xfrm>
          <a:off x="17306734" y="243956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1345</xdr:row>
      <xdr:rowOff>178445</xdr:rowOff>
    </xdr:from>
    <xdr:to>
      <xdr:col>9</xdr:col>
      <xdr:colOff>209359</xdr:colOff>
      <xdr:row>1348</xdr:row>
      <xdr:rowOff>2530</xdr:rowOff>
    </xdr:to>
    <xdr:cxnSp macro="_xll.PtreeEvent_ObjectClick">
      <xdr:nvCxnSpPr>
        <xdr:cNvPr id="2686" name="PTObj_DBranchDLine_1_667">
          <a:extLst>
            <a:ext uri="{FF2B5EF4-FFF2-40B4-BE49-F238E27FC236}">
              <a16:creationId xmlns:a16="http://schemas.microsoft.com/office/drawing/2014/main" id="{08D11C66-7822-4ECF-8E54-CD5387A3C5A9}"/>
            </a:ext>
          </a:extLst>
        </xdr:cNvPr>
        <xdr:cNvCxnSpPr/>
      </xdr:nvCxnSpPr>
      <xdr:spPr>
        <a:xfrm>
          <a:off x="17154334" y="2435898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1345</xdr:row>
      <xdr:rowOff>179710</xdr:rowOff>
    </xdr:from>
    <xdr:to>
      <xdr:col>8</xdr:col>
      <xdr:colOff>1398397</xdr:colOff>
      <xdr:row>1345</xdr:row>
      <xdr:rowOff>179710</xdr:rowOff>
    </xdr:to>
    <xdr:cxnSp macro="_xll.PtreeEvent_ObjectClick">
      <xdr:nvCxnSpPr>
        <xdr:cNvPr id="2683" name="PTObj_DBranchHLine_1_666">
          <a:extLst>
            <a:ext uri="{FF2B5EF4-FFF2-40B4-BE49-F238E27FC236}">
              <a16:creationId xmlns:a16="http://schemas.microsoft.com/office/drawing/2014/main" id="{E7751107-567A-4F22-A3D6-4B00771667D2}"/>
            </a:ext>
          </a:extLst>
        </xdr:cNvPr>
        <xdr:cNvCxnSpPr/>
      </xdr:nvCxnSpPr>
      <xdr:spPr>
        <a:xfrm>
          <a:off x="15888463" y="2435910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1343</xdr:row>
      <xdr:rowOff>176535</xdr:rowOff>
    </xdr:from>
    <xdr:to>
      <xdr:col>8</xdr:col>
      <xdr:colOff>219838</xdr:colOff>
      <xdr:row>1345</xdr:row>
      <xdr:rowOff>179710</xdr:rowOff>
    </xdr:to>
    <xdr:cxnSp macro="_xll.PtreeEvent_ObjectClick">
      <xdr:nvCxnSpPr>
        <xdr:cNvPr id="2682" name="PTObj_DBranchDLine_1_666">
          <a:extLst>
            <a:ext uri="{FF2B5EF4-FFF2-40B4-BE49-F238E27FC236}">
              <a16:creationId xmlns:a16="http://schemas.microsoft.com/office/drawing/2014/main" id="{E24188AF-81B0-42AF-97FB-82D8FE0759A5}"/>
            </a:ext>
          </a:extLst>
        </xdr:cNvPr>
        <xdr:cNvCxnSpPr/>
      </xdr:nvCxnSpPr>
      <xdr:spPr>
        <a:xfrm>
          <a:off x="15736063" y="243225960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1341</xdr:row>
      <xdr:rowOff>172095</xdr:rowOff>
    </xdr:from>
    <xdr:to>
      <xdr:col>11</xdr:col>
      <xdr:colOff>1386015</xdr:colOff>
      <xdr:row>1341</xdr:row>
      <xdr:rowOff>172095</xdr:rowOff>
    </xdr:to>
    <xdr:cxnSp macro="_xll.PtreeEvent_ObjectClick">
      <xdr:nvCxnSpPr>
        <xdr:cNvPr id="2679" name="PTObj_DBranchHLine_1_664">
          <a:extLst>
            <a:ext uri="{FF2B5EF4-FFF2-40B4-BE49-F238E27FC236}">
              <a16:creationId xmlns:a16="http://schemas.microsoft.com/office/drawing/2014/main" id="{E7D44347-0536-482D-94B3-98B20769AB53}"/>
            </a:ext>
          </a:extLst>
        </xdr:cNvPr>
        <xdr:cNvCxnSpPr/>
      </xdr:nvCxnSpPr>
      <xdr:spPr>
        <a:xfrm>
          <a:off x="20149945" y="2428595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1339</xdr:row>
      <xdr:rowOff>163215</xdr:rowOff>
    </xdr:from>
    <xdr:to>
      <xdr:col>11</xdr:col>
      <xdr:colOff>195070</xdr:colOff>
      <xdr:row>1341</xdr:row>
      <xdr:rowOff>172095</xdr:rowOff>
    </xdr:to>
    <xdr:cxnSp macro="_xll.PtreeEvent_ObjectClick">
      <xdr:nvCxnSpPr>
        <xdr:cNvPr id="2678" name="PTObj_DBranchDLine_1_664">
          <a:extLst>
            <a:ext uri="{FF2B5EF4-FFF2-40B4-BE49-F238E27FC236}">
              <a16:creationId xmlns:a16="http://schemas.microsoft.com/office/drawing/2014/main" id="{62C4CA9F-F0CD-44C8-9596-AFA5B3A3B22B}"/>
            </a:ext>
          </a:extLst>
        </xdr:cNvPr>
        <xdr:cNvCxnSpPr/>
      </xdr:nvCxnSpPr>
      <xdr:spPr>
        <a:xfrm>
          <a:off x="19997545" y="242488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1339</xdr:row>
      <xdr:rowOff>168275</xdr:rowOff>
    </xdr:from>
    <xdr:to>
      <xdr:col>10</xdr:col>
      <xdr:colOff>1388870</xdr:colOff>
      <xdr:row>1339</xdr:row>
      <xdr:rowOff>168275</xdr:rowOff>
    </xdr:to>
    <xdr:cxnSp macro="_xll.PtreeEvent_ObjectClick">
      <xdr:nvCxnSpPr>
        <xdr:cNvPr id="2675" name="PTObj_DBranchHLine_1_663">
          <a:extLst>
            <a:ext uri="{FF2B5EF4-FFF2-40B4-BE49-F238E27FC236}">
              <a16:creationId xmlns:a16="http://schemas.microsoft.com/office/drawing/2014/main" id="{6023291A-AFB5-4781-9931-9B63A392A18B}"/>
            </a:ext>
          </a:extLst>
        </xdr:cNvPr>
        <xdr:cNvCxnSpPr/>
      </xdr:nvCxnSpPr>
      <xdr:spPr>
        <a:xfrm>
          <a:off x="18730720" y="2424938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1337</xdr:row>
      <xdr:rowOff>159395</xdr:rowOff>
    </xdr:from>
    <xdr:to>
      <xdr:col>10</xdr:col>
      <xdr:colOff>204595</xdr:colOff>
      <xdr:row>1339</xdr:row>
      <xdr:rowOff>168275</xdr:rowOff>
    </xdr:to>
    <xdr:cxnSp macro="_xll.PtreeEvent_ObjectClick">
      <xdr:nvCxnSpPr>
        <xdr:cNvPr id="2674" name="PTObj_DBranchDLine_1_663">
          <a:extLst>
            <a:ext uri="{FF2B5EF4-FFF2-40B4-BE49-F238E27FC236}">
              <a16:creationId xmlns:a16="http://schemas.microsoft.com/office/drawing/2014/main" id="{29B1DF7D-FA58-4E92-A509-D6C8D097B411}"/>
            </a:ext>
          </a:extLst>
        </xdr:cNvPr>
        <xdr:cNvCxnSpPr/>
      </xdr:nvCxnSpPr>
      <xdr:spPr>
        <a:xfrm>
          <a:off x="18578320" y="242122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1337</xdr:row>
      <xdr:rowOff>164455</xdr:rowOff>
    </xdr:from>
    <xdr:to>
      <xdr:col>9</xdr:col>
      <xdr:colOff>1392681</xdr:colOff>
      <xdr:row>1337</xdr:row>
      <xdr:rowOff>164455</xdr:rowOff>
    </xdr:to>
    <xdr:cxnSp macro="_xll.PtreeEvent_ObjectClick">
      <xdr:nvCxnSpPr>
        <xdr:cNvPr id="2671" name="PTObj_DBranchHLine_1_662">
          <a:extLst>
            <a:ext uri="{FF2B5EF4-FFF2-40B4-BE49-F238E27FC236}">
              <a16:creationId xmlns:a16="http://schemas.microsoft.com/office/drawing/2014/main" id="{C460CBA3-18EA-4CA8-ABE1-1D1CD6074E58}"/>
            </a:ext>
          </a:extLst>
        </xdr:cNvPr>
        <xdr:cNvCxnSpPr/>
      </xdr:nvCxnSpPr>
      <xdr:spPr>
        <a:xfrm>
          <a:off x="17306734" y="2421280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1335</xdr:row>
      <xdr:rowOff>151755</xdr:rowOff>
    </xdr:from>
    <xdr:to>
      <xdr:col>9</xdr:col>
      <xdr:colOff>209359</xdr:colOff>
      <xdr:row>1337</xdr:row>
      <xdr:rowOff>164455</xdr:rowOff>
    </xdr:to>
    <xdr:cxnSp macro="_xll.PtreeEvent_ObjectClick">
      <xdr:nvCxnSpPr>
        <xdr:cNvPr id="2670" name="PTObj_DBranchDLine_1_662">
          <a:extLst>
            <a:ext uri="{FF2B5EF4-FFF2-40B4-BE49-F238E27FC236}">
              <a16:creationId xmlns:a16="http://schemas.microsoft.com/office/drawing/2014/main" id="{41002AB9-EE5E-47F4-B9B4-C5077C68C6FD}"/>
            </a:ext>
          </a:extLst>
        </xdr:cNvPr>
        <xdr:cNvCxnSpPr/>
      </xdr:nvCxnSpPr>
      <xdr:spPr>
        <a:xfrm>
          <a:off x="17154334" y="241753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1335</xdr:row>
      <xdr:rowOff>160660</xdr:rowOff>
    </xdr:from>
    <xdr:to>
      <xdr:col>8</xdr:col>
      <xdr:colOff>1398397</xdr:colOff>
      <xdr:row>1335</xdr:row>
      <xdr:rowOff>160660</xdr:rowOff>
    </xdr:to>
    <xdr:cxnSp macro="_xll.PtreeEvent_ObjectClick">
      <xdr:nvCxnSpPr>
        <xdr:cNvPr id="2667" name="PTObj_DBranchHLine_1_661">
          <a:extLst>
            <a:ext uri="{FF2B5EF4-FFF2-40B4-BE49-F238E27FC236}">
              <a16:creationId xmlns:a16="http://schemas.microsoft.com/office/drawing/2014/main" id="{A21960D3-4776-4AF5-9EB8-AB99AC48835E}"/>
            </a:ext>
          </a:extLst>
        </xdr:cNvPr>
        <xdr:cNvCxnSpPr/>
      </xdr:nvCxnSpPr>
      <xdr:spPr>
        <a:xfrm>
          <a:off x="15884652" y="2417622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1335</xdr:row>
      <xdr:rowOff>160660</xdr:rowOff>
    </xdr:from>
    <xdr:to>
      <xdr:col>8</xdr:col>
      <xdr:colOff>216027</xdr:colOff>
      <xdr:row>1343</xdr:row>
      <xdr:rowOff>176535</xdr:rowOff>
    </xdr:to>
    <xdr:cxnSp macro="_xll.PtreeEvent_ObjectClick">
      <xdr:nvCxnSpPr>
        <xdr:cNvPr id="2666" name="PTObj_DBranchDLine_1_661">
          <a:extLst>
            <a:ext uri="{FF2B5EF4-FFF2-40B4-BE49-F238E27FC236}">
              <a16:creationId xmlns:a16="http://schemas.microsoft.com/office/drawing/2014/main" id="{9DB373C8-85D2-4A85-A072-3347B510BB15}"/>
            </a:ext>
          </a:extLst>
        </xdr:cNvPr>
        <xdr:cNvCxnSpPr/>
      </xdr:nvCxnSpPr>
      <xdr:spPr>
        <a:xfrm flipV="1">
          <a:off x="15732252" y="241762285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1343</xdr:row>
      <xdr:rowOff>175890</xdr:rowOff>
    </xdr:from>
    <xdr:to>
      <xdr:col>7</xdr:col>
      <xdr:colOff>1402207</xdr:colOff>
      <xdr:row>1343</xdr:row>
      <xdr:rowOff>175890</xdr:rowOff>
    </xdr:to>
    <xdr:cxnSp macro="_xll.PtreeEvent_ObjectClick">
      <xdr:nvCxnSpPr>
        <xdr:cNvPr id="2663" name="PTObj_DBranchHLine_1_665">
          <a:extLst>
            <a:ext uri="{FF2B5EF4-FFF2-40B4-BE49-F238E27FC236}">
              <a16:creationId xmlns:a16="http://schemas.microsoft.com/office/drawing/2014/main" id="{DE544C6B-B2FF-4568-AC52-8F51B3B46841}"/>
            </a:ext>
          </a:extLst>
        </xdr:cNvPr>
        <xdr:cNvCxnSpPr/>
      </xdr:nvCxnSpPr>
      <xdr:spPr>
        <a:xfrm>
          <a:off x="14462570" y="2432253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1343</xdr:row>
      <xdr:rowOff>175890</xdr:rowOff>
    </xdr:from>
    <xdr:to>
      <xdr:col>7</xdr:col>
      <xdr:colOff>222695</xdr:colOff>
      <xdr:row>1354</xdr:row>
      <xdr:rowOff>4142</xdr:rowOff>
    </xdr:to>
    <xdr:cxnSp macro="_xll.PtreeEvent_ObjectClick">
      <xdr:nvCxnSpPr>
        <xdr:cNvPr id="2662" name="PTObj_DBranchDLine_1_665">
          <a:extLst>
            <a:ext uri="{FF2B5EF4-FFF2-40B4-BE49-F238E27FC236}">
              <a16:creationId xmlns:a16="http://schemas.microsoft.com/office/drawing/2014/main" id="{9195B8E3-D7DF-46FC-BB82-FA0B17300A82}"/>
            </a:ext>
          </a:extLst>
        </xdr:cNvPr>
        <xdr:cNvCxnSpPr/>
      </xdr:nvCxnSpPr>
      <xdr:spPr>
        <a:xfrm flipV="1">
          <a:off x="14310170" y="2432253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225552</xdr:colOff>
      <xdr:row>1354</xdr:row>
      <xdr:rowOff>13965</xdr:rowOff>
    </xdr:from>
    <xdr:to>
      <xdr:col>6</xdr:col>
      <xdr:colOff>1407922</xdr:colOff>
      <xdr:row>1354</xdr:row>
      <xdr:rowOff>13965</xdr:rowOff>
    </xdr:to>
    <xdr:cxnSp macro="_xll.PtreeEvent_ObjectClick">
      <xdr:nvCxnSpPr>
        <xdr:cNvPr id="2659" name="PTObj_DBranchHLine_1_670">
          <a:extLst>
            <a:ext uri="{FF2B5EF4-FFF2-40B4-BE49-F238E27FC236}">
              <a16:creationId xmlns:a16="http://schemas.microsoft.com/office/drawing/2014/main" id="{08C3AE8A-E15E-4BEB-A288-5F2F9D3B25EA}"/>
            </a:ext>
          </a:extLst>
        </xdr:cNvPr>
        <xdr:cNvCxnSpPr/>
      </xdr:nvCxnSpPr>
      <xdr:spPr>
        <a:xfrm>
          <a:off x="13036677" y="2450541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73151</xdr:colOff>
      <xdr:row>1333</xdr:row>
      <xdr:rowOff>145107</xdr:rowOff>
    </xdr:from>
    <xdr:to>
      <xdr:col>6</xdr:col>
      <xdr:colOff>225552</xdr:colOff>
      <xdr:row>1354</xdr:row>
      <xdr:rowOff>13965</xdr:rowOff>
    </xdr:to>
    <xdr:cxnSp macro="_xll.PtreeEvent_ObjectClick">
      <xdr:nvCxnSpPr>
        <xdr:cNvPr id="2658" name="PTObj_DBranchDLine_1_670">
          <a:extLst>
            <a:ext uri="{FF2B5EF4-FFF2-40B4-BE49-F238E27FC236}">
              <a16:creationId xmlns:a16="http://schemas.microsoft.com/office/drawing/2014/main" id="{18511E79-95B4-4B87-B3ED-7B3D6355A38B}"/>
            </a:ext>
          </a:extLst>
        </xdr:cNvPr>
        <xdr:cNvCxnSpPr/>
      </xdr:nvCxnSpPr>
      <xdr:spPr>
        <a:xfrm>
          <a:off x="12884276" y="241384782"/>
          <a:ext cx="152401" cy="36693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1331</xdr:row>
      <xdr:rowOff>153045</xdr:rowOff>
    </xdr:from>
    <xdr:to>
      <xdr:col>11</xdr:col>
      <xdr:colOff>1386967</xdr:colOff>
      <xdr:row>1331</xdr:row>
      <xdr:rowOff>153045</xdr:rowOff>
    </xdr:to>
    <xdr:cxnSp macro="_xll.PtreeEvent_ObjectClick">
      <xdr:nvCxnSpPr>
        <xdr:cNvPr id="2655" name="PTObj_DBranchHLine_1_659">
          <a:extLst>
            <a:ext uri="{FF2B5EF4-FFF2-40B4-BE49-F238E27FC236}">
              <a16:creationId xmlns:a16="http://schemas.microsoft.com/office/drawing/2014/main" id="{19A19CDE-DE64-480C-BAEF-0B82950FCCE9}"/>
            </a:ext>
          </a:extLst>
        </xdr:cNvPr>
        <xdr:cNvCxnSpPr/>
      </xdr:nvCxnSpPr>
      <xdr:spPr>
        <a:xfrm>
          <a:off x="20149945" y="2410307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1329</xdr:row>
      <xdr:rowOff>140345</xdr:rowOff>
    </xdr:from>
    <xdr:to>
      <xdr:col>11</xdr:col>
      <xdr:colOff>195070</xdr:colOff>
      <xdr:row>1331</xdr:row>
      <xdr:rowOff>153045</xdr:rowOff>
    </xdr:to>
    <xdr:cxnSp macro="_xll.PtreeEvent_ObjectClick">
      <xdr:nvCxnSpPr>
        <xdr:cNvPr id="2654" name="PTObj_DBranchDLine_1_659">
          <a:extLst>
            <a:ext uri="{FF2B5EF4-FFF2-40B4-BE49-F238E27FC236}">
              <a16:creationId xmlns:a16="http://schemas.microsoft.com/office/drawing/2014/main" id="{442706C3-A651-43B9-9F6B-0AED5464F271}"/>
            </a:ext>
          </a:extLst>
        </xdr:cNvPr>
        <xdr:cNvCxnSpPr/>
      </xdr:nvCxnSpPr>
      <xdr:spPr>
        <a:xfrm>
          <a:off x="19997545" y="240656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1329</xdr:row>
      <xdr:rowOff>149225</xdr:rowOff>
    </xdr:from>
    <xdr:to>
      <xdr:col>10</xdr:col>
      <xdr:colOff>1388870</xdr:colOff>
      <xdr:row>1329</xdr:row>
      <xdr:rowOff>149225</xdr:rowOff>
    </xdr:to>
    <xdr:cxnSp macro="_xll.PtreeEvent_ObjectClick">
      <xdr:nvCxnSpPr>
        <xdr:cNvPr id="2651" name="PTObj_DBranchHLine_1_658">
          <a:extLst>
            <a:ext uri="{FF2B5EF4-FFF2-40B4-BE49-F238E27FC236}">
              <a16:creationId xmlns:a16="http://schemas.microsoft.com/office/drawing/2014/main" id="{CF261D91-DFC2-4CB6-ADBF-C3FB6940652A}"/>
            </a:ext>
          </a:extLst>
        </xdr:cNvPr>
        <xdr:cNvCxnSpPr/>
      </xdr:nvCxnSpPr>
      <xdr:spPr>
        <a:xfrm>
          <a:off x="18730720" y="2406650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1327</xdr:row>
      <xdr:rowOff>144165</xdr:rowOff>
    </xdr:from>
    <xdr:to>
      <xdr:col>10</xdr:col>
      <xdr:colOff>204595</xdr:colOff>
      <xdr:row>1329</xdr:row>
      <xdr:rowOff>149225</xdr:rowOff>
    </xdr:to>
    <xdr:cxnSp macro="_xll.PtreeEvent_ObjectClick">
      <xdr:nvCxnSpPr>
        <xdr:cNvPr id="2650" name="PTObj_DBranchDLine_1_658">
          <a:extLst>
            <a:ext uri="{FF2B5EF4-FFF2-40B4-BE49-F238E27FC236}">
              <a16:creationId xmlns:a16="http://schemas.microsoft.com/office/drawing/2014/main" id="{9FD75649-7175-4688-8E4D-5EAF1155F055}"/>
            </a:ext>
          </a:extLst>
        </xdr:cNvPr>
        <xdr:cNvCxnSpPr/>
      </xdr:nvCxnSpPr>
      <xdr:spPr>
        <a:xfrm>
          <a:off x="18578320" y="240297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1327</xdr:row>
      <xdr:rowOff>145405</xdr:rowOff>
    </xdr:from>
    <xdr:to>
      <xdr:col>9</xdr:col>
      <xdr:colOff>1392681</xdr:colOff>
      <xdr:row>1327</xdr:row>
      <xdr:rowOff>145405</xdr:rowOff>
    </xdr:to>
    <xdr:cxnSp macro="_xll.PtreeEvent_ObjectClick">
      <xdr:nvCxnSpPr>
        <xdr:cNvPr id="2647" name="PTObj_DBranchHLine_1_657">
          <a:extLst>
            <a:ext uri="{FF2B5EF4-FFF2-40B4-BE49-F238E27FC236}">
              <a16:creationId xmlns:a16="http://schemas.microsoft.com/office/drawing/2014/main" id="{05EEC443-57A0-4370-AEFC-FFDFD1DFF86F}"/>
            </a:ext>
          </a:extLst>
        </xdr:cNvPr>
        <xdr:cNvCxnSpPr/>
      </xdr:nvCxnSpPr>
      <xdr:spPr>
        <a:xfrm>
          <a:off x="17306734" y="2402992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1325</xdr:row>
      <xdr:rowOff>140345</xdr:rowOff>
    </xdr:from>
    <xdr:to>
      <xdr:col>9</xdr:col>
      <xdr:colOff>209359</xdr:colOff>
      <xdr:row>1327</xdr:row>
      <xdr:rowOff>145405</xdr:rowOff>
    </xdr:to>
    <xdr:cxnSp macro="_xll.PtreeEvent_ObjectClick">
      <xdr:nvCxnSpPr>
        <xdr:cNvPr id="2646" name="PTObj_DBranchDLine_1_657">
          <a:extLst>
            <a:ext uri="{FF2B5EF4-FFF2-40B4-BE49-F238E27FC236}">
              <a16:creationId xmlns:a16="http://schemas.microsoft.com/office/drawing/2014/main" id="{052ED612-1101-41AE-83B0-54B3DFE5219A}"/>
            </a:ext>
          </a:extLst>
        </xdr:cNvPr>
        <xdr:cNvCxnSpPr/>
      </xdr:nvCxnSpPr>
      <xdr:spPr>
        <a:xfrm>
          <a:off x="17154334" y="2399322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1325</xdr:row>
      <xdr:rowOff>141610</xdr:rowOff>
    </xdr:from>
    <xdr:to>
      <xdr:col>8</xdr:col>
      <xdr:colOff>1398397</xdr:colOff>
      <xdr:row>1325</xdr:row>
      <xdr:rowOff>141610</xdr:rowOff>
    </xdr:to>
    <xdr:cxnSp macro="_xll.PtreeEvent_ObjectClick">
      <xdr:nvCxnSpPr>
        <xdr:cNvPr id="2643" name="PTObj_DBranchHLine_1_656">
          <a:extLst>
            <a:ext uri="{FF2B5EF4-FFF2-40B4-BE49-F238E27FC236}">
              <a16:creationId xmlns:a16="http://schemas.microsoft.com/office/drawing/2014/main" id="{DF4959A2-3A9F-4444-AE67-D361838D608E}"/>
            </a:ext>
          </a:extLst>
        </xdr:cNvPr>
        <xdr:cNvCxnSpPr/>
      </xdr:nvCxnSpPr>
      <xdr:spPr>
        <a:xfrm>
          <a:off x="15888463" y="2399334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1323</xdr:row>
      <xdr:rowOff>138435</xdr:rowOff>
    </xdr:from>
    <xdr:to>
      <xdr:col>8</xdr:col>
      <xdr:colOff>219838</xdr:colOff>
      <xdr:row>1325</xdr:row>
      <xdr:rowOff>141610</xdr:rowOff>
    </xdr:to>
    <xdr:cxnSp macro="_xll.PtreeEvent_ObjectClick">
      <xdr:nvCxnSpPr>
        <xdr:cNvPr id="2642" name="PTObj_DBranchDLine_1_656">
          <a:extLst>
            <a:ext uri="{FF2B5EF4-FFF2-40B4-BE49-F238E27FC236}">
              <a16:creationId xmlns:a16="http://schemas.microsoft.com/office/drawing/2014/main" id="{5DE2BEC9-8FDF-41AC-9DDE-26C1CC7F3627}"/>
            </a:ext>
          </a:extLst>
        </xdr:cNvPr>
        <xdr:cNvCxnSpPr/>
      </xdr:nvCxnSpPr>
      <xdr:spPr>
        <a:xfrm>
          <a:off x="15736063" y="239568360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1321</xdr:row>
      <xdr:rowOff>133995</xdr:rowOff>
    </xdr:from>
    <xdr:to>
      <xdr:col>11</xdr:col>
      <xdr:colOff>1386015</xdr:colOff>
      <xdr:row>1321</xdr:row>
      <xdr:rowOff>133995</xdr:rowOff>
    </xdr:to>
    <xdr:cxnSp macro="_xll.PtreeEvent_ObjectClick">
      <xdr:nvCxnSpPr>
        <xdr:cNvPr id="2639" name="PTObj_DBranchHLine_1_654">
          <a:extLst>
            <a:ext uri="{FF2B5EF4-FFF2-40B4-BE49-F238E27FC236}">
              <a16:creationId xmlns:a16="http://schemas.microsoft.com/office/drawing/2014/main" id="{1FFC9638-0764-4000-8785-2D2B971B4975}"/>
            </a:ext>
          </a:extLst>
        </xdr:cNvPr>
        <xdr:cNvCxnSpPr/>
      </xdr:nvCxnSpPr>
      <xdr:spPr>
        <a:xfrm>
          <a:off x="20149945" y="2392019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1319</xdr:row>
      <xdr:rowOff>125115</xdr:rowOff>
    </xdr:from>
    <xdr:to>
      <xdr:col>11</xdr:col>
      <xdr:colOff>195070</xdr:colOff>
      <xdr:row>1321</xdr:row>
      <xdr:rowOff>133995</xdr:rowOff>
    </xdr:to>
    <xdr:cxnSp macro="_xll.PtreeEvent_ObjectClick">
      <xdr:nvCxnSpPr>
        <xdr:cNvPr id="2638" name="PTObj_DBranchDLine_1_654">
          <a:extLst>
            <a:ext uri="{FF2B5EF4-FFF2-40B4-BE49-F238E27FC236}">
              <a16:creationId xmlns:a16="http://schemas.microsoft.com/office/drawing/2014/main" id="{8895E3F1-B4C1-46AA-821C-A31DE077981C}"/>
            </a:ext>
          </a:extLst>
        </xdr:cNvPr>
        <xdr:cNvCxnSpPr/>
      </xdr:nvCxnSpPr>
      <xdr:spPr>
        <a:xfrm>
          <a:off x="19997545" y="238831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1319</xdr:row>
      <xdr:rowOff>130175</xdr:rowOff>
    </xdr:from>
    <xdr:to>
      <xdr:col>10</xdr:col>
      <xdr:colOff>1388870</xdr:colOff>
      <xdr:row>1319</xdr:row>
      <xdr:rowOff>130175</xdr:rowOff>
    </xdr:to>
    <xdr:cxnSp macro="_xll.PtreeEvent_ObjectClick">
      <xdr:nvCxnSpPr>
        <xdr:cNvPr id="2635" name="PTObj_DBranchHLine_1_653">
          <a:extLst>
            <a:ext uri="{FF2B5EF4-FFF2-40B4-BE49-F238E27FC236}">
              <a16:creationId xmlns:a16="http://schemas.microsoft.com/office/drawing/2014/main" id="{0A088176-49AA-47BB-AE4A-D1FF0D7246D9}"/>
            </a:ext>
          </a:extLst>
        </xdr:cNvPr>
        <xdr:cNvCxnSpPr/>
      </xdr:nvCxnSpPr>
      <xdr:spPr>
        <a:xfrm>
          <a:off x="18730720" y="2388362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1317</xdr:row>
      <xdr:rowOff>121295</xdr:rowOff>
    </xdr:from>
    <xdr:to>
      <xdr:col>10</xdr:col>
      <xdr:colOff>204595</xdr:colOff>
      <xdr:row>1319</xdr:row>
      <xdr:rowOff>130175</xdr:rowOff>
    </xdr:to>
    <xdr:cxnSp macro="_xll.PtreeEvent_ObjectClick">
      <xdr:nvCxnSpPr>
        <xdr:cNvPr id="2634" name="PTObj_DBranchDLine_1_653">
          <a:extLst>
            <a:ext uri="{FF2B5EF4-FFF2-40B4-BE49-F238E27FC236}">
              <a16:creationId xmlns:a16="http://schemas.microsoft.com/office/drawing/2014/main" id="{A264B37D-7250-45DB-B75D-F8105F904263}"/>
            </a:ext>
          </a:extLst>
        </xdr:cNvPr>
        <xdr:cNvCxnSpPr/>
      </xdr:nvCxnSpPr>
      <xdr:spPr>
        <a:xfrm>
          <a:off x="18578320" y="238465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1317</xdr:row>
      <xdr:rowOff>126355</xdr:rowOff>
    </xdr:from>
    <xdr:to>
      <xdr:col>9</xdr:col>
      <xdr:colOff>1392681</xdr:colOff>
      <xdr:row>1317</xdr:row>
      <xdr:rowOff>126355</xdr:rowOff>
    </xdr:to>
    <xdr:cxnSp macro="_xll.PtreeEvent_ObjectClick">
      <xdr:nvCxnSpPr>
        <xdr:cNvPr id="2631" name="PTObj_DBranchHLine_1_652">
          <a:extLst>
            <a:ext uri="{FF2B5EF4-FFF2-40B4-BE49-F238E27FC236}">
              <a16:creationId xmlns:a16="http://schemas.microsoft.com/office/drawing/2014/main" id="{E7CDD934-3C8C-42F1-B079-B20D51A16C77}"/>
            </a:ext>
          </a:extLst>
        </xdr:cNvPr>
        <xdr:cNvCxnSpPr/>
      </xdr:nvCxnSpPr>
      <xdr:spPr>
        <a:xfrm>
          <a:off x="17306734" y="2384704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1315</xdr:row>
      <xdr:rowOff>113655</xdr:rowOff>
    </xdr:from>
    <xdr:to>
      <xdr:col>9</xdr:col>
      <xdr:colOff>209359</xdr:colOff>
      <xdr:row>1317</xdr:row>
      <xdr:rowOff>126355</xdr:rowOff>
    </xdr:to>
    <xdr:cxnSp macro="_xll.PtreeEvent_ObjectClick">
      <xdr:nvCxnSpPr>
        <xdr:cNvPr id="2630" name="PTObj_DBranchDLine_1_652">
          <a:extLst>
            <a:ext uri="{FF2B5EF4-FFF2-40B4-BE49-F238E27FC236}">
              <a16:creationId xmlns:a16="http://schemas.microsoft.com/office/drawing/2014/main" id="{436BB847-379A-4CE0-B565-2E9B1D344E82}"/>
            </a:ext>
          </a:extLst>
        </xdr:cNvPr>
        <xdr:cNvCxnSpPr/>
      </xdr:nvCxnSpPr>
      <xdr:spPr>
        <a:xfrm>
          <a:off x="17154334" y="238095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1315</xdr:row>
      <xdr:rowOff>122560</xdr:rowOff>
    </xdr:from>
    <xdr:to>
      <xdr:col>8</xdr:col>
      <xdr:colOff>1398397</xdr:colOff>
      <xdr:row>1315</xdr:row>
      <xdr:rowOff>122560</xdr:rowOff>
    </xdr:to>
    <xdr:cxnSp macro="_xll.PtreeEvent_ObjectClick">
      <xdr:nvCxnSpPr>
        <xdr:cNvPr id="2627" name="PTObj_DBranchHLine_1_651">
          <a:extLst>
            <a:ext uri="{FF2B5EF4-FFF2-40B4-BE49-F238E27FC236}">
              <a16:creationId xmlns:a16="http://schemas.microsoft.com/office/drawing/2014/main" id="{8D0E50A9-7672-4F97-904E-4B8020E3D7B2}"/>
            </a:ext>
          </a:extLst>
        </xdr:cNvPr>
        <xdr:cNvCxnSpPr/>
      </xdr:nvCxnSpPr>
      <xdr:spPr>
        <a:xfrm>
          <a:off x="15884652" y="2381046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1315</xdr:row>
      <xdr:rowOff>122560</xdr:rowOff>
    </xdr:from>
    <xdr:to>
      <xdr:col>8</xdr:col>
      <xdr:colOff>216027</xdr:colOff>
      <xdr:row>1323</xdr:row>
      <xdr:rowOff>138435</xdr:rowOff>
    </xdr:to>
    <xdr:cxnSp macro="_xll.PtreeEvent_ObjectClick">
      <xdr:nvCxnSpPr>
        <xdr:cNvPr id="2626" name="PTObj_DBranchDLine_1_651">
          <a:extLst>
            <a:ext uri="{FF2B5EF4-FFF2-40B4-BE49-F238E27FC236}">
              <a16:creationId xmlns:a16="http://schemas.microsoft.com/office/drawing/2014/main" id="{B8CDE4E3-1776-471E-91B3-FBC8233E5086}"/>
            </a:ext>
          </a:extLst>
        </xdr:cNvPr>
        <xdr:cNvCxnSpPr/>
      </xdr:nvCxnSpPr>
      <xdr:spPr>
        <a:xfrm flipV="1">
          <a:off x="15732252" y="238104685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220790</xdr:colOff>
      <xdr:row>1323</xdr:row>
      <xdr:rowOff>137790</xdr:rowOff>
    </xdr:from>
    <xdr:to>
      <xdr:col>7</xdr:col>
      <xdr:colOff>1402207</xdr:colOff>
      <xdr:row>1323</xdr:row>
      <xdr:rowOff>137790</xdr:rowOff>
    </xdr:to>
    <xdr:cxnSp macro="_xll.PtreeEvent_ObjectClick">
      <xdr:nvCxnSpPr>
        <xdr:cNvPr id="2623" name="PTObj_DBranchHLine_1_655">
          <a:extLst>
            <a:ext uri="{FF2B5EF4-FFF2-40B4-BE49-F238E27FC236}">
              <a16:creationId xmlns:a16="http://schemas.microsoft.com/office/drawing/2014/main" id="{E078602C-0447-445D-B08C-5CB54495EF0D}"/>
            </a:ext>
          </a:extLst>
        </xdr:cNvPr>
        <xdr:cNvCxnSpPr/>
      </xdr:nvCxnSpPr>
      <xdr:spPr>
        <a:xfrm>
          <a:off x="14460665" y="239567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68390</xdr:colOff>
      <xdr:row>1313</xdr:row>
      <xdr:rowOff>107007</xdr:rowOff>
    </xdr:from>
    <xdr:to>
      <xdr:col>7</xdr:col>
      <xdr:colOff>220790</xdr:colOff>
      <xdr:row>1323</xdr:row>
      <xdr:rowOff>137790</xdr:rowOff>
    </xdr:to>
    <xdr:cxnSp macro="_xll.PtreeEvent_ObjectClick">
      <xdr:nvCxnSpPr>
        <xdr:cNvPr id="2622" name="PTObj_DBranchDLine_1_655">
          <a:extLst>
            <a:ext uri="{FF2B5EF4-FFF2-40B4-BE49-F238E27FC236}">
              <a16:creationId xmlns:a16="http://schemas.microsoft.com/office/drawing/2014/main" id="{080A8511-E24A-4BB6-9DB3-C5B273D50F0A}"/>
            </a:ext>
          </a:extLst>
        </xdr:cNvPr>
        <xdr:cNvCxnSpPr/>
      </xdr:nvCxnSpPr>
      <xdr:spPr>
        <a:xfrm>
          <a:off x="14308265" y="2377271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1311</xdr:row>
      <xdr:rowOff>114945</xdr:rowOff>
    </xdr:from>
    <xdr:to>
      <xdr:col>11</xdr:col>
      <xdr:colOff>1386967</xdr:colOff>
      <xdr:row>1311</xdr:row>
      <xdr:rowOff>114945</xdr:rowOff>
    </xdr:to>
    <xdr:cxnSp macro="_xll.PtreeEvent_ObjectClick">
      <xdr:nvCxnSpPr>
        <xdr:cNvPr id="2619" name="PTObj_DBranchHLine_1_649">
          <a:extLst>
            <a:ext uri="{FF2B5EF4-FFF2-40B4-BE49-F238E27FC236}">
              <a16:creationId xmlns:a16="http://schemas.microsoft.com/office/drawing/2014/main" id="{8F938690-FEFC-4526-8E3A-1EBD8A8961C4}"/>
            </a:ext>
          </a:extLst>
        </xdr:cNvPr>
        <xdr:cNvCxnSpPr/>
      </xdr:nvCxnSpPr>
      <xdr:spPr>
        <a:xfrm>
          <a:off x="20149945" y="237373170"/>
          <a:ext cx="119189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1309</xdr:row>
      <xdr:rowOff>102245</xdr:rowOff>
    </xdr:from>
    <xdr:to>
      <xdr:col>11</xdr:col>
      <xdr:colOff>195070</xdr:colOff>
      <xdr:row>1311</xdr:row>
      <xdr:rowOff>114945</xdr:rowOff>
    </xdr:to>
    <xdr:cxnSp macro="_xll.PtreeEvent_ObjectClick">
      <xdr:nvCxnSpPr>
        <xdr:cNvPr id="2618" name="PTObj_DBranchDLine_1_649">
          <a:extLst>
            <a:ext uri="{FF2B5EF4-FFF2-40B4-BE49-F238E27FC236}">
              <a16:creationId xmlns:a16="http://schemas.microsoft.com/office/drawing/2014/main" id="{3B2C10DB-AFE6-404E-AB7B-9FF2281393AE}"/>
            </a:ext>
          </a:extLst>
        </xdr:cNvPr>
        <xdr:cNvCxnSpPr/>
      </xdr:nvCxnSpPr>
      <xdr:spPr>
        <a:xfrm>
          <a:off x="19997545" y="236998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1309</xdr:row>
      <xdr:rowOff>111125</xdr:rowOff>
    </xdr:from>
    <xdr:to>
      <xdr:col>10</xdr:col>
      <xdr:colOff>1388870</xdr:colOff>
      <xdr:row>1309</xdr:row>
      <xdr:rowOff>111125</xdr:rowOff>
    </xdr:to>
    <xdr:cxnSp macro="_xll.PtreeEvent_ObjectClick">
      <xdr:nvCxnSpPr>
        <xdr:cNvPr id="2615" name="PTObj_DBranchHLine_1_648">
          <a:extLst>
            <a:ext uri="{FF2B5EF4-FFF2-40B4-BE49-F238E27FC236}">
              <a16:creationId xmlns:a16="http://schemas.microsoft.com/office/drawing/2014/main" id="{0CE211FD-0886-45AB-AE64-4AA8680B3A2F}"/>
            </a:ext>
          </a:extLst>
        </xdr:cNvPr>
        <xdr:cNvCxnSpPr/>
      </xdr:nvCxnSpPr>
      <xdr:spPr>
        <a:xfrm>
          <a:off x="18730720" y="2370074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1307</xdr:row>
      <xdr:rowOff>106065</xdr:rowOff>
    </xdr:from>
    <xdr:to>
      <xdr:col>10</xdr:col>
      <xdr:colOff>204595</xdr:colOff>
      <xdr:row>1309</xdr:row>
      <xdr:rowOff>111125</xdr:rowOff>
    </xdr:to>
    <xdr:cxnSp macro="_xll.PtreeEvent_ObjectClick">
      <xdr:nvCxnSpPr>
        <xdr:cNvPr id="2614" name="PTObj_DBranchDLine_1_648">
          <a:extLst>
            <a:ext uri="{FF2B5EF4-FFF2-40B4-BE49-F238E27FC236}">
              <a16:creationId xmlns:a16="http://schemas.microsoft.com/office/drawing/2014/main" id="{C9057925-AD2D-4DF5-88F4-6EED60058BB5}"/>
            </a:ext>
          </a:extLst>
        </xdr:cNvPr>
        <xdr:cNvCxnSpPr/>
      </xdr:nvCxnSpPr>
      <xdr:spPr>
        <a:xfrm>
          <a:off x="18578320" y="236640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1307</xdr:row>
      <xdr:rowOff>107305</xdr:rowOff>
    </xdr:from>
    <xdr:to>
      <xdr:col>9</xdr:col>
      <xdr:colOff>1392681</xdr:colOff>
      <xdr:row>1307</xdr:row>
      <xdr:rowOff>107305</xdr:rowOff>
    </xdr:to>
    <xdr:cxnSp macro="_xll.PtreeEvent_ObjectClick">
      <xdr:nvCxnSpPr>
        <xdr:cNvPr id="2611" name="PTObj_DBranchHLine_1_647">
          <a:extLst>
            <a:ext uri="{FF2B5EF4-FFF2-40B4-BE49-F238E27FC236}">
              <a16:creationId xmlns:a16="http://schemas.microsoft.com/office/drawing/2014/main" id="{578E5CF3-D7E2-42BA-94E2-ED60B7C2ECFC}"/>
            </a:ext>
          </a:extLst>
        </xdr:cNvPr>
        <xdr:cNvCxnSpPr/>
      </xdr:nvCxnSpPr>
      <xdr:spPr>
        <a:xfrm>
          <a:off x="17306734" y="2366416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1305</xdr:row>
      <xdr:rowOff>102245</xdr:rowOff>
    </xdr:from>
    <xdr:to>
      <xdr:col>9</xdr:col>
      <xdr:colOff>209359</xdr:colOff>
      <xdr:row>1307</xdr:row>
      <xdr:rowOff>107305</xdr:rowOff>
    </xdr:to>
    <xdr:cxnSp macro="_xll.PtreeEvent_ObjectClick">
      <xdr:nvCxnSpPr>
        <xdr:cNvPr id="2610" name="PTObj_DBranchDLine_1_647">
          <a:extLst>
            <a:ext uri="{FF2B5EF4-FFF2-40B4-BE49-F238E27FC236}">
              <a16:creationId xmlns:a16="http://schemas.microsoft.com/office/drawing/2014/main" id="{7DCD39E8-72DB-433B-96A6-4A7798DD7828}"/>
            </a:ext>
          </a:extLst>
        </xdr:cNvPr>
        <xdr:cNvCxnSpPr/>
      </xdr:nvCxnSpPr>
      <xdr:spPr>
        <a:xfrm>
          <a:off x="17154334" y="2362746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219838</xdr:colOff>
      <xdr:row>1305</xdr:row>
      <xdr:rowOff>103510</xdr:rowOff>
    </xdr:from>
    <xdr:to>
      <xdr:col>8</xdr:col>
      <xdr:colOff>1398397</xdr:colOff>
      <xdr:row>1305</xdr:row>
      <xdr:rowOff>103510</xdr:rowOff>
    </xdr:to>
    <xdr:cxnSp macro="_xll.PtreeEvent_ObjectClick">
      <xdr:nvCxnSpPr>
        <xdr:cNvPr id="2607" name="PTObj_DBranchHLine_1_646">
          <a:extLst>
            <a:ext uri="{FF2B5EF4-FFF2-40B4-BE49-F238E27FC236}">
              <a16:creationId xmlns:a16="http://schemas.microsoft.com/office/drawing/2014/main" id="{894B384B-C6F1-4D9D-B1F0-D1226CF819E7}"/>
            </a:ext>
          </a:extLst>
        </xdr:cNvPr>
        <xdr:cNvCxnSpPr/>
      </xdr:nvCxnSpPr>
      <xdr:spPr>
        <a:xfrm>
          <a:off x="15888463" y="236275885"/>
          <a:ext cx="117855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67438</xdr:colOff>
      <xdr:row>1303</xdr:row>
      <xdr:rowOff>100335</xdr:rowOff>
    </xdr:from>
    <xdr:to>
      <xdr:col>8</xdr:col>
      <xdr:colOff>219838</xdr:colOff>
      <xdr:row>1305</xdr:row>
      <xdr:rowOff>103510</xdr:rowOff>
    </xdr:to>
    <xdr:cxnSp macro="_xll.PtreeEvent_ObjectClick">
      <xdr:nvCxnSpPr>
        <xdr:cNvPr id="2606" name="PTObj_DBranchDLine_1_646">
          <a:extLst>
            <a:ext uri="{FF2B5EF4-FFF2-40B4-BE49-F238E27FC236}">
              <a16:creationId xmlns:a16="http://schemas.microsoft.com/office/drawing/2014/main" id="{69969715-F4A8-4E93-BCC6-23D5559AC95E}"/>
            </a:ext>
          </a:extLst>
        </xdr:cNvPr>
        <xdr:cNvCxnSpPr/>
      </xdr:nvCxnSpPr>
      <xdr:spPr>
        <a:xfrm>
          <a:off x="15736063" y="235910760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195070</xdr:colOff>
      <xdr:row>1301</xdr:row>
      <xdr:rowOff>95895</xdr:rowOff>
    </xdr:from>
    <xdr:to>
      <xdr:col>11</xdr:col>
      <xdr:colOff>1386015</xdr:colOff>
      <xdr:row>1301</xdr:row>
      <xdr:rowOff>95895</xdr:rowOff>
    </xdr:to>
    <xdr:cxnSp macro="_xll.PtreeEvent_ObjectClick">
      <xdr:nvCxnSpPr>
        <xdr:cNvPr id="2603" name="PTObj_DBranchHLine_1_644">
          <a:extLst>
            <a:ext uri="{FF2B5EF4-FFF2-40B4-BE49-F238E27FC236}">
              <a16:creationId xmlns:a16="http://schemas.microsoft.com/office/drawing/2014/main" id="{6456C46B-00FE-4FB2-A747-D51E5BBCC1AE}"/>
            </a:ext>
          </a:extLst>
        </xdr:cNvPr>
        <xdr:cNvCxnSpPr/>
      </xdr:nvCxnSpPr>
      <xdr:spPr>
        <a:xfrm>
          <a:off x="20149945" y="235544370"/>
          <a:ext cx="119094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42670</xdr:colOff>
      <xdr:row>1299</xdr:row>
      <xdr:rowOff>87015</xdr:rowOff>
    </xdr:from>
    <xdr:to>
      <xdr:col>11</xdr:col>
      <xdr:colOff>195070</xdr:colOff>
      <xdr:row>1301</xdr:row>
      <xdr:rowOff>95895</xdr:rowOff>
    </xdr:to>
    <xdr:cxnSp macro="_xll.PtreeEvent_ObjectClick">
      <xdr:nvCxnSpPr>
        <xdr:cNvPr id="2602" name="PTObj_DBranchDLine_1_644">
          <a:extLst>
            <a:ext uri="{FF2B5EF4-FFF2-40B4-BE49-F238E27FC236}">
              <a16:creationId xmlns:a16="http://schemas.microsoft.com/office/drawing/2014/main" id="{F4456B61-2C4F-4934-8815-AB022E54F0DE}"/>
            </a:ext>
          </a:extLst>
        </xdr:cNvPr>
        <xdr:cNvCxnSpPr/>
      </xdr:nvCxnSpPr>
      <xdr:spPr>
        <a:xfrm>
          <a:off x="19997545" y="2351735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204595</xdr:colOff>
      <xdr:row>1299</xdr:row>
      <xdr:rowOff>92075</xdr:rowOff>
    </xdr:from>
    <xdr:to>
      <xdr:col>10</xdr:col>
      <xdr:colOff>1388870</xdr:colOff>
      <xdr:row>1299</xdr:row>
      <xdr:rowOff>92075</xdr:rowOff>
    </xdr:to>
    <xdr:cxnSp macro="_xll.PtreeEvent_ObjectClick">
      <xdr:nvCxnSpPr>
        <xdr:cNvPr id="2599" name="PTObj_DBranchHLine_1_643">
          <a:extLst>
            <a:ext uri="{FF2B5EF4-FFF2-40B4-BE49-F238E27FC236}">
              <a16:creationId xmlns:a16="http://schemas.microsoft.com/office/drawing/2014/main" id="{22A55451-3F20-4114-AF91-AA8471A9A6CC}"/>
            </a:ext>
          </a:extLst>
        </xdr:cNvPr>
        <xdr:cNvCxnSpPr/>
      </xdr:nvCxnSpPr>
      <xdr:spPr>
        <a:xfrm>
          <a:off x="18730720" y="23517860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52195</xdr:colOff>
      <xdr:row>1297</xdr:row>
      <xdr:rowOff>76522</xdr:rowOff>
    </xdr:from>
    <xdr:to>
      <xdr:col>10</xdr:col>
      <xdr:colOff>204595</xdr:colOff>
      <xdr:row>1299</xdr:row>
      <xdr:rowOff>92075</xdr:rowOff>
    </xdr:to>
    <xdr:cxnSp macro="_xll.PtreeEvent_ObjectClick">
      <xdr:nvCxnSpPr>
        <xdr:cNvPr id="2598" name="PTObj_DBranchDLine_1_643">
          <a:extLst>
            <a:ext uri="{FF2B5EF4-FFF2-40B4-BE49-F238E27FC236}">
              <a16:creationId xmlns:a16="http://schemas.microsoft.com/office/drawing/2014/main" id="{220BF6A3-301E-470F-A6B9-4F12FBD324A4}"/>
            </a:ext>
          </a:extLst>
        </xdr:cNvPr>
        <xdr:cNvCxnSpPr/>
      </xdr:nvCxnSpPr>
      <xdr:spPr>
        <a:xfrm>
          <a:off x="18578320" y="2348010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209359</xdr:colOff>
      <xdr:row>1297</xdr:row>
      <xdr:rowOff>88255</xdr:rowOff>
    </xdr:from>
    <xdr:to>
      <xdr:col>9</xdr:col>
      <xdr:colOff>1392681</xdr:colOff>
      <xdr:row>1297</xdr:row>
      <xdr:rowOff>88255</xdr:rowOff>
    </xdr:to>
    <xdr:cxnSp macro="_xll.PtreeEvent_ObjectClick">
      <xdr:nvCxnSpPr>
        <xdr:cNvPr id="2595" name="PTObj_DBranchHLine_1_642">
          <a:extLst>
            <a:ext uri="{FF2B5EF4-FFF2-40B4-BE49-F238E27FC236}">
              <a16:creationId xmlns:a16="http://schemas.microsoft.com/office/drawing/2014/main" id="{A71B2D08-7EB9-4EDF-9B86-FB40BFD99C7E}"/>
            </a:ext>
          </a:extLst>
        </xdr:cNvPr>
        <xdr:cNvCxnSpPr/>
      </xdr:nvCxnSpPr>
      <xdr:spPr>
        <a:xfrm>
          <a:off x="17306734" y="23481283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56959</xdr:colOff>
      <xdr:row>1295</xdr:row>
      <xdr:rowOff>75580</xdr:rowOff>
    </xdr:from>
    <xdr:to>
      <xdr:col>9</xdr:col>
      <xdr:colOff>209359</xdr:colOff>
      <xdr:row>1297</xdr:row>
      <xdr:rowOff>88255</xdr:rowOff>
    </xdr:to>
    <xdr:cxnSp macro="_xll.PtreeEvent_ObjectClick">
      <xdr:nvCxnSpPr>
        <xdr:cNvPr id="2594" name="PTObj_DBranchDLine_1_642">
          <a:extLst>
            <a:ext uri="{FF2B5EF4-FFF2-40B4-BE49-F238E27FC236}">
              <a16:creationId xmlns:a16="http://schemas.microsoft.com/office/drawing/2014/main" id="{1B0F4325-ABA3-4931-9712-422412D373F1}"/>
            </a:ext>
          </a:extLst>
        </xdr:cNvPr>
        <xdr:cNvCxnSpPr/>
      </xdr:nvCxnSpPr>
      <xdr:spPr>
        <a:xfrm>
          <a:off x="17154334" y="2344382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216027</xdr:colOff>
      <xdr:row>1295</xdr:row>
      <xdr:rowOff>84460</xdr:rowOff>
    </xdr:from>
    <xdr:to>
      <xdr:col>8</xdr:col>
      <xdr:colOff>1398397</xdr:colOff>
      <xdr:row>1295</xdr:row>
      <xdr:rowOff>84460</xdr:rowOff>
    </xdr:to>
    <xdr:cxnSp macro="_xll.PtreeEvent_ObjectClick">
      <xdr:nvCxnSpPr>
        <xdr:cNvPr id="2591" name="PTObj_DBranchHLine_1_641">
          <a:extLst>
            <a:ext uri="{FF2B5EF4-FFF2-40B4-BE49-F238E27FC236}">
              <a16:creationId xmlns:a16="http://schemas.microsoft.com/office/drawing/2014/main" id="{4CEAD915-3D76-4171-94CB-846D9475B1C2}"/>
            </a:ext>
          </a:extLst>
        </xdr:cNvPr>
        <xdr:cNvCxnSpPr/>
      </xdr:nvCxnSpPr>
      <xdr:spPr>
        <a:xfrm>
          <a:off x="15884652" y="23444708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63627</xdr:colOff>
      <xdr:row>1295</xdr:row>
      <xdr:rowOff>84460</xdr:rowOff>
    </xdr:from>
    <xdr:to>
      <xdr:col>8</xdr:col>
      <xdr:colOff>216027</xdr:colOff>
      <xdr:row>1303</xdr:row>
      <xdr:rowOff>100335</xdr:rowOff>
    </xdr:to>
    <xdr:cxnSp macro="_xll.PtreeEvent_ObjectClick">
      <xdr:nvCxnSpPr>
        <xdr:cNvPr id="2590" name="PTObj_DBranchDLine_1_641">
          <a:extLst>
            <a:ext uri="{FF2B5EF4-FFF2-40B4-BE49-F238E27FC236}">
              <a16:creationId xmlns:a16="http://schemas.microsoft.com/office/drawing/2014/main" id="{2FE625E4-F4C2-4544-BC86-A14AC464DA90}"/>
            </a:ext>
          </a:extLst>
        </xdr:cNvPr>
        <xdr:cNvCxnSpPr/>
      </xdr:nvCxnSpPr>
      <xdr:spPr>
        <a:xfrm flipV="1">
          <a:off x="15732252" y="234447085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222695</xdr:colOff>
      <xdr:row>1303</xdr:row>
      <xdr:rowOff>99690</xdr:rowOff>
    </xdr:from>
    <xdr:to>
      <xdr:col>7</xdr:col>
      <xdr:colOff>1402207</xdr:colOff>
      <xdr:row>1303</xdr:row>
      <xdr:rowOff>99690</xdr:rowOff>
    </xdr:to>
    <xdr:cxnSp macro="_xll.PtreeEvent_ObjectClick">
      <xdr:nvCxnSpPr>
        <xdr:cNvPr id="2587" name="PTObj_DBranchHLine_1_645">
          <a:extLst>
            <a:ext uri="{FF2B5EF4-FFF2-40B4-BE49-F238E27FC236}">
              <a16:creationId xmlns:a16="http://schemas.microsoft.com/office/drawing/2014/main" id="{EAC4D638-9383-4FCE-9C1C-C5E44E9BFEF2}"/>
            </a:ext>
          </a:extLst>
        </xdr:cNvPr>
        <xdr:cNvCxnSpPr/>
      </xdr:nvCxnSpPr>
      <xdr:spPr>
        <a:xfrm>
          <a:off x="14462570" y="235910115"/>
          <a:ext cx="117951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70295</xdr:colOff>
      <xdr:row>1303</xdr:row>
      <xdr:rowOff>99690</xdr:rowOff>
    </xdr:from>
    <xdr:to>
      <xdr:col>7</xdr:col>
      <xdr:colOff>222695</xdr:colOff>
      <xdr:row>1313</xdr:row>
      <xdr:rowOff>108917</xdr:rowOff>
    </xdr:to>
    <xdr:cxnSp macro="_xll.PtreeEvent_ObjectClick">
      <xdr:nvCxnSpPr>
        <xdr:cNvPr id="2586" name="PTObj_DBranchDLine_1_645">
          <a:extLst>
            <a:ext uri="{FF2B5EF4-FFF2-40B4-BE49-F238E27FC236}">
              <a16:creationId xmlns:a16="http://schemas.microsoft.com/office/drawing/2014/main" id="{89E02D78-7873-4983-8B39-A91C6D400414}"/>
            </a:ext>
          </a:extLst>
        </xdr:cNvPr>
        <xdr:cNvCxnSpPr/>
      </xdr:nvCxnSpPr>
      <xdr:spPr>
        <a:xfrm flipV="1">
          <a:off x="14310170" y="2359101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223647</xdr:colOff>
      <xdr:row>1313</xdr:row>
      <xdr:rowOff>118740</xdr:rowOff>
    </xdr:from>
    <xdr:to>
      <xdr:col>6</xdr:col>
      <xdr:colOff>1407922</xdr:colOff>
      <xdr:row>1313</xdr:row>
      <xdr:rowOff>118740</xdr:rowOff>
    </xdr:to>
    <xdr:cxnSp macro="_xll.PtreeEvent_ObjectClick">
      <xdr:nvCxnSpPr>
        <xdr:cNvPr id="2583" name="PTObj_DBranchHLine_1_650">
          <a:extLst>
            <a:ext uri="{FF2B5EF4-FFF2-40B4-BE49-F238E27FC236}">
              <a16:creationId xmlns:a16="http://schemas.microsoft.com/office/drawing/2014/main" id="{1DF14090-8BFA-4587-8F00-EC2859D9BA57}"/>
            </a:ext>
          </a:extLst>
        </xdr:cNvPr>
        <xdr:cNvCxnSpPr/>
      </xdr:nvCxnSpPr>
      <xdr:spPr>
        <a:xfrm>
          <a:off x="13034772" y="2377389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71247</xdr:colOff>
      <xdr:row>1313</xdr:row>
      <xdr:rowOff>118740</xdr:rowOff>
    </xdr:from>
    <xdr:to>
      <xdr:col>6</xdr:col>
      <xdr:colOff>223647</xdr:colOff>
      <xdr:row>1333</xdr:row>
      <xdr:rowOff>147017</xdr:rowOff>
    </xdr:to>
    <xdr:cxnSp macro="_xll.PtreeEvent_ObjectClick">
      <xdr:nvCxnSpPr>
        <xdr:cNvPr id="2582" name="PTObj_DBranchDLine_1_650">
          <a:extLst>
            <a:ext uri="{FF2B5EF4-FFF2-40B4-BE49-F238E27FC236}">
              <a16:creationId xmlns:a16="http://schemas.microsoft.com/office/drawing/2014/main" id="{8BAE8884-942E-4FCB-B55F-C16F219ECE76}"/>
            </a:ext>
          </a:extLst>
        </xdr:cNvPr>
        <xdr:cNvCxnSpPr/>
      </xdr:nvCxnSpPr>
      <xdr:spPr>
        <a:xfrm flipV="1">
          <a:off x="12882372" y="237738915"/>
          <a:ext cx="152400" cy="36477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228410</xdr:colOff>
      <xdr:row>1333</xdr:row>
      <xdr:rowOff>156840</xdr:rowOff>
    </xdr:from>
    <xdr:to>
      <xdr:col>5</xdr:col>
      <xdr:colOff>1411732</xdr:colOff>
      <xdr:row>1333</xdr:row>
      <xdr:rowOff>156840</xdr:rowOff>
    </xdr:to>
    <xdr:cxnSp macro="_xll.PtreeEvent_ObjectClick">
      <xdr:nvCxnSpPr>
        <xdr:cNvPr id="2579" name="PTObj_DBranchHLine_1_660">
          <a:extLst>
            <a:ext uri="{FF2B5EF4-FFF2-40B4-BE49-F238E27FC236}">
              <a16:creationId xmlns:a16="http://schemas.microsoft.com/office/drawing/2014/main" id="{4D103B7E-590F-4B59-BBEB-B976212839BF}"/>
            </a:ext>
          </a:extLst>
        </xdr:cNvPr>
        <xdr:cNvCxnSpPr/>
      </xdr:nvCxnSpPr>
      <xdr:spPr>
        <a:xfrm>
          <a:off x="11610785" y="2413965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76010</xdr:colOff>
      <xdr:row>1333</xdr:row>
      <xdr:rowOff>156840</xdr:rowOff>
    </xdr:from>
    <xdr:to>
      <xdr:col>5</xdr:col>
      <xdr:colOff>228410</xdr:colOff>
      <xdr:row>1374</xdr:row>
      <xdr:rowOff>42242</xdr:rowOff>
    </xdr:to>
    <xdr:cxnSp macro="_xll.PtreeEvent_ObjectClick">
      <xdr:nvCxnSpPr>
        <xdr:cNvPr id="2578" name="PTObj_DBranchDLine_1_660">
          <a:extLst>
            <a:ext uri="{FF2B5EF4-FFF2-40B4-BE49-F238E27FC236}">
              <a16:creationId xmlns:a16="http://schemas.microsoft.com/office/drawing/2014/main" id="{CEA40CDC-61F3-401E-A5F3-87B7A977D504}"/>
            </a:ext>
          </a:extLst>
        </xdr:cNvPr>
        <xdr:cNvCxnSpPr/>
      </xdr:nvCxnSpPr>
      <xdr:spPr>
        <a:xfrm flipV="1">
          <a:off x="11458385" y="241396515"/>
          <a:ext cx="152400" cy="73053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230314</xdr:colOff>
      <xdr:row>1374</xdr:row>
      <xdr:rowOff>52065</xdr:rowOff>
    </xdr:from>
    <xdr:to>
      <xdr:col>4</xdr:col>
      <xdr:colOff>1417447</xdr:colOff>
      <xdr:row>1374</xdr:row>
      <xdr:rowOff>52065</xdr:rowOff>
    </xdr:to>
    <xdr:cxnSp macro="_xll.PtreeEvent_ObjectClick">
      <xdr:nvCxnSpPr>
        <xdr:cNvPr id="2575" name="PTObj_DBranchHLine_1_680">
          <a:extLst>
            <a:ext uri="{FF2B5EF4-FFF2-40B4-BE49-F238E27FC236}">
              <a16:creationId xmlns:a16="http://schemas.microsoft.com/office/drawing/2014/main" id="{E872984E-81B2-4D5A-A118-65959DDDE459}"/>
            </a:ext>
          </a:extLst>
        </xdr:cNvPr>
        <xdr:cNvCxnSpPr/>
      </xdr:nvCxnSpPr>
      <xdr:spPr>
        <a:xfrm>
          <a:off x="10183939" y="248711715"/>
          <a:ext cx="118713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77914</xdr:colOff>
      <xdr:row>1374</xdr:row>
      <xdr:rowOff>52065</xdr:rowOff>
    </xdr:from>
    <xdr:to>
      <xdr:col>4</xdr:col>
      <xdr:colOff>230314</xdr:colOff>
      <xdr:row>1455</xdr:row>
      <xdr:rowOff>18430</xdr:rowOff>
    </xdr:to>
    <xdr:cxnSp macro="_xll.PtreeEvent_ObjectClick">
      <xdr:nvCxnSpPr>
        <xdr:cNvPr id="2574" name="PTObj_DBranchDLine_1_680">
          <a:extLst>
            <a:ext uri="{FF2B5EF4-FFF2-40B4-BE49-F238E27FC236}">
              <a16:creationId xmlns:a16="http://schemas.microsoft.com/office/drawing/2014/main" id="{7E3C6CE9-124E-4AA0-8B19-2AE9FAD3D198}"/>
            </a:ext>
          </a:extLst>
        </xdr:cNvPr>
        <xdr:cNvCxnSpPr/>
      </xdr:nvCxnSpPr>
      <xdr:spPr>
        <a:xfrm flipV="1">
          <a:off x="10031539" y="248711715"/>
          <a:ext cx="152400" cy="146253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233172</xdr:colOff>
      <xdr:row>1455</xdr:row>
      <xdr:rowOff>23490</xdr:rowOff>
    </xdr:from>
    <xdr:to>
      <xdr:col>3</xdr:col>
      <xdr:colOff>1421257</xdr:colOff>
      <xdr:row>1455</xdr:row>
      <xdr:rowOff>23490</xdr:rowOff>
    </xdr:to>
    <xdr:cxnSp macro="_xll.PtreeEvent_ObjectClick">
      <xdr:nvCxnSpPr>
        <xdr:cNvPr id="2571" name="PTObj_DBranchHLine_1_720">
          <a:extLst>
            <a:ext uri="{FF2B5EF4-FFF2-40B4-BE49-F238E27FC236}">
              <a16:creationId xmlns:a16="http://schemas.microsoft.com/office/drawing/2014/main" id="{C71CDB2F-A4D6-4689-B2F6-0CCC179131B9}"/>
            </a:ext>
          </a:extLst>
        </xdr:cNvPr>
        <xdr:cNvCxnSpPr/>
      </xdr:nvCxnSpPr>
      <xdr:spPr>
        <a:xfrm>
          <a:off x="8758047" y="263342115"/>
          <a:ext cx="118808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80772</xdr:colOff>
      <xdr:row>1455</xdr:row>
      <xdr:rowOff>23490</xdr:rowOff>
    </xdr:from>
    <xdr:to>
      <xdr:col>3</xdr:col>
      <xdr:colOff>233172</xdr:colOff>
      <xdr:row>1616</xdr:row>
      <xdr:rowOff>142255</xdr:rowOff>
    </xdr:to>
    <xdr:cxnSp macro="_xll.PtreeEvent_ObjectClick">
      <xdr:nvCxnSpPr>
        <xdr:cNvPr id="2570" name="PTObj_DBranchDLine_1_720">
          <a:extLst>
            <a:ext uri="{FF2B5EF4-FFF2-40B4-BE49-F238E27FC236}">
              <a16:creationId xmlns:a16="http://schemas.microsoft.com/office/drawing/2014/main" id="{B4A13CED-4A65-48EB-A0D5-49E0E0EFD604}"/>
            </a:ext>
          </a:extLst>
        </xdr:cNvPr>
        <xdr:cNvCxnSpPr/>
      </xdr:nvCxnSpPr>
      <xdr:spPr>
        <a:xfrm flipV="1">
          <a:off x="8605647" y="263342115"/>
          <a:ext cx="152400" cy="29255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231267</xdr:colOff>
      <xdr:row>1616</xdr:row>
      <xdr:rowOff>147315</xdr:rowOff>
    </xdr:from>
    <xdr:to>
      <xdr:col>2</xdr:col>
      <xdr:colOff>1426972</xdr:colOff>
      <xdr:row>1616</xdr:row>
      <xdr:rowOff>147315</xdr:rowOff>
    </xdr:to>
    <xdr:cxnSp macro="_xll.PtreeEvent_ObjectClick">
      <xdr:nvCxnSpPr>
        <xdr:cNvPr id="2567" name="PTObj_DBranchHLine_1_800">
          <a:extLst>
            <a:ext uri="{FF2B5EF4-FFF2-40B4-BE49-F238E27FC236}">
              <a16:creationId xmlns:a16="http://schemas.microsoft.com/office/drawing/2014/main" id="{67D77219-D085-4C14-BAE4-BAA52BC016E7}"/>
            </a:ext>
          </a:extLst>
        </xdr:cNvPr>
        <xdr:cNvCxnSpPr/>
      </xdr:nvCxnSpPr>
      <xdr:spPr>
        <a:xfrm>
          <a:off x="7327392" y="292602915"/>
          <a:ext cx="11957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78867</xdr:colOff>
      <xdr:row>1616</xdr:row>
      <xdr:rowOff>147315</xdr:rowOff>
    </xdr:from>
    <xdr:to>
      <xdr:col>2</xdr:col>
      <xdr:colOff>231267</xdr:colOff>
      <xdr:row>1940</xdr:row>
      <xdr:rowOff>31750</xdr:rowOff>
    </xdr:to>
    <xdr:cxnSp macro="_xll.PtreeEvent_ObjectClick">
      <xdr:nvCxnSpPr>
        <xdr:cNvPr id="2566" name="PTObj_DBranchDLine_1_800">
          <a:extLst>
            <a:ext uri="{FF2B5EF4-FFF2-40B4-BE49-F238E27FC236}">
              <a16:creationId xmlns:a16="http://schemas.microsoft.com/office/drawing/2014/main" id="{18EB0391-C830-4534-8E2B-419D4EAA9EAF}"/>
            </a:ext>
          </a:extLst>
        </xdr:cNvPr>
        <xdr:cNvCxnSpPr/>
      </xdr:nvCxnSpPr>
      <xdr:spPr>
        <a:xfrm flipV="1">
          <a:off x="7174992" y="292602915"/>
          <a:ext cx="152400" cy="585203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1662874</xdr:colOff>
      <xdr:row>1940</xdr:row>
      <xdr:rowOff>33015</xdr:rowOff>
    </xdr:from>
    <xdr:to>
      <xdr:col>1</xdr:col>
      <xdr:colOff>1426972</xdr:colOff>
      <xdr:row>1940</xdr:row>
      <xdr:rowOff>33015</xdr:rowOff>
    </xdr:to>
    <xdr:cxnSp macro="_xll.PtreeEvent_ObjectClick">
      <xdr:nvCxnSpPr>
        <xdr:cNvPr id="2563" name="PTObj_DBranchHLine_1_960">
          <a:extLst>
            <a:ext uri="{FF2B5EF4-FFF2-40B4-BE49-F238E27FC236}">
              <a16:creationId xmlns:a16="http://schemas.microsoft.com/office/drawing/2014/main" id="{FB769636-1E3C-44AB-A1F7-C9AA012381A8}"/>
            </a:ext>
          </a:extLst>
        </xdr:cNvPr>
        <xdr:cNvCxnSpPr/>
      </xdr:nvCxnSpPr>
      <xdr:spPr>
        <a:xfrm>
          <a:off x="1662874" y="351124515"/>
          <a:ext cx="533622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1510475</xdr:colOff>
      <xdr:row>1293</xdr:row>
      <xdr:rowOff>77490</xdr:rowOff>
    </xdr:from>
    <xdr:to>
      <xdr:col>0</xdr:col>
      <xdr:colOff>1662874</xdr:colOff>
      <xdr:row>1940</xdr:row>
      <xdr:rowOff>33015</xdr:rowOff>
    </xdr:to>
    <xdr:cxnSp macro="_xll.PtreeEvent_ObjectClick">
      <xdr:nvCxnSpPr>
        <xdr:cNvPr id="2562" name="PTObj_DBranchDLine_1_960">
          <a:extLst>
            <a:ext uri="{FF2B5EF4-FFF2-40B4-BE49-F238E27FC236}">
              <a16:creationId xmlns:a16="http://schemas.microsoft.com/office/drawing/2014/main" id="{87996CBA-FBEE-4CAB-A47C-0AD84B6934F5}"/>
            </a:ext>
          </a:extLst>
        </xdr:cNvPr>
        <xdr:cNvCxnSpPr/>
      </xdr:nvCxnSpPr>
      <xdr:spPr>
        <a:xfrm>
          <a:off x="1510475" y="234078165"/>
          <a:ext cx="152399" cy="1170463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1291</xdr:row>
      <xdr:rowOff>76845</xdr:rowOff>
    </xdr:from>
    <xdr:to>
      <xdr:col>11</xdr:col>
      <xdr:colOff>1385063</xdr:colOff>
      <xdr:row>1291</xdr:row>
      <xdr:rowOff>76845</xdr:rowOff>
    </xdr:to>
    <xdr:cxnSp macro="_xll.PtreeEvent_ObjectClick">
      <xdr:nvCxnSpPr>
        <xdr:cNvPr id="2559" name="PTObj_DBranchHLine_1_639">
          <a:extLst>
            <a:ext uri="{FF2B5EF4-FFF2-40B4-BE49-F238E27FC236}">
              <a16:creationId xmlns:a16="http://schemas.microsoft.com/office/drawing/2014/main" id="{DC52DDCA-F580-40D8-B96D-BE5755879A77}"/>
            </a:ext>
          </a:extLst>
        </xdr:cNvPr>
        <xdr:cNvCxnSpPr/>
      </xdr:nvCxnSpPr>
      <xdr:spPr>
        <a:xfrm>
          <a:off x="20056601" y="2337155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1289</xdr:row>
      <xdr:rowOff>70817</xdr:rowOff>
    </xdr:from>
    <xdr:to>
      <xdr:col>11</xdr:col>
      <xdr:colOff>196976</xdr:colOff>
      <xdr:row>1291</xdr:row>
      <xdr:rowOff>76845</xdr:rowOff>
    </xdr:to>
    <xdr:cxnSp macro="_xll.PtreeEvent_ObjectClick">
      <xdr:nvCxnSpPr>
        <xdr:cNvPr id="2558" name="PTObj_DBranchDLine_1_639">
          <a:extLst>
            <a:ext uri="{FF2B5EF4-FFF2-40B4-BE49-F238E27FC236}">
              <a16:creationId xmlns:a16="http://schemas.microsoft.com/office/drawing/2014/main" id="{9A8DE261-1C82-4504-90BC-FEDB72E82774}"/>
            </a:ext>
          </a:extLst>
        </xdr:cNvPr>
        <xdr:cNvCxnSpPr/>
      </xdr:nvCxnSpPr>
      <xdr:spPr>
        <a:xfrm>
          <a:off x="19904201" y="2333475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1289</xdr:row>
      <xdr:rowOff>73025</xdr:rowOff>
    </xdr:from>
    <xdr:to>
      <xdr:col>10</xdr:col>
      <xdr:colOff>1392681</xdr:colOff>
      <xdr:row>1289</xdr:row>
      <xdr:rowOff>73025</xdr:rowOff>
    </xdr:to>
    <xdr:cxnSp macro="_xll.PtreeEvent_ObjectClick">
      <xdr:nvCxnSpPr>
        <xdr:cNvPr id="2555" name="PTObj_DBranchHLine_1_638">
          <a:extLst>
            <a:ext uri="{FF2B5EF4-FFF2-40B4-BE49-F238E27FC236}">
              <a16:creationId xmlns:a16="http://schemas.microsoft.com/office/drawing/2014/main" id="{62AF6641-E59D-4F15-AD81-998279EF9A8C}"/>
            </a:ext>
          </a:extLst>
        </xdr:cNvPr>
        <xdr:cNvCxnSpPr/>
      </xdr:nvCxnSpPr>
      <xdr:spPr>
        <a:xfrm>
          <a:off x="18628804" y="233349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1287</xdr:row>
      <xdr:rowOff>68907</xdr:rowOff>
    </xdr:from>
    <xdr:to>
      <xdr:col>10</xdr:col>
      <xdr:colOff>197929</xdr:colOff>
      <xdr:row>1289</xdr:row>
      <xdr:rowOff>73025</xdr:rowOff>
    </xdr:to>
    <xdr:cxnSp macro="_xll.PtreeEvent_ObjectClick">
      <xdr:nvCxnSpPr>
        <xdr:cNvPr id="2554" name="PTObj_DBranchDLine_1_638">
          <a:extLst>
            <a:ext uri="{FF2B5EF4-FFF2-40B4-BE49-F238E27FC236}">
              <a16:creationId xmlns:a16="http://schemas.microsoft.com/office/drawing/2014/main" id="{BCC6BC2E-0BDC-411A-BF1E-66AEFB8CFD12}"/>
            </a:ext>
          </a:extLst>
        </xdr:cNvPr>
        <xdr:cNvCxnSpPr/>
      </xdr:nvCxnSpPr>
      <xdr:spPr>
        <a:xfrm>
          <a:off x="18476404" y="2329837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1287</xdr:row>
      <xdr:rowOff>69205</xdr:rowOff>
    </xdr:from>
    <xdr:to>
      <xdr:col>9</xdr:col>
      <xdr:colOff>1388870</xdr:colOff>
      <xdr:row>1287</xdr:row>
      <xdr:rowOff>69205</xdr:rowOff>
    </xdr:to>
    <xdr:cxnSp macro="_xll.PtreeEvent_ObjectClick">
      <xdr:nvCxnSpPr>
        <xdr:cNvPr id="2551" name="PTObj_DBranchHLine_1_637">
          <a:extLst>
            <a:ext uri="{FF2B5EF4-FFF2-40B4-BE49-F238E27FC236}">
              <a16:creationId xmlns:a16="http://schemas.microsoft.com/office/drawing/2014/main" id="{CC48F220-C68A-4AF5-A1D6-004A6EA2E898}"/>
            </a:ext>
          </a:extLst>
        </xdr:cNvPr>
        <xdr:cNvCxnSpPr/>
      </xdr:nvCxnSpPr>
      <xdr:spPr>
        <a:xfrm>
          <a:off x="17206720" y="2329840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1285</xdr:row>
      <xdr:rowOff>63178</xdr:rowOff>
    </xdr:from>
    <xdr:to>
      <xdr:col>9</xdr:col>
      <xdr:colOff>204595</xdr:colOff>
      <xdr:row>1287</xdr:row>
      <xdr:rowOff>69205</xdr:rowOff>
    </xdr:to>
    <xdr:cxnSp macro="_xll.PtreeEvent_ObjectClick">
      <xdr:nvCxnSpPr>
        <xdr:cNvPr id="2550" name="PTObj_DBranchDLine_1_637">
          <a:extLst>
            <a:ext uri="{FF2B5EF4-FFF2-40B4-BE49-F238E27FC236}">
              <a16:creationId xmlns:a16="http://schemas.microsoft.com/office/drawing/2014/main" id="{9C06EAB7-1AD2-4DE9-830D-184CD7ED6210}"/>
            </a:ext>
          </a:extLst>
        </xdr:cNvPr>
        <xdr:cNvCxnSpPr/>
      </xdr:nvCxnSpPr>
      <xdr:spPr>
        <a:xfrm>
          <a:off x="17054320" y="2326160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1285</xdr:row>
      <xdr:rowOff>65410</xdr:rowOff>
    </xdr:from>
    <xdr:to>
      <xdr:col>8</xdr:col>
      <xdr:colOff>1392681</xdr:colOff>
      <xdr:row>1285</xdr:row>
      <xdr:rowOff>65410</xdr:rowOff>
    </xdr:to>
    <xdr:cxnSp macro="_xll.PtreeEvent_ObjectClick">
      <xdr:nvCxnSpPr>
        <xdr:cNvPr id="2547" name="PTObj_DBranchHLine_1_636">
          <a:extLst>
            <a:ext uri="{FF2B5EF4-FFF2-40B4-BE49-F238E27FC236}">
              <a16:creationId xmlns:a16="http://schemas.microsoft.com/office/drawing/2014/main" id="{7FA87238-4D93-4952-8306-AD08D2BFEE94}"/>
            </a:ext>
          </a:extLst>
        </xdr:cNvPr>
        <xdr:cNvCxnSpPr/>
      </xdr:nvCxnSpPr>
      <xdr:spPr>
        <a:xfrm>
          <a:off x="15782734" y="232618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1283</xdr:row>
      <xdr:rowOff>56530</xdr:rowOff>
    </xdr:from>
    <xdr:to>
      <xdr:col>8</xdr:col>
      <xdr:colOff>209359</xdr:colOff>
      <xdr:row>1285</xdr:row>
      <xdr:rowOff>65410</xdr:rowOff>
    </xdr:to>
    <xdr:cxnSp macro="_xll.PtreeEvent_ObjectClick">
      <xdr:nvCxnSpPr>
        <xdr:cNvPr id="2546" name="PTObj_DBranchDLine_1_636">
          <a:extLst>
            <a:ext uri="{FF2B5EF4-FFF2-40B4-BE49-F238E27FC236}">
              <a16:creationId xmlns:a16="http://schemas.microsoft.com/office/drawing/2014/main" id="{6C794142-EC4F-40C2-B8A9-8C78697EE274}"/>
            </a:ext>
          </a:extLst>
        </xdr:cNvPr>
        <xdr:cNvCxnSpPr/>
      </xdr:nvCxnSpPr>
      <xdr:spPr>
        <a:xfrm>
          <a:off x="15630334" y="2322474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1281</xdr:row>
      <xdr:rowOff>57795</xdr:rowOff>
    </xdr:from>
    <xdr:to>
      <xdr:col>11</xdr:col>
      <xdr:colOff>1392682</xdr:colOff>
      <xdr:row>1281</xdr:row>
      <xdr:rowOff>57795</xdr:rowOff>
    </xdr:to>
    <xdr:cxnSp macro="_xll.PtreeEvent_ObjectClick">
      <xdr:nvCxnSpPr>
        <xdr:cNvPr id="2543" name="PTObj_DBranchHLine_1_634">
          <a:extLst>
            <a:ext uri="{FF2B5EF4-FFF2-40B4-BE49-F238E27FC236}">
              <a16:creationId xmlns:a16="http://schemas.microsoft.com/office/drawing/2014/main" id="{BFF0C256-8DF7-4E04-AF10-C6AFDA4CD180}"/>
            </a:ext>
          </a:extLst>
        </xdr:cNvPr>
        <xdr:cNvCxnSpPr/>
      </xdr:nvCxnSpPr>
      <xdr:spPr>
        <a:xfrm>
          <a:off x="20056601" y="231886770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1279</xdr:row>
      <xdr:rowOff>41275</xdr:rowOff>
    </xdr:from>
    <xdr:to>
      <xdr:col>11</xdr:col>
      <xdr:colOff>196976</xdr:colOff>
      <xdr:row>1281</xdr:row>
      <xdr:rowOff>57795</xdr:rowOff>
    </xdr:to>
    <xdr:cxnSp macro="_xll.PtreeEvent_ObjectClick">
      <xdr:nvCxnSpPr>
        <xdr:cNvPr id="2542" name="PTObj_DBranchDLine_1_634">
          <a:extLst>
            <a:ext uri="{FF2B5EF4-FFF2-40B4-BE49-F238E27FC236}">
              <a16:creationId xmlns:a16="http://schemas.microsoft.com/office/drawing/2014/main" id="{752FC972-A665-4B29-AD8F-2A4EDF8F2745}"/>
            </a:ext>
          </a:extLst>
        </xdr:cNvPr>
        <xdr:cNvCxnSpPr/>
      </xdr:nvCxnSpPr>
      <xdr:spPr>
        <a:xfrm>
          <a:off x="19904201" y="2315083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1279</xdr:row>
      <xdr:rowOff>53975</xdr:rowOff>
    </xdr:from>
    <xdr:to>
      <xdr:col>10</xdr:col>
      <xdr:colOff>1392681</xdr:colOff>
      <xdr:row>1279</xdr:row>
      <xdr:rowOff>53975</xdr:rowOff>
    </xdr:to>
    <xdr:cxnSp macro="_xll.PtreeEvent_ObjectClick">
      <xdr:nvCxnSpPr>
        <xdr:cNvPr id="2539" name="PTObj_DBranchHLine_1_633">
          <a:extLst>
            <a:ext uri="{FF2B5EF4-FFF2-40B4-BE49-F238E27FC236}">
              <a16:creationId xmlns:a16="http://schemas.microsoft.com/office/drawing/2014/main" id="{BA979804-29DC-4FB2-A037-2F566A353E3E}"/>
            </a:ext>
          </a:extLst>
        </xdr:cNvPr>
        <xdr:cNvCxnSpPr/>
      </xdr:nvCxnSpPr>
      <xdr:spPr>
        <a:xfrm>
          <a:off x="18628804" y="231521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1277</xdr:row>
      <xdr:rowOff>38422</xdr:rowOff>
    </xdr:from>
    <xdr:to>
      <xdr:col>10</xdr:col>
      <xdr:colOff>197929</xdr:colOff>
      <xdr:row>1279</xdr:row>
      <xdr:rowOff>53975</xdr:rowOff>
    </xdr:to>
    <xdr:cxnSp macro="_xll.PtreeEvent_ObjectClick">
      <xdr:nvCxnSpPr>
        <xdr:cNvPr id="2538" name="PTObj_DBranchDLine_1_633">
          <a:extLst>
            <a:ext uri="{FF2B5EF4-FFF2-40B4-BE49-F238E27FC236}">
              <a16:creationId xmlns:a16="http://schemas.microsoft.com/office/drawing/2014/main" id="{E4CF800C-AA57-4539-91AD-D12CF9E62183}"/>
            </a:ext>
          </a:extLst>
        </xdr:cNvPr>
        <xdr:cNvCxnSpPr/>
      </xdr:nvCxnSpPr>
      <xdr:spPr>
        <a:xfrm>
          <a:off x="18476404" y="2311434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1277</xdr:row>
      <xdr:rowOff>50155</xdr:rowOff>
    </xdr:from>
    <xdr:to>
      <xdr:col>9</xdr:col>
      <xdr:colOff>1388870</xdr:colOff>
      <xdr:row>1277</xdr:row>
      <xdr:rowOff>50155</xdr:rowOff>
    </xdr:to>
    <xdr:cxnSp macro="_xll.PtreeEvent_ObjectClick">
      <xdr:nvCxnSpPr>
        <xdr:cNvPr id="2535" name="PTObj_DBranchHLine_1_632">
          <a:extLst>
            <a:ext uri="{FF2B5EF4-FFF2-40B4-BE49-F238E27FC236}">
              <a16:creationId xmlns:a16="http://schemas.microsoft.com/office/drawing/2014/main" id="{1AF5E504-CC89-41A1-BCAC-7F3A47E091DB}"/>
            </a:ext>
          </a:extLst>
        </xdr:cNvPr>
        <xdr:cNvCxnSpPr/>
      </xdr:nvCxnSpPr>
      <xdr:spPr>
        <a:xfrm>
          <a:off x="17206720" y="2311552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1275</xdr:row>
      <xdr:rowOff>37480</xdr:rowOff>
    </xdr:from>
    <xdr:to>
      <xdr:col>9</xdr:col>
      <xdr:colOff>204595</xdr:colOff>
      <xdr:row>1277</xdr:row>
      <xdr:rowOff>50155</xdr:rowOff>
    </xdr:to>
    <xdr:cxnSp macro="_xll.PtreeEvent_ObjectClick">
      <xdr:nvCxnSpPr>
        <xdr:cNvPr id="2534" name="PTObj_DBranchDLine_1_632">
          <a:extLst>
            <a:ext uri="{FF2B5EF4-FFF2-40B4-BE49-F238E27FC236}">
              <a16:creationId xmlns:a16="http://schemas.microsoft.com/office/drawing/2014/main" id="{63AC0287-688A-4C7A-BBE5-5901AAAA0FE4}"/>
            </a:ext>
          </a:extLst>
        </xdr:cNvPr>
        <xdr:cNvCxnSpPr/>
      </xdr:nvCxnSpPr>
      <xdr:spPr>
        <a:xfrm>
          <a:off x="17054320" y="2307806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1275</xdr:row>
      <xdr:rowOff>46360</xdr:rowOff>
    </xdr:from>
    <xdr:to>
      <xdr:col>8</xdr:col>
      <xdr:colOff>1392681</xdr:colOff>
      <xdr:row>1275</xdr:row>
      <xdr:rowOff>46360</xdr:rowOff>
    </xdr:to>
    <xdr:cxnSp macro="_xll.PtreeEvent_ObjectClick">
      <xdr:nvCxnSpPr>
        <xdr:cNvPr id="2531" name="PTObj_DBranchHLine_1_631">
          <a:extLst>
            <a:ext uri="{FF2B5EF4-FFF2-40B4-BE49-F238E27FC236}">
              <a16:creationId xmlns:a16="http://schemas.microsoft.com/office/drawing/2014/main" id="{B65C1942-EADC-4DD7-A851-37BAC038757E}"/>
            </a:ext>
          </a:extLst>
        </xdr:cNvPr>
        <xdr:cNvCxnSpPr/>
      </xdr:nvCxnSpPr>
      <xdr:spPr>
        <a:xfrm>
          <a:off x="15782734" y="230789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1275</xdr:row>
      <xdr:rowOff>46360</xdr:rowOff>
    </xdr:from>
    <xdr:to>
      <xdr:col>8</xdr:col>
      <xdr:colOff>209359</xdr:colOff>
      <xdr:row>1283</xdr:row>
      <xdr:rowOff>56530</xdr:rowOff>
    </xdr:to>
    <xdr:cxnSp macro="_xll.PtreeEvent_ObjectClick">
      <xdr:nvCxnSpPr>
        <xdr:cNvPr id="2530" name="PTObj_DBranchDLine_1_631">
          <a:extLst>
            <a:ext uri="{FF2B5EF4-FFF2-40B4-BE49-F238E27FC236}">
              <a16:creationId xmlns:a16="http://schemas.microsoft.com/office/drawing/2014/main" id="{6D6FE549-83C8-4028-AD89-890860099D63}"/>
            </a:ext>
          </a:extLst>
        </xdr:cNvPr>
        <xdr:cNvCxnSpPr/>
      </xdr:nvCxnSpPr>
      <xdr:spPr>
        <a:xfrm flipV="1">
          <a:off x="15630334" y="2307894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1283</xdr:row>
      <xdr:rowOff>61590</xdr:rowOff>
    </xdr:from>
    <xdr:to>
      <xdr:col>7</xdr:col>
      <xdr:colOff>1398397</xdr:colOff>
      <xdr:row>1283</xdr:row>
      <xdr:rowOff>61590</xdr:rowOff>
    </xdr:to>
    <xdr:cxnSp macro="_xll.PtreeEvent_ObjectClick">
      <xdr:nvCxnSpPr>
        <xdr:cNvPr id="2527" name="PTObj_DBranchHLine_1_635">
          <a:extLst>
            <a:ext uri="{FF2B5EF4-FFF2-40B4-BE49-F238E27FC236}">
              <a16:creationId xmlns:a16="http://schemas.microsoft.com/office/drawing/2014/main" id="{26D06599-F2B0-4152-9459-49B67AE5CAD9}"/>
            </a:ext>
          </a:extLst>
        </xdr:cNvPr>
        <xdr:cNvCxnSpPr/>
      </xdr:nvCxnSpPr>
      <xdr:spPr>
        <a:xfrm>
          <a:off x="14362557" y="2322525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1273</xdr:row>
      <xdr:rowOff>39390</xdr:rowOff>
    </xdr:from>
    <xdr:to>
      <xdr:col>7</xdr:col>
      <xdr:colOff>217932</xdr:colOff>
      <xdr:row>1283</xdr:row>
      <xdr:rowOff>61590</xdr:rowOff>
    </xdr:to>
    <xdr:cxnSp macro="_xll.PtreeEvent_ObjectClick">
      <xdr:nvCxnSpPr>
        <xdr:cNvPr id="2526" name="PTObj_DBranchDLine_1_635">
          <a:extLst>
            <a:ext uri="{FF2B5EF4-FFF2-40B4-BE49-F238E27FC236}">
              <a16:creationId xmlns:a16="http://schemas.microsoft.com/office/drawing/2014/main" id="{83D24AAA-E111-4057-ADA7-0ED9742BDA77}"/>
            </a:ext>
          </a:extLst>
        </xdr:cNvPr>
        <xdr:cNvCxnSpPr/>
      </xdr:nvCxnSpPr>
      <xdr:spPr>
        <a:xfrm>
          <a:off x="14210157" y="2304205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1271</xdr:row>
      <xdr:rowOff>38745</xdr:rowOff>
    </xdr:from>
    <xdr:to>
      <xdr:col>11</xdr:col>
      <xdr:colOff>1385063</xdr:colOff>
      <xdr:row>1271</xdr:row>
      <xdr:rowOff>38745</xdr:rowOff>
    </xdr:to>
    <xdr:cxnSp macro="_xll.PtreeEvent_ObjectClick">
      <xdr:nvCxnSpPr>
        <xdr:cNvPr id="2523" name="PTObj_DBranchHLine_1_629">
          <a:extLst>
            <a:ext uri="{FF2B5EF4-FFF2-40B4-BE49-F238E27FC236}">
              <a16:creationId xmlns:a16="http://schemas.microsoft.com/office/drawing/2014/main" id="{DF207122-2407-4842-BF66-05C5AB96F3F9}"/>
            </a:ext>
          </a:extLst>
        </xdr:cNvPr>
        <xdr:cNvCxnSpPr/>
      </xdr:nvCxnSpPr>
      <xdr:spPr>
        <a:xfrm>
          <a:off x="20056601" y="2300579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1269</xdr:row>
      <xdr:rowOff>32717</xdr:rowOff>
    </xdr:from>
    <xdr:to>
      <xdr:col>11</xdr:col>
      <xdr:colOff>196976</xdr:colOff>
      <xdr:row>1271</xdr:row>
      <xdr:rowOff>38745</xdr:rowOff>
    </xdr:to>
    <xdr:cxnSp macro="_xll.PtreeEvent_ObjectClick">
      <xdr:nvCxnSpPr>
        <xdr:cNvPr id="2522" name="PTObj_DBranchDLine_1_629">
          <a:extLst>
            <a:ext uri="{FF2B5EF4-FFF2-40B4-BE49-F238E27FC236}">
              <a16:creationId xmlns:a16="http://schemas.microsoft.com/office/drawing/2014/main" id="{88568EA7-E5DC-4721-8CED-C75DA9B96524}"/>
            </a:ext>
          </a:extLst>
        </xdr:cNvPr>
        <xdr:cNvCxnSpPr/>
      </xdr:nvCxnSpPr>
      <xdr:spPr>
        <a:xfrm>
          <a:off x="19904201" y="2296899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1269</xdr:row>
      <xdr:rowOff>34925</xdr:rowOff>
    </xdr:from>
    <xdr:to>
      <xdr:col>10</xdr:col>
      <xdr:colOff>1392681</xdr:colOff>
      <xdr:row>1269</xdr:row>
      <xdr:rowOff>34925</xdr:rowOff>
    </xdr:to>
    <xdr:cxnSp macro="_xll.PtreeEvent_ObjectClick">
      <xdr:nvCxnSpPr>
        <xdr:cNvPr id="2519" name="PTObj_DBranchHLine_1_628">
          <a:extLst>
            <a:ext uri="{FF2B5EF4-FFF2-40B4-BE49-F238E27FC236}">
              <a16:creationId xmlns:a16="http://schemas.microsoft.com/office/drawing/2014/main" id="{AA422BCD-2AD4-4EB1-A416-7367332C6BE4}"/>
            </a:ext>
          </a:extLst>
        </xdr:cNvPr>
        <xdr:cNvCxnSpPr/>
      </xdr:nvCxnSpPr>
      <xdr:spPr>
        <a:xfrm>
          <a:off x="18628804" y="229692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1267</xdr:row>
      <xdr:rowOff>30807</xdr:rowOff>
    </xdr:from>
    <xdr:to>
      <xdr:col>10</xdr:col>
      <xdr:colOff>197929</xdr:colOff>
      <xdr:row>1269</xdr:row>
      <xdr:rowOff>34925</xdr:rowOff>
    </xdr:to>
    <xdr:cxnSp macro="_xll.PtreeEvent_ObjectClick">
      <xdr:nvCxnSpPr>
        <xdr:cNvPr id="2518" name="PTObj_DBranchDLine_1_628">
          <a:extLst>
            <a:ext uri="{FF2B5EF4-FFF2-40B4-BE49-F238E27FC236}">
              <a16:creationId xmlns:a16="http://schemas.microsoft.com/office/drawing/2014/main" id="{DA1FDC3E-271D-4849-8876-C937ED14F2D5}"/>
            </a:ext>
          </a:extLst>
        </xdr:cNvPr>
        <xdr:cNvCxnSpPr/>
      </xdr:nvCxnSpPr>
      <xdr:spPr>
        <a:xfrm>
          <a:off x="18476404" y="2293261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1267</xdr:row>
      <xdr:rowOff>31105</xdr:rowOff>
    </xdr:from>
    <xdr:to>
      <xdr:col>9</xdr:col>
      <xdr:colOff>1388870</xdr:colOff>
      <xdr:row>1267</xdr:row>
      <xdr:rowOff>31105</xdr:rowOff>
    </xdr:to>
    <xdr:cxnSp macro="_xll.PtreeEvent_ObjectClick">
      <xdr:nvCxnSpPr>
        <xdr:cNvPr id="2515" name="PTObj_DBranchHLine_1_627">
          <a:extLst>
            <a:ext uri="{FF2B5EF4-FFF2-40B4-BE49-F238E27FC236}">
              <a16:creationId xmlns:a16="http://schemas.microsoft.com/office/drawing/2014/main" id="{B3D9D23E-BD4C-4B77-B5C3-8694760B8B5B}"/>
            </a:ext>
          </a:extLst>
        </xdr:cNvPr>
        <xdr:cNvCxnSpPr/>
      </xdr:nvCxnSpPr>
      <xdr:spPr>
        <a:xfrm>
          <a:off x="17206720" y="2293264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1265</xdr:row>
      <xdr:rowOff>25078</xdr:rowOff>
    </xdr:from>
    <xdr:to>
      <xdr:col>9</xdr:col>
      <xdr:colOff>204595</xdr:colOff>
      <xdr:row>1267</xdr:row>
      <xdr:rowOff>31105</xdr:rowOff>
    </xdr:to>
    <xdr:cxnSp macro="_xll.PtreeEvent_ObjectClick">
      <xdr:nvCxnSpPr>
        <xdr:cNvPr id="2514" name="PTObj_DBranchDLine_1_627">
          <a:extLst>
            <a:ext uri="{FF2B5EF4-FFF2-40B4-BE49-F238E27FC236}">
              <a16:creationId xmlns:a16="http://schemas.microsoft.com/office/drawing/2014/main" id="{5C7F7ECA-69EB-48FA-A9AB-1BABAE11551B}"/>
            </a:ext>
          </a:extLst>
        </xdr:cNvPr>
        <xdr:cNvCxnSpPr/>
      </xdr:nvCxnSpPr>
      <xdr:spPr>
        <a:xfrm>
          <a:off x="17054320" y="2289584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1265</xdr:row>
      <xdr:rowOff>27310</xdr:rowOff>
    </xdr:from>
    <xdr:to>
      <xdr:col>8</xdr:col>
      <xdr:colOff>1392681</xdr:colOff>
      <xdr:row>1265</xdr:row>
      <xdr:rowOff>27310</xdr:rowOff>
    </xdr:to>
    <xdr:cxnSp macro="_xll.PtreeEvent_ObjectClick">
      <xdr:nvCxnSpPr>
        <xdr:cNvPr id="2511" name="PTObj_DBranchHLine_1_626">
          <a:extLst>
            <a:ext uri="{FF2B5EF4-FFF2-40B4-BE49-F238E27FC236}">
              <a16:creationId xmlns:a16="http://schemas.microsoft.com/office/drawing/2014/main" id="{58CBC438-4A55-4201-8E21-8051924F2B06}"/>
            </a:ext>
          </a:extLst>
        </xdr:cNvPr>
        <xdr:cNvCxnSpPr/>
      </xdr:nvCxnSpPr>
      <xdr:spPr>
        <a:xfrm>
          <a:off x="15782734" y="228960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1263</xdr:row>
      <xdr:rowOff>18430</xdr:rowOff>
    </xdr:from>
    <xdr:to>
      <xdr:col>8</xdr:col>
      <xdr:colOff>209359</xdr:colOff>
      <xdr:row>1265</xdr:row>
      <xdr:rowOff>27310</xdr:rowOff>
    </xdr:to>
    <xdr:cxnSp macro="_xll.PtreeEvent_ObjectClick">
      <xdr:nvCxnSpPr>
        <xdr:cNvPr id="2510" name="PTObj_DBranchDLine_1_626">
          <a:extLst>
            <a:ext uri="{FF2B5EF4-FFF2-40B4-BE49-F238E27FC236}">
              <a16:creationId xmlns:a16="http://schemas.microsoft.com/office/drawing/2014/main" id="{220E392D-ABF4-42FE-A0C4-3C0F2D65AE26}"/>
            </a:ext>
          </a:extLst>
        </xdr:cNvPr>
        <xdr:cNvCxnSpPr/>
      </xdr:nvCxnSpPr>
      <xdr:spPr>
        <a:xfrm>
          <a:off x="15630334" y="2285898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1261</xdr:row>
      <xdr:rowOff>19695</xdr:rowOff>
    </xdr:from>
    <xdr:to>
      <xdr:col>11</xdr:col>
      <xdr:colOff>1392682</xdr:colOff>
      <xdr:row>1261</xdr:row>
      <xdr:rowOff>19695</xdr:rowOff>
    </xdr:to>
    <xdr:cxnSp macro="_xll.PtreeEvent_ObjectClick">
      <xdr:nvCxnSpPr>
        <xdr:cNvPr id="2507" name="PTObj_DBranchHLine_1_624">
          <a:extLst>
            <a:ext uri="{FF2B5EF4-FFF2-40B4-BE49-F238E27FC236}">
              <a16:creationId xmlns:a16="http://schemas.microsoft.com/office/drawing/2014/main" id="{78CFFB37-AEDD-4601-AE2F-0129BEEE94B0}"/>
            </a:ext>
          </a:extLst>
        </xdr:cNvPr>
        <xdr:cNvCxnSpPr/>
      </xdr:nvCxnSpPr>
      <xdr:spPr>
        <a:xfrm>
          <a:off x="20056601" y="228229170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1259</xdr:row>
      <xdr:rowOff>3175</xdr:rowOff>
    </xdr:from>
    <xdr:to>
      <xdr:col>11</xdr:col>
      <xdr:colOff>196976</xdr:colOff>
      <xdr:row>1261</xdr:row>
      <xdr:rowOff>19695</xdr:rowOff>
    </xdr:to>
    <xdr:cxnSp macro="_xll.PtreeEvent_ObjectClick">
      <xdr:nvCxnSpPr>
        <xdr:cNvPr id="2506" name="PTObj_DBranchDLine_1_624">
          <a:extLst>
            <a:ext uri="{FF2B5EF4-FFF2-40B4-BE49-F238E27FC236}">
              <a16:creationId xmlns:a16="http://schemas.microsoft.com/office/drawing/2014/main" id="{65084C90-FF51-40B0-A6CB-6621ADEA7D18}"/>
            </a:ext>
          </a:extLst>
        </xdr:cNvPr>
        <xdr:cNvCxnSpPr/>
      </xdr:nvCxnSpPr>
      <xdr:spPr>
        <a:xfrm>
          <a:off x="19904201" y="2278507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1259</xdr:row>
      <xdr:rowOff>15875</xdr:rowOff>
    </xdr:from>
    <xdr:to>
      <xdr:col>10</xdr:col>
      <xdr:colOff>1392681</xdr:colOff>
      <xdr:row>1259</xdr:row>
      <xdr:rowOff>15875</xdr:rowOff>
    </xdr:to>
    <xdr:cxnSp macro="_xll.PtreeEvent_ObjectClick">
      <xdr:nvCxnSpPr>
        <xdr:cNvPr id="2503" name="PTObj_DBranchHLine_1_623">
          <a:extLst>
            <a:ext uri="{FF2B5EF4-FFF2-40B4-BE49-F238E27FC236}">
              <a16:creationId xmlns:a16="http://schemas.microsoft.com/office/drawing/2014/main" id="{3B6788EE-3E15-45EC-BD16-E21B5502A9A5}"/>
            </a:ext>
          </a:extLst>
        </xdr:cNvPr>
        <xdr:cNvCxnSpPr/>
      </xdr:nvCxnSpPr>
      <xdr:spPr>
        <a:xfrm>
          <a:off x="18628804" y="227863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1257</xdr:row>
      <xdr:rowOff>322</xdr:rowOff>
    </xdr:from>
    <xdr:to>
      <xdr:col>10</xdr:col>
      <xdr:colOff>197929</xdr:colOff>
      <xdr:row>1259</xdr:row>
      <xdr:rowOff>15875</xdr:rowOff>
    </xdr:to>
    <xdr:cxnSp macro="_xll.PtreeEvent_ObjectClick">
      <xdr:nvCxnSpPr>
        <xdr:cNvPr id="2502" name="PTObj_DBranchDLine_1_623">
          <a:extLst>
            <a:ext uri="{FF2B5EF4-FFF2-40B4-BE49-F238E27FC236}">
              <a16:creationId xmlns:a16="http://schemas.microsoft.com/office/drawing/2014/main" id="{60802DF7-0740-4AF3-856D-A7197C6DEB80}"/>
            </a:ext>
          </a:extLst>
        </xdr:cNvPr>
        <xdr:cNvCxnSpPr/>
      </xdr:nvCxnSpPr>
      <xdr:spPr>
        <a:xfrm>
          <a:off x="18476404" y="2274858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1257</xdr:row>
      <xdr:rowOff>12055</xdr:rowOff>
    </xdr:from>
    <xdr:to>
      <xdr:col>9</xdr:col>
      <xdr:colOff>1388870</xdr:colOff>
      <xdr:row>1257</xdr:row>
      <xdr:rowOff>12055</xdr:rowOff>
    </xdr:to>
    <xdr:cxnSp macro="_xll.PtreeEvent_ObjectClick">
      <xdr:nvCxnSpPr>
        <xdr:cNvPr id="2499" name="PTObj_DBranchHLine_1_622">
          <a:extLst>
            <a:ext uri="{FF2B5EF4-FFF2-40B4-BE49-F238E27FC236}">
              <a16:creationId xmlns:a16="http://schemas.microsoft.com/office/drawing/2014/main" id="{34147993-A4D6-4615-8EF9-7ADA5DEA41A1}"/>
            </a:ext>
          </a:extLst>
        </xdr:cNvPr>
        <xdr:cNvCxnSpPr/>
      </xdr:nvCxnSpPr>
      <xdr:spPr>
        <a:xfrm>
          <a:off x="17206720" y="2274976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1254</xdr:row>
      <xdr:rowOff>180355</xdr:rowOff>
    </xdr:from>
    <xdr:to>
      <xdr:col>9</xdr:col>
      <xdr:colOff>204595</xdr:colOff>
      <xdr:row>1257</xdr:row>
      <xdr:rowOff>12055</xdr:rowOff>
    </xdr:to>
    <xdr:cxnSp macro="_xll.PtreeEvent_ObjectClick">
      <xdr:nvCxnSpPr>
        <xdr:cNvPr id="2498" name="PTObj_DBranchDLine_1_622">
          <a:extLst>
            <a:ext uri="{FF2B5EF4-FFF2-40B4-BE49-F238E27FC236}">
              <a16:creationId xmlns:a16="http://schemas.microsoft.com/office/drawing/2014/main" id="{BA8C4BD8-C193-437E-88EF-55C86FD16B19}"/>
            </a:ext>
          </a:extLst>
        </xdr:cNvPr>
        <xdr:cNvCxnSpPr/>
      </xdr:nvCxnSpPr>
      <xdr:spPr>
        <a:xfrm>
          <a:off x="17054320" y="2271230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1255</xdr:row>
      <xdr:rowOff>8260</xdr:rowOff>
    </xdr:from>
    <xdr:to>
      <xdr:col>8</xdr:col>
      <xdr:colOff>1392681</xdr:colOff>
      <xdr:row>1255</xdr:row>
      <xdr:rowOff>8260</xdr:rowOff>
    </xdr:to>
    <xdr:cxnSp macro="_xll.PtreeEvent_ObjectClick">
      <xdr:nvCxnSpPr>
        <xdr:cNvPr id="2495" name="PTObj_DBranchHLine_1_621">
          <a:extLst>
            <a:ext uri="{FF2B5EF4-FFF2-40B4-BE49-F238E27FC236}">
              <a16:creationId xmlns:a16="http://schemas.microsoft.com/office/drawing/2014/main" id="{7F305D5F-C86B-4A1B-BAB2-C579063C47C7}"/>
            </a:ext>
          </a:extLst>
        </xdr:cNvPr>
        <xdr:cNvCxnSpPr/>
      </xdr:nvCxnSpPr>
      <xdr:spPr>
        <a:xfrm>
          <a:off x="15782734" y="227131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1255</xdr:row>
      <xdr:rowOff>8260</xdr:rowOff>
    </xdr:from>
    <xdr:to>
      <xdr:col>8</xdr:col>
      <xdr:colOff>209359</xdr:colOff>
      <xdr:row>1263</xdr:row>
      <xdr:rowOff>18430</xdr:rowOff>
    </xdr:to>
    <xdr:cxnSp macro="_xll.PtreeEvent_ObjectClick">
      <xdr:nvCxnSpPr>
        <xdr:cNvPr id="2494" name="PTObj_DBranchDLine_1_621">
          <a:extLst>
            <a:ext uri="{FF2B5EF4-FFF2-40B4-BE49-F238E27FC236}">
              <a16:creationId xmlns:a16="http://schemas.microsoft.com/office/drawing/2014/main" id="{2F650BE8-E9A5-4888-8D55-C5AEDBCD76B9}"/>
            </a:ext>
          </a:extLst>
        </xdr:cNvPr>
        <xdr:cNvCxnSpPr/>
      </xdr:nvCxnSpPr>
      <xdr:spPr>
        <a:xfrm flipV="1">
          <a:off x="15630334" y="2271318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1263</xdr:row>
      <xdr:rowOff>23490</xdr:rowOff>
    </xdr:from>
    <xdr:to>
      <xdr:col>7</xdr:col>
      <xdr:colOff>1398397</xdr:colOff>
      <xdr:row>1263</xdr:row>
      <xdr:rowOff>23490</xdr:rowOff>
    </xdr:to>
    <xdr:cxnSp macro="_xll.PtreeEvent_ObjectClick">
      <xdr:nvCxnSpPr>
        <xdr:cNvPr id="2491" name="PTObj_DBranchHLine_1_625">
          <a:extLst>
            <a:ext uri="{FF2B5EF4-FFF2-40B4-BE49-F238E27FC236}">
              <a16:creationId xmlns:a16="http://schemas.microsoft.com/office/drawing/2014/main" id="{C6155B03-8AC7-4A91-ACD7-AE352A5B11EE}"/>
            </a:ext>
          </a:extLst>
        </xdr:cNvPr>
        <xdr:cNvCxnSpPr/>
      </xdr:nvCxnSpPr>
      <xdr:spPr>
        <a:xfrm>
          <a:off x="14360652" y="2285949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1263</xdr:row>
      <xdr:rowOff>23490</xdr:rowOff>
    </xdr:from>
    <xdr:to>
      <xdr:col>7</xdr:col>
      <xdr:colOff>216027</xdr:colOff>
      <xdr:row>1273</xdr:row>
      <xdr:rowOff>37480</xdr:rowOff>
    </xdr:to>
    <xdr:cxnSp macro="_xll.PtreeEvent_ObjectClick">
      <xdr:nvCxnSpPr>
        <xdr:cNvPr id="2490" name="PTObj_DBranchDLine_1_625">
          <a:extLst>
            <a:ext uri="{FF2B5EF4-FFF2-40B4-BE49-F238E27FC236}">
              <a16:creationId xmlns:a16="http://schemas.microsoft.com/office/drawing/2014/main" id="{77210902-5F83-4719-A258-13B2AE5B879E}"/>
            </a:ext>
          </a:extLst>
        </xdr:cNvPr>
        <xdr:cNvCxnSpPr/>
      </xdr:nvCxnSpPr>
      <xdr:spPr>
        <a:xfrm flipV="1">
          <a:off x="14208252" y="2285949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1273</xdr:row>
      <xdr:rowOff>42540</xdr:rowOff>
    </xdr:from>
    <xdr:to>
      <xdr:col>6</xdr:col>
      <xdr:colOff>1402207</xdr:colOff>
      <xdr:row>1273</xdr:row>
      <xdr:rowOff>42540</xdr:rowOff>
    </xdr:to>
    <xdr:cxnSp macro="_xll.PtreeEvent_ObjectClick">
      <xdr:nvCxnSpPr>
        <xdr:cNvPr id="2487" name="PTObj_DBranchHLine_1_630">
          <a:extLst>
            <a:ext uri="{FF2B5EF4-FFF2-40B4-BE49-F238E27FC236}">
              <a16:creationId xmlns:a16="http://schemas.microsoft.com/office/drawing/2014/main" id="{71EB4EFD-5941-46D0-A039-6C8479364B93}"/>
            </a:ext>
          </a:extLst>
        </xdr:cNvPr>
        <xdr:cNvCxnSpPr/>
      </xdr:nvCxnSpPr>
      <xdr:spPr>
        <a:xfrm>
          <a:off x="12936665" y="230423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1253</xdr:row>
      <xdr:rowOff>1290</xdr:rowOff>
    </xdr:from>
    <xdr:to>
      <xdr:col>6</xdr:col>
      <xdr:colOff>220790</xdr:colOff>
      <xdr:row>1273</xdr:row>
      <xdr:rowOff>42540</xdr:rowOff>
    </xdr:to>
    <xdr:cxnSp macro="_xll.PtreeEvent_ObjectClick">
      <xdr:nvCxnSpPr>
        <xdr:cNvPr id="2486" name="PTObj_DBranchDLine_1_630">
          <a:extLst>
            <a:ext uri="{FF2B5EF4-FFF2-40B4-BE49-F238E27FC236}">
              <a16:creationId xmlns:a16="http://schemas.microsoft.com/office/drawing/2014/main" id="{DBC91F6F-6906-4D88-9540-1FA0651DDA22}"/>
            </a:ext>
          </a:extLst>
        </xdr:cNvPr>
        <xdr:cNvCxnSpPr/>
      </xdr:nvCxnSpPr>
      <xdr:spPr>
        <a:xfrm>
          <a:off x="12784265" y="226762965"/>
          <a:ext cx="152400" cy="36607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1251</xdr:row>
      <xdr:rowOff>645</xdr:rowOff>
    </xdr:from>
    <xdr:to>
      <xdr:col>11</xdr:col>
      <xdr:colOff>1385063</xdr:colOff>
      <xdr:row>1251</xdr:row>
      <xdr:rowOff>645</xdr:rowOff>
    </xdr:to>
    <xdr:cxnSp macro="_xll.PtreeEvent_ObjectClick">
      <xdr:nvCxnSpPr>
        <xdr:cNvPr id="2483" name="PTObj_DBranchHLine_1_619">
          <a:extLst>
            <a:ext uri="{FF2B5EF4-FFF2-40B4-BE49-F238E27FC236}">
              <a16:creationId xmlns:a16="http://schemas.microsoft.com/office/drawing/2014/main" id="{F8AE72F6-0C1A-4340-9B4D-F20E6DBBE2BA}"/>
            </a:ext>
          </a:extLst>
        </xdr:cNvPr>
        <xdr:cNvCxnSpPr/>
      </xdr:nvCxnSpPr>
      <xdr:spPr>
        <a:xfrm>
          <a:off x="20056601" y="2264003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1248</xdr:row>
      <xdr:rowOff>175592</xdr:rowOff>
    </xdr:from>
    <xdr:to>
      <xdr:col>11</xdr:col>
      <xdr:colOff>196976</xdr:colOff>
      <xdr:row>1251</xdr:row>
      <xdr:rowOff>645</xdr:rowOff>
    </xdr:to>
    <xdr:cxnSp macro="_xll.PtreeEvent_ObjectClick">
      <xdr:nvCxnSpPr>
        <xdr:cNvPr id="2482" name="PTObj_DBranchDLine_1_619">
          <a:extLst>
            <a:ext uri="{FF2B5EF4-FFF2-40B4-BE49-F238E27FC236}">
              <a16:creationId xmlns:a16="http://schemas.microsoft.com/office/drawing/2014/main" id="{ABA44A53-314A-48A8-9787-0FE7BD3FFF76}"/>
            </a:ext>
          </a:extLst>
        </xdr:cNvPr>
        <xdr:cNvCxnSpPr/>
      </xdr:nvCxnSpPr>
      <xdr:spPr>
        <a:xfrm>
          <a:off x="19904201" y="2260323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1248</xdr:row>
      <xdr:rowOff>177800</xdr:rowOff>
    </xdr:from>
    <xdr:to>
      <xdr:col>10</xdr:col>
      <xdr:colOff>1392681</xdr:colOff>
      <xdr:row>1248</xdr:row>
      <xdr:rowOff>177800</xdr:rowOff>
    </xdr:to>
    <xdr:cxnSp macro="_xll.PtreeEvent_ObjectClick">
      <xdr:nvCxnSpPr>
        <xdr:cNvPr id="2479" name="PTObj_DBranchHLine_1_618">
          <a:extLst>
            <a:ext uri="{FF2B5EF4-FFF2-40B4-BE49-F238E27FC236}">
              <a16:creationId xmlns:a16="http://schemas.microsoft.com/office/drawing/2014/main" id="{3C14E3A9-E56E-4CB4-A471-73AA6D07C0E3}"/>
            </a:ext>
          </a:extLst>
        </xdr:cNvPr>
        <xdr:cNvCxnSpPr/>
      </xdr:nvCxnSpPr>
      <xdr:spPr>
        <a:xfrm>
          <a:off x="18628804" y="226034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1246</xdr:row>
      <xdr:rowOff>173682</xdr:rowOff>
    </xdr:from>
    <xdr:to>
      <xdr:col>10</xdr:col>
      <xdr:colOff>197929</xdr:colOff>
      <xdr:row>1248</xdr:row>
      <xdr:rowOff>177800</xdr:rowOff>
    </xdr:to>
    <xdr:cxnSp macro="_xll.PtreeEvent_ObjectClick">
      <xdr:nvCxnSpPr>
        <xdr:cNvPr id="2478" name="PTObj_DBranchDLine_1_618">
          <a:extLst>
            <a:ext uri="{FF2B5EF4-FFF2-40B4-BE49-F238E27FC236}">
              <a16:creationId xmlns:a16="http://schemas.microsoft.com/office/drawing/2014/main" id="{AA6D690D-330F-4E3A-9952-86A23F2468A7}"/>
            </a:ext>
          </a:extLst>
        </xdr:cNvPr>
        <xdr:cNvCxnSpPr/>
      </xdr:nvCxnSpPr>
      <xdr:spPr>
        <a:xfrm>
          <a:off x="18476404" y="2256685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1246</xdr:row>
      <xdr:rowOff>173980</xdr:rowOff>
    </xdr:from>
    <xdr:to>
      <xdr:col>9</xdr:col>
      <xdr:colOff>1388870</xdr:colOff>
      <xdr:row>1246</xdr:row>
      <xdr:rowOff>173980</xdr:rowOff>
    </xdr:to>
    <xdr:cxnSp macro="_xll.PtreeEvent_ObjectClick">
      <xdr:nvCxnSpPr>
        <xdr:cNvPr id="2475" name="PTObj_DBranchHLine_1_617">
          <a:extLst>
            <a:ext uri="{FF2B5EF4-FFF2-40B4-BE49-F238E27FC236}">
              <a16:creationId xmlns:a16="http://schemas.microsoft.com/office/drawing/2014/main" id="{61949FC4-B5E6-4EAF-AE4C-8408D7FFE731}"/>
            </a:ext>
          </a:extLst>
        </xdr:cNvPr>
        <xdr:cNvCxnSpPr/>
      </xdr:nvCxnSpPr>
      <xdr:spPr>
        <a:xfrm>
          <a:off x="17206720" y="2256688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1244</xdr:row>
      <xdr:rowOff>167953</xdr:rowOff>
    </xdr:from>
    <xdr:to>
      <xdr:col>9</xdr:col>
      <xdr:colOff>204595</xdr:colOff>
      <xdr:row>1246</xdr:row>
      <xdr:rowOff>173980</xdr:rowOff>
    </xdr:to>
    <xdr:cxnSp macro="_xll.PtreeEvent_ObjectClick">
      <xdr:nvCxnSpPr>
        <xdr:cNvPr id="2474" name="PTObj_DBranchDLine_1_617">
          <a:extLst>
            <a:ext uri="{FF2B5EF4-FFF2-40B4-BE49-F238E27FC236}">
              <a16:creationId xmlns:a16="http://schemas.microsoft.com/office/drawing/2014/main" id="{174F2F34-05C6-469F-B82E-411114FACF07}"/>
            </a:ext>
          </a:extLst>
        </xdr:cNvPr>
        <xdr:cNvCxnSpPr/>
      </xdr:nvCxnSpPr>
      <xdr:spPr>
        <a:xfrm>
          <a:off x="17054320" y="2253008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1244</xdr:row>
      <xdr:rowOff>170185</xdr:rowOff>
    </xdr:from>
    <xdr:to>
      <xdr:col>8</xdr:col>
      <xdr:colOff>1392681</xdr:colOff>
      <xdr:row>1244</xdr:row>
      <xdr:rowOff>170185</xdr:rowOff>
    </xdr:to>
    <xdr:cxnSp macro="_xll.PtreeEvent_ObjectClick">
      <xdr:nvCxnSpPr>
        <xdr:cNvPr id="2471" name="PTObj_DBranchHLine_1_616">
          <a:extLst>
            <a:ext uri="{FF2B5EF4-FFF2-40B4-BE49-F238E27FC236}">
              <a16:creationId xmlns:a16="http://schemas.microsoft.com/office/drawing/2014/main" id="{57BCB261-92E3-405B-8F2B-15FDF2CE831D}"/>
            </a:ext>
          </a:extLst>
        </xdr:cNvPr>
        <xdr:cNvCxnSpPr/>
      </xdr:nvCxnSpPr>
      <xdr:spPr>
        <a:xfrm>
          <a:off x="15782734" y="225303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1242</xdr:row>
      <xdr:rowOff>161305</xdr:rowOff>
    </xdr:from>
    <xdr:to>
      <xdr:col>8</xdr:col>
      <xdr:colOff>209359</xdr:colOff>
      <xdr:row>1244</xdr:row>
      <xdr:rowOff>170185</xdr:rowOff>
    </xdr:to>
    <xdr:cxnSp macro="_xll.PtreeEvent_ObjectClick">
      <xdr:nvCxnSpPr>
        <xdr:cNvPr id="2470" name="PTObj_DBranchDLine_1_616">
          <a:extLst>
            <a:ext uri="{FF2B5EF4-FFF2-40B4-BE49-F238E27FC236}">
              <a16:creationId xmlns:a16="http://schemas.microsoft.com/office/drawing/2014/main" id="{7DFDDE96-AD74-4AD1-A96E-911363BAF2F3}"/>
            </a:ext>
          </a:extLst>
        </xdr:cNvPr>
        <xdr:cNvCxnSpPr/>
      </xdr:nvCxnSpPr>
      <xdr:spPr>
        <a:xfrm>
          <a:off x="15630334" y="2249322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1240</xdr:row>
      <xdr:rowOff>162570</xdr:rowOff>
    </xdr:from>
    <xdr:to>
      <xdr:col>11</xdr:col>
      <xdr:colOff>1392682</xdr:colOff>
      <xdr:row>1240</xdr:row>
      <xdr:rowOff>162570</xdr:rowOff>
    </xdr:to>
    <xdr:cxnSp macro="_xll.PtreeEvent_ObjectClick">
      <xdr:nvCxnSpPr>
        <xdr:cNvPr id="2467" name="PTObj_DBranchHLine_1_614">
          <a:extLst>
            <a:ext uri="{FF2B5EF4-FFF2-40B4-BE49-F238E27FC236}">
              <a16:creationId xmlns:a16="http://schemas.microsoft.com/office/drawing/2014/main" id="{E92CC5E8-6C71-4EF6-A7CC-F40D337A5AF9}"/>
            </a:ext>
          </a:extLst>
        </xdr:cNvPr>
        <xdr:cNvCxnSpPr/>
      </xdr:nvCxnSpPr>
      <xdr:spPr>
        <a:xfrm>
          <a:off x="20056601" y="224571570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1238</xdr:row>
      <xdr:rowOff>146050</xdr:rowOff>
    </xdr:from>
    <xdr:to>
      <xdr:col>11</xdr:col>
      <xdr:colOff>196976</xdr:colOff>
      <xdr:row>1240</xdr:row>
      <xdr:rowOff>162570</xdr:rowOff>
    </xdr:to>
    <xdr:cxnSp macro="_xll.PtreeEvent_ObjectClick">
      <xdr:nvCxnSpPr>
        <xdr:cNvPr id="2466" name="PTObj_DBranchDLine_1_614">
          <a:extLst>
            <a:ext uri="{FF2B5EF4-FFF2-40B4-BE49-F238E27FC236}">
              <a16:creationId xmlns:a16="http://schemas.microsoft.com/office/drawing/2014/main" id="{FBA0ED64-DE04-4316-B114-10D626DF4E03}"/>
            </a:ext>
          </a:extLst>
        </xdr:cNvPr>
        <xdr:cNvCxnSpPr/>
      </xdr:nvCxnSpPr>
      <xdr:spPr>
        <a:xfrm>
          <a:off x="19904201" y="2241931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1238</xdr:row>
      <xdr:rowOff>158750</xdr:rowOff>
    </xdr:from>
    <xdr:to>
      <xdr:col>10</xdr:col>
      <xdr:colOff>1392681</xdr:colOff>
      <xdr:row>1238</xdr:row>
      <xdr:rowOff>158750</xdr:rowOff>
    </xdr:to>
    <xdr:cxnSp macro="_xll.PtreeEvent_ObjectClick">
      <xdr:nvCxnSpPr>
        <xdr:cNvPr id="2463" name="PTObj_DBranchHLine_1_613">
          <a:extLst>
            <a:ext uri="{FF2B5EF4-FFF2-40B4-BE49-F238E27FC236}">
              <a16:creationId xmlns:a16="http://schemas.microsoft.com/office/drawing/2014/main" id="{53395E88-EC57-4F43-B439-1DBAA1857750}"/>
            </a:ext>
          </a:extLst>
        </xdr:cNvPr>
        <xdr:cNvCxnSpPr/>
      </xdr:nvCxnSpPr>
      <xdr:spPr>
        <a:xfrm>
          <a:off x="18628804" y="224205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1236</xdr:row>
      <xdr:rowOff>143197</xdr:rowOff>
    </xdr:from>
    <xdr:to>
      <xdr:col>10</xdr:col>
      <xdr:colOff>197929</xdr:colOff>
      <xdr:row>1238</xdr:row>
      <xdr:rowOff>158750</xdr:rowOff>
    </xdr:to>
    <xdr:cxnSp macro="_xll.PtreeEvent_ObjectClick">
      <xdr:nvCxnSpPr>
        <xdr:cNvPr id="2462" name="PTObj_DBranchDLine_1_613">
          <a:extLst>
            <a:ext uri="{FF2B5EF4-FFF2-40B4-BE49-F238E27FC236}">
              <a16:creationId xmlns:a16="http://schemas.microsoft.com/office/drawing/2014/main" id="{316045C7-87CE-4E3D-8E0E-5ACE7426D908}"/>
            </a:ext>
          </a:extLst>
        </xdr:cNvPr>
        <xdr:cNvCxnSpPr/>
      </xdr:nvCxnSpPr>
      <xdr:spPr>
        <a:xfrm>
          <a:off x="18476404" y="2238282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1236</xdr:row>
      <xdr:rowOff>154930</xdr:rowOff>
    </xdr:from>
    <xdr:to>
      <xdr:col>9</xdr:col>
      <xdr:colOff>1388870</xdr:colOff>
      <xdr:row>1236</xdr:row>
      <xdr:rowOff>154930</xdr:rowOff>
    </xdr:to>
    <xdr:cxnSp macro="_xll.PtreeEvent_ObjectClick">
      <xdr:nvCxnSpPr>
        <xdr:cNvPr id="2459" name="PTObj_DBranchHLine_1_612">
          <a:extLst>
            <a:ext uri="{FF2B5EF4-FFF2-40B4-BE49-F238E27FC236}">
              <a16:creationId xmlns:a16="http://schemas.microsoft.com/office/drawing/2014/main" id="{DA89A0E4-1E1E-4136-94F6-827615D635FD}"/>
            </a:ext>
          </a:extLst>
        </xdr:cNvPr>
        <xdr:cNvCxnSpPr/>
      </xdr:nvCxnSpPr>
      <xdr:spPr>
        <a:xfrm>
          <a:off x="17206720" y="2238400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1234</xdr:row>
      <xdr:rowOff>142255</xdr:rowOff>
    </xdr:from>
    <xdr:to>
      <xdr:col>9</xdr:col>
      <xdr:colOff>204595</xdr:colOff>
      <xdr:row>1236</xdr:row>
      <xdr:rowOff>154930</xdr:rowOff>
    </xdr:to>
    <xdr:cxnSp macro="_xll.PtreeEvent_ObjectClick">
      <xdr:nvCxnSpPr>
        <xdr:cNvPr id="2458" name="PTObj_DBranchDLine_1_612">
          <a:extLst>
            <a:ext uri="{FF2B5EF4-FFF2-40B4-BE49-F238E27FC236}">
              <a16:creationId xmlns:a16="http://schemas.microsoft.com/office/drawing/2014/main" id="{7E203A6F-8036-4996-BEA3-5CDC966F4209}"/>
            </a:ext>
          </a:extLst>
        </xdr:cNvPr>
        <xdr:cNvCxnSpPr/>
      </xdr:nvCxnSpPr>
      <xdr:spPr>
        <a:xfrm>
          <a:off x="17054320" y="2234654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1234</xdr:row>
      <xdr:rowOff>151135</xdr:rowOff>
    </xdr:from>
    <xdr:to>
      <xdr:col>8</xdr:col>
      <xdr:colOff>1392681</xdr:colOff>
      <xdr:row>1234</xdr:row>
      <xdr:rowOff>151135</xdr:rowOff>
    </xdr:to>
    <xdr:cxnSp macro="_xll.PtreeEvent_ObjectClick">
      <xdr:nvCxnSpPr>
        <xdr:cNvPr id="2455" name="PTObj_DBranchHLine_1_611">
          <a:extLst>
            <a:ext uri="{FF2B5EF4-FFF2-40B4-BE49-F238E27FC236}">
              <a16:creationId xmlns:a16="http://schemas.microsoft.com/office/drawing/2014/main" id="{644963DF-211F-4CDE-AEBB-4BE32D28FC02}"/>
            </a:ext>
          </a:extLst>
        </xdr:cNvPr>
        <xdr:cNvCxnSpPr/>
      </xdr:nvCxnSpPr>
      <xdr:spPr>
        <a:xfrm>
          <a:off x="15782734" y="223474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1234</xdr:row>
      <xdr:rowOff>151135</xdr:rowOff>
    </xdr:from>
    <xdr:to>
      <xdr:col>8</xdr:col>
      <xdr:colOff>209359</xdr:colOff>
      <xdr:row>1242</xdr:row>
      <xdr:rowOff>161305</xdr:rowOff>
    </xdr:to>
    <xdr:cxnSp macro="_xll.PtreeEvent_ObjectClick">
      <xdr:nvCxnSpPr>
        <xdr:cNvPr id="2454" name="PTObj_DBranchDLine_1_611">
          <a:extLst>
            <a:ext uri="{FF2B5EF4-FFF2-40B4-BE49-F238E27FC236}">
              <a16:creationId xmlns:a16="http://schemas.microsoft.com/office/drawing/2014/main" id="{5740973B-7829-4411-8BAA-17642992C987}"/>
            </a:ext>
          </a:extLst>
        </xdr:cNvPr>
        <xdr:cNvCxnSpPr/>
      </xdr:nvCxnSpPr>
      <xdr:spPr>
        <a:xfrm flipV="1">
          <a:off x="15630334" y="2234742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1242</xdr:row>
      <xdr:rowOff>166365</xdr:rowOff>
    </xdr:from>
    <xdr:to>
      <xdr:col>7</xdr:col>
      <xdr:colOff>1398397</xdr:colOff>
      <xdr:row>1242</xdr:row>
      <xdr:rowOff>166365</xdr:rowOff>
    </xdr:to>
    <xdr:cxnSp macro="_xll.PtreeEvent_ObjectClick">
      <xdr:nvCxnSpPr>
        <xdr:cNvPr id="2451" name="PTObj_DBranchHLine_1_615">
          <a:extLst>
            <a:ext uri="{FF2B5EF4-FFF2-40B4-BE49-F238E27FC236}">
              <a16:creationId xmlns:a16="http://schemas.microsoft.com/office/drawing/2014/main" id="{46D1903E-A0F3-4709-A901-FCB1820E29F7}"/>
            </a:ext>
          </a:extLst>
        </xdr:cNvPr>
        <xdr:cNvCxnSpPr/>
      </xdr:nvCxnSpPr>
      <xdr:spPr>
        <a:xfrm>
          <a:off x="14362557" y="2249373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1232</xdr:row>
      <xdr:rowOff>144165</xdr:rowOff>
    </xdr:from>
    <xdr:to>
      <xdr:col>7</xdr:col>
      <xdr:colOff>217932</xdr:colOff>
      <xdr:row>1242</xdr:row>
      <xdr:rowOff>166365</xdr:rowOff>
    </xdr:to>
    <xdr:cxnSp macro="_xll.PtreeEvent_ObjectClick">
      <xdr:nvCxnSpPr>
        <xdr:cNvPr id="2450" name="PTObj_DBranchDLine_1_615">
          <a:extLst>
            <a:ext uri="{FF2B5EF4-FFF2-40B4-BE49-F238E27FC236}">
              <a16:creationId xmlns:a16="http://schemas.microsoft.com/office/drawing/2014/main" id="{D3FA8BDB-1D46-4228-B9E5-2A05FFB0F9C7}"/>
            </a:ext>
          </a:extLst>
        </xdr:cNvPr>
        <xdr:cNvCxnSpPr/>
      </xdr:nvCxnSpPr>
      <xdr:spPr>
        <a:xfrm>
          <a:off x="14210157" y="223105365"/>
          <a:ext cx="152400" cy="18319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1230</xdr:row>
      <xdr:rowOff>143520</xdr:rowOff>
    </xdr:from>
    <xdr:to>
      <xdr:col>11</xdr:col>
      <xdr:colOff>1385063</xdr:colOff>
      <xdr:row>1230</xdr:row>
      <xdr:rowOff>143520</xdr:rowOff>
    </xdr:to>
    <xdr:cxnSp macro="_xll.PtreeEvent_ObjectClick">
      <xdr:nvCxnSpPr>
        <xdr:cNvPr id="2447" name="PTObj_DBranchHLine_1_609">
          <a:extLst>
            <a:ext uri="{FF2B5EF4-FFF2-40B4-BE49-F238E27FC236}">
              <a16:creationId xmlns:a16="http://schemas.microsoft.com/office/drawing/2014/main" id="{081FA8D4-7A85-48CC-AE2E-C234AD0AD625}"/>
            </a:ext>
          </a:extLst>
        </xdr:cNvPr>
        <xdr:cNvCxnSpPr/>
      </xdr:nvCxnSpPr>
      <xdr:spPr>
        <a:xfrm>
          <a:off x="20056601" y="2227427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1228</xdr:row>
      <xdr:rowOff>137492</xdr:rowOff>
    </xdr:from>
    <xdr:to>
      <xdr:col>11</xdr:col>
      <xdr:colOff>196976</xdr:colOff>
      <xdr:row>1230</xdr:row>
      <xdr:rowOff>143520</xdr:rowOff>
    </xdr:to>
    <xdr:cxnSp macro="_xll.PtreeEvent_ObjectClick">
      <xdr:nvCxnSpPr>
        <xdr:cNvPr id="2446" name="PTObj_DBranchDLine_1_609">
          <a:extLst>
            <a:ext uri="{FF2B5EF4-FFF2-40B4-BE49-F238E27FC236}">
              <a16:creationId xmlns:a16="http://schemas.microsoft.com/office/drawing/2014/main" id="{8B0A8221-04CE-48FE-8445-A0862E3B646E}"/>
            </a:ext>
          </a:extLst>
        </xdr:cNvPr>
        <xdr:cNvCxnSpPr/>
      </xdr:nvCxnSpPr>
      <xdr:spPr>
        <a:xfrm>
          <a:off x="19904201" y="2223747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1228</xdr:row>
      <xdr:rowOff>139700</xdr:rowOff>
    </xdr:from>
    <xdr:to>
      <xdr:col>10</xdr:col>
      <xdr:colOff>1392681</xdr:colOff>
      <xdr:row>1228</xdr:row>
      <xdr:rowOff>139700</xdr:rowOff>
    </xdr:to>
    <xdr:cxnSp macro="_xll.PtreeEvent_ObjectClick">
      <xdr:nvCxnSpPr>
        <xdr:cNvPr id="2443" name="PTObj_DBranchHLine_1_608">
          <a:extLst>
            <a:ext uri="{FF2B5EF4-FFF2-40B4-BE49-F238E27FC236}">
              <a16:creationId xmlns:a16="http://schemas.microsoft.com/office/drawing/2014/main" id="{C416078C-6D97-440C-88D3-488B9DA20D6C}"/>
            </a:ext>
          </a:extLst>
        </xdr:cNvPr>
        <xdr:cNvCxnSpPr/>
      </xdr:nvCxnSpPr>
      <xdr:spPr>
        <a:xfrm>
          <a:off x="18628804" y="222377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1226</xdr:row>
      <xdr:rowOff>135582</xdr:rowOff>
    </xdr:from>
    <xdr:to>
      <xdr:col>10</xdr:col>
      <xdr:colOff>197929</xdr:colOff>
      <xdr:row>1228</xdr:row>
      <xdr:rowOff>139700</xdr:rowOff>
    </xdr:to>
    <xdr:cxnSp macro="_xll.PtreeEvent_ObjectClick">
      <xdr:nvCxnSpPr>
        <xdr:cNvPr id="2442" name="PTObj_DBranchDLine_1_608">
          <a:extLst>
            <a:ext uri="{FF2B5EF4-FFF2-40B4-BE49-F238E27FC236}">
              <a16:creationId xmlns:a16="http://schemas.microsoft.com/office/drawing/2014/main" id="{497C2EB9-20BB-4151-9EAD-3243CBFAC7A9}"/>
            </a:ext>
          </a:extLst>
        </xdr:cNvPr>
        <xdr:cNvCxnSpPr/>
      </xdr:nvCxnSpPr>
      <xdr:spPr>
        <a:xfrm>
          <a:off x="18476404" y="2220109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1226</xdr:row>
      <xdr:rowOff>135880</xdr:rowOff>
    </xdr:from>
    <xdr:to>
      <xdr:col>9</xdr:col>
      <xdr:colOff>1388870</xdr:colOff>
      <xdr:row>1226</xdr:row>
      <xdr:rowOff>135880</xdr:rowOff>
    </xdr:to>
    <xdr:cxnSp macro="_xll.PtreeEvent_ObjectClick">
      <xdr:nvCxnSpPr>
        <xdr:cNvPr id="2439" name="PTObj_DBranchHLine_1_607">
          <a:extLst>
            <a:ext uri="{FF2B5EF4-FFF2-40B4-BE49-F238E27FC236}">
              <a16:creationId xmlns:a16="http://schemas.microsoft.com/office/drawing/2014/main" id="{2C0CE818-196F-4225-836F-E7F1D402FF66}"/>
            </a:ext>
          </a:extLst>
        </xdr:cNvPr>
        <xdr:cNvCxnSpPr/>
      </xdr:nvCxnSpPr>
      <xdr:spPr>
        <a:xfrm>
          <a:off x="17206720" y="2220112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1224</xdr:row>
      <xdr:rowOff>129853</xdr:rowOff>
    </xdr:from>
    <xdr:to>
      <xdr:col>9</xdr:col>
      <xdr:colOff>204595</xdr:colOff>
      <xdr:row>1226</xdr:row>
      <xdr:rowOff>135880</xdr:rowOff>
    </xdr:to>
    <xdr:cxnSp macro="_xll.PtreeEvent_ObjectClick">
      <xdr:nvCxnSpPr>
        <xdr:cNvPr id="2438" name="PTObj_DBranchDLine_1_607">
          <a:extLst>
            <a:ext uri="{FF2B5EF4-FFF2-40B4-BE49-F238E27FC236}">
              <a16:creationId xmlns:a16="http://schemas.microsoft.com/office/drawing/2014/main" id="{C67DF9D6-A497-46C2-9A56-C2273567C690}"/>
            </a:ext>
          </a:extLst>
        </xdr:cNvPr>
        <xdr:cNvCxnSpPr/>
      </xdr:nvCxnSpPr>
      <xdr:spPr>
        <a:xfrm>
          <a:off x="17054320" y="2216432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1224</xdr:row>
      <xdr:rowOff>132085</xdr:rowOff>
    </xdr:from>
    <xdr:to>
      <xdr:col>8</xdr:col>
      <xdr:colOff>1392681</xdr:colOff>
      <xdr:row>1224</xdr:row>
      <xdr:rowOff>132085</xdr:rowOff>
    </xdr:to>
    <xdr:cxnSp macro="_xll.PtreeEvent_ObjectClick">
      <xdr:nvCxnSpPr>
        <xdr:cNvPr id="2435" name="PTObj_DBranchHLine_1_606">
          <a:extLst>
            <a:ext uri="{FF2B5EF4-FFF2-40B4-BE49-F238E27FC236}">
              <a16:creationId xmlns:a16="http://schemas.microsoft.com/office/drawing/2014/main" id="{985161FD-DBBB-40EF-AD5A-5AF04A220B5D}"/>
            </a:ext>
          </a:extLst>
        </xdr:cNvPr>
        <xdr:cNvCxnSpPr/>
      </xdr:nvCxnSpPr>
      <xdr:spPr>
        <a:xfrm>
          <a:off x="15782734" y="221645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1222</xdr:row>
      <xdr:rowOff>123205</xdr:rowOff>
    </xdr:from>
    <xdr:to>
      <xdr:col>8</xdr:col>
      <xdr:colOff>209359</xdr:colOff>
      <xdr:row>1224</xdr:row>
      <xdr:rowOff>132085</xdr:rowOff>
    </xdr:to>
    <xdr:cxnSp macro="_xll.PtreeEvent_ObjectClick">
      <xdr:nvCxnSpPr>
        <xdr:cNvPr id="2434" name="PTObj_DBranchDLine_1_606">
          <a:extLst>
            <a:ext uri="{FF2B5EF4-FFF2-40B4-BE49-F238E27FC236}">
              <a16:creationId xmlns:a16="http://schemas.microsoft.com/office/drawing/2014/main" id="{72507569-26D1-4853-8B86-28F87E28818A}"/>
            </a:ext>
          </a:extLst>
        </xdr:cNvPr>
        <xdr:cNvCxnSpPr/>
      </xdr:nvCxnSpPr>
      <xdr:spPr>
        <a:xfrm>
          <a:off x="15630334" y="221274655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1220</xdr:row>
      <xdr:rowOff>124470</xdr:rowOff>
    </xdr:from>
    <xdr:to>
      <xdr:col>11</xdr:col>
      <xdr:colOff>1392682</xdr:colOff>
      <xdr:row>1220</xdr:row>
      <xdr:rowOff>124470</xdr:rowOff>
    </xdr:to>
    <xdr:cxnSp macro="_xll.PtreeEvent_ObjectClick">
      <xdr:nvCxnSpPr>
        <xdr:cNvPr id="2431" name="PTObj_DBranchHLine_1_604">
          <a:extLst>
            <a:ext uri="{FF2B5EF4-FFF2-40B4-BE49-F238E27FC236}">
              <a16:creationId xmlns:a16="http://schemas.microsoft.com/office/drawing/2014/main" id="{C709F3C5-AAEA-4A7B-A782-EE6BC01C0E32}"/>
            </a:ext>
          </a:extLst>
        </xdr:cNvPr>
        <xdr:cNvCxnSpPr/>
      </xdr:nvCxnSpPr>
      <xdr:spPr>
        <a:xfrm>
          <a:off x="20056601" y="220913970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1218</xdr:row>
      <xdr:rowOff>107950</xdr:rowOff>
    </xdr:from>
    <xdr:to>
      <xdr:col>11</xdr:col>
      <xdr:colOff>196976</xdr:colOff>
      <xdr:row>1220</xdr:row>
      <xdr:rowOff>124470</xdr:rowOff>
    </xdr:to>
    <xdr:cxnSp macro="_xll.PtreeEvent_ObjectClick">
      <xdr:nvCxnSpPr>
        <xdr:cNvPr id="2430" name="PTObj_DBranchDLine_1_604">
          <a:extLst>
            <a:ext uri="{FF2B5EF4-FFF2-40B4-BE49-F238E27FC236}">
              <a16:creationId xmlns:a16="http://schemas.microsoft.com/office/drawing/2014/main" id="{BD608931-F915-4CCC-B67F-E5554C5ECA83}"/>
            </a:ext>
          </a:extLst>
        </xdr:cNvPr>
        <xdr:cNvCxnSpPr/>
      </xdr:nvCxnSpPr>
      <xdr:spPr>
        <a:xfrm>
          <a:off x="19904201" y="220535500"/>
          <a:ext cx="152400" cy="3784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1218</xdr:row>
      <xdr:rowOff>120650</xdr:rowOff>
    </xdr:from>
    <xdr:to>
      <xdr:col>10</xdr:col>
      <xdr:colOff>1392681</xdr:colOff>
      <xdr:row>1218</xdr:row>
      <xdr:rowOff>120650</xdr:rowOff>
    </xdr:to>
    <xdr:cxnSp macro="_xll.PtreeEvent_ObjectClick">
      <xdr:nvCxnSpPr>
        <xdr:cNvPr id="2427" name="PTObj_DBranchHLine_1_603">
          <a:extLst>
            <a:ext uri="{FF2B5EF4-FFF2-40B4-BE49-F238E27FC236}">
              <a16:creationId xmlns:a16="http://schemas.microsoft.com/office/drawing/2014/main" id="{99870E36-EDD4-4620-88DD-FCA68D250E77}"/>
            </a:ext>
          </a:extLst>
        </xdr:cNvPr>
        <xdr:cNvCxnSpPr/>
      </xdr:nvCxnSpPr>
      <xdr:spPr>
        <a:xfrm>
          <a:off x="18628804" y="220548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1216</xdr:row>
      <xdr:rowOff>105097</xdr:rowOff>
    </xdr:from>
    <xdr:to>
      <xdr:col>10</xdr:col>
      <xdr:colOff>197929</xdr:colOff>
      <xdr:row>1218</xdr:row>
      <xdr:rowOff>120650</xdr:rowOff>
    </xdr:to>
    <xdr:cxnSp macro="_xll.PtreeEvent_ObjectClick">
      <xdr:nvCxnSpPr>
        <xdr:cNvPr id="2426" name="PTObj_DBranchDLine_1_603">
          <a:extLst>
            <a:ext uri="{FF2B5EF4-FFF2-40B4-BE49-F238E27FC236}">
              <a16:creationId xmlns:a16="http://schemas.microsoft.com/office/drawing/2014/main" id="{2E5CC941-9151-497E-9EF0-97851ACDD205}"/>
            </a:ext>
          </a:extLst>
        </xdr:cNvPr>
        <xdr:cNvCxnSpPr/>
      </xdr:nvCxnSpPr>
      <xdr:spPr>
        <a:xfrm>
          <a:off x="18476404" y="2201706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1216</xdr:row>
      <xdr:rowOff>116830</xdr:rowOff>
    </xdr:from>
    <xdr:to>
      <xdr:col>9</xdr:col>
      <xdr:colOff>1388870</xdr:colOff>
      <xdr:row>1216</xdr:row>
      <xdr:rowOff>116830</xdr:rowOff>
    </xdr:to>
    <xdr:cxnSp macro="_xll.PtreeEvent_ObjectClick">
      <xdr:nvCxnSpPr>
        <xdr:cNvPr id="2423" name="PTObj_DBranchHLine_1_602">
          <a:extLst>
            <a:ext uri="{FF2B5EF4-FFF2-40B4-BE49-F238E27FC236}">
              <a16:creationId xmlns:a16="http://schemas.microsoft.com/office/drawing/2014/main" id="{D5C4013C-FAB5-4809-8874-630C484C2AF9}"/>
            </a:ext>
          </a:extLst>
        </xdr:cNvPr>
        <xdr:cNvCxnSpPr/>
      </xdr:nvCxnSpPr>
      <xdr:spPr>
        <a:xfrm>
          <a:off x="17206720" y="2201824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1214</xdr:row>
      <xdr:rowOff>104155</xdr:rowOff>
    </xdr:from>
    <xdr:to>
      <xdr:col>9</xdr:col>
      <xdr:colOff>204595</xdr:colOff>
      <xdr:row>1216</xdr:row>
      <xdr:rowOff>116830</xdr:rowOff>
    </xdr:to>
    <xdr:cxnSp macro="_xll.PtreeEvent_ObjectClick">
      <xdr:nvCxnSpPr>
        <xdr:cNvPr id="2422" name="PTObj_DBranchDLine_1_602">
          <a:extLst>
            <a:ext uri="{FF2B5EF4-FFF2-40B4-BE49-F238E27FC236}">
              <a16:creationId xmlns:a16="http://schemas.microsoft.com/office/drawing/2014/main" id="{82B1A98F-1B4E-4923-934A-43B13C3401DF}"/>
            </a:ext>
          </a:extLst>
        </xdr:cNvPr>
        <xdr:cNvCxnSpPr/>
      </xdr:nvCxnSpPr>
      <xdr:spPr>
        <a:xfrm>
          <a:off x="17054320" y="219807805"/>
          <a:ext cx="152400" cy="3746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1214</xdr:row>
      <xdr:rowOff>113035</xdr:rowOff>
    </xdr:from>
    <xdr:to>
      <xdr:col>8</xdr:col>
      <xdr:colOff>1392681</xdr:colOff>
      <xdr:row>1214</xdr:row>
      <xdr:rowOff>113035</xdr:rowOff>
    </xdr:to>
    <xdr:cxnSp macro="_xll.PtreeEvent_ObjectClick">
      <xdr:nvCxnSpPr>
        <xdr:cNvPr id="2419" name="PTObj_DBranchHLine_1_601">
          <a:extLst>
            <a:ext uri="{FF2B5EF4-FFF2-40B4-BE49-F238E27FC236}">
              <a16:creationId xmlns:a16="http://schemas.microsoft.com/office/drawing/2014/main" id="{AA0A65E0-CFA5-4229-9A91-024CC52C8755}"/>
            </a:ext>
          </a:extLst>
        </xdr:cNvPr>
        <xdr:cNvCxnSpPr/>
      </xdr:nvCxnSpPr>
      <xdr:spPr>
        <a:xfrm>
          <a:off x="15782734" y="219816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1214</xdr:row>
      <xdr:rowOff>113035</xdr:rowOff>
    </xdr:from>
    <xdr:to>
      <xdr:col>8</xdr:col>
      <xdr:colOff>209359</xdr:colOff>
      <xdr:row>1222</xdr:row>
      <xdr:rowOff>123205</xdr:rowOff>
    </xdr:to>
    <xdr:cxnSp macro="_xll.PtreeEvent_ObjectClick">
      <xdr:nvCxnSpPr>
        <xdr:cNvPr id="2418" name="PTObj_DBranchDLine_1_601">
          <a:extLst>
            <a:ext uri="{FF2B5EF4-FFF2-40B4-BE49-F238E27FC236}">
              <a16:creationId xmlns:a16="http://schemas.microsoft.com/office/drawing/2014/main" id="{9F6F2A0E-C084-4B4F-B1D4-FA0DDE72A3DE}"/>
            </a:ext>
          </a:extLst>
        </xdr:cNvPr>
        <xdr:cNvCxnSpPr/>
      </xdr:nvCxnSpPr>
      <xdr:spPr>
        <a:xfrm flipV="1">
          <a:off x="15630334" y="219816685"/>
          <a:ext cx="152400" cy="14579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1222</xdr:row>
      <xdr:rowOff>128265</xdr:rowOff>
    </xdr:from>
    <xdr:to>
      <xdr:col>7</xdr:col>
      <xdr:colOff>1398397</xdr:colOff>
      <xdr:row>1222</xdr:row>
      <xdr:rowOff>128265</xdr:rowOff>
    </xdr:to>
    <xdr:cxnSp macro="_xll.PtreeEvent_ObjectClick">
      <xdr:nvCxnSpPr>
        <xdr:cNvPr id="2415" name="PTObj_DBranchHLine_1_605">
          <a:extLst>
            <a:ext uri="{FF2B5EF4-FFF2-40B4-BE49-F238E27FC236}">
              <a16:creationId xmlns:a16="http://schemas.microsoft.com/office/drawing/2014/main" id="{6C5870D8-3504-4FAC-9D07-13A4486FBB80}"/>
            </a:ext>
          </a:extLst>
        </xdr:cNvPr>
        <xdr:cNvCxnSpPr/>
      </xdr:nvCxnSpPr>
      <xdr:spPr>
        <a:xfrm>
          <a:off x="14360652" y="2212797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1222</xdr:row>
      <xdr:rowOff>128265</xdr:rowOff>
    </xdr:from>
    <xdr:to>
      <xdr:col>7</xdr:col>
      <xdr:colOff>216027</xdr:colOff>
      <xdr:row>1232</xdr:row>
      <xdr:rowOff>142255</xdr:rowOff>
    </xdr:to>
    <xdr:cxnSp macro="_xll.PtreeEvent_ObjectClick">
      <xdr:nvCxnSpPr>
        <xdr:cNvPr id="2414" name="PTObj_DBranchDLine_1_605">
          <a:extLst>
            <a:ext uri="{FF2B5EF4-FFF2-40B4-BE49-F238E27FC236}">
              <a16:creationId xmlns:a16="http://schemas.microsoft.com/office/drawing/2014/main" id="{AA8EA0EE-0F30-456C-AA43-E4AADCEFB9FB}"/>
            </a:ext>
          </a:extLst>
        </xdr:cNvPr>
        <xdr:cNvCxnSpPr/>
      </xdr:nvCxnSpPr>
      <xdr:spPr>
        <a:xfrm flipV="1">
          <a:off x="14208252" y="221279715"/>
          <a:ext cx="152400" cy="18237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1232</xdr:row>
      <xdr:rowOff>147315</xdr:rowOff>
    </xdr:from>
    <xdr:to>
      <xdr:col>6</xdr:col>
      <xdr:colOff>1402207</xdr:colOff>
      <xdr:row>1232</xdr:row>
      <xdr:rowOff>147315</xdr:rowOff>
    </xdr:to>
    <xdr:cxnSp macro="_xll.PtreeEvent_ObjectClick">
      <xdr:nvCxnSpPr>
        <xdr:cNvPr id="2411" name="PTObj_DBranchHLine_1_610">
          <a:extLst>
            <a:ext uri="{FF2B5EF4-FFF2-40B4-BE49-F238E27FC236}">
              <a16:creationId xmlns:a16="http://schemas.microsoft.com/office/drawing/2014/main" id="{099576CC-076D-40AB-B1A7-30851A3C91DF}"/>
            </a:ext>
          </a:extLst>
        </xdr:cNvPr>
        <xdr:cNvCxnSpPr/>
      </xdr:nvCxnSpPr>
      <xdr:spPr>
        <a:xfrm>
          <a:off x="12938569" y="2231085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1232</xdr:row>
      <xdr:rowOff>147315</xdr:rowOff>
    </xdr:from>
    <xdr:to>
      <xdr:col>6</xdr:col>
      <xdr:colOff>222694</xdr:colOff>
      <xdr:row>1252</xdr:row>
      <xdr:rowOff>180355</xdr:rowOff>
    </xdr:to>
    <xdr:cxnSp macro="_xll.PtreeEvent_ObjectClick">
      <xdr:nvCxnSpPr>
        <xdr:cNvPr id="2410" name="PTObj_DBranchDLine_1_610">
          <a:extLst>
            <a:ext uri="{FF2B5EF4-FFF2-40B4-BE49-F238E27FC236}">
              <a16:creationId xmlns:a16="http://schemas.microsoft.com/office/drawing/2014/main" id="{B7FB0D2A-6243-42C5-A43C-66673B16C673}"/>
            </a:ext>
          </a:extLst>
        </xdr:cNvPr>
        <xdr:cNvCxnSpPr/>
      </xdr:nvCxnSpPr>
      <xdr:spPr>
        <a:xfrm flipV="1">
          <a:off x="12786169" y="223108515"/>
          <a:ext cx="152400" cy="36525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1253</xdr:row>
      <xdr:rowOff>4440</xdr:rowOff>
    </xdr:from>
    <xdr:to>
      <xdr:col>5</xdr:col>
      <xdr:colOff>1407922</xdr:colOff>
      <xdr:row>1253</xdr:row>
      <xdr:rowOff>4440</xdr:rowOff>
    </xdr:to>
    <xdr:cxnSp macro="_xll.PtreeEvent_ObjectClick">
      <xdr:nvCxnSpPr>
        <xdr:cNvPr id="2407" name="PTObj_DBranchHLine_1_620">
          <a:extLst>
            <a:ext uri="{FF2B5EF4-FFF2-40B4-BE49-F238E27FC236}">
              <a16:creationId xmlns:a16="http://schemas.microsoft.com/office/drawing/2014/main" id="{0977AB6D-7135-4C5B-8618-714BFECDE74A}"/>
            </a:ext>
          </a:extLst>
        </xdr:cNvPr>
        <xdr:cNvCxnSpPr/>
      </xdr:nvCxnSpPr>
      <xdr:spPr>
        <a:xfrm>
          <a:off x="11512676" y="226766115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1212</xdr:row>
      <xdr:rowOff>106065</xdr:rowOff>
    </xdr:from>
    <xdr:to>
      <xdr:col>5</xdr:col>
      <xdr:colOff>225551</xdr:colOff>
      <xdr:row>1253</xdr:row>
      <xdr:rowOff>4440</xdr:rowOff>
    </xdr:to>
    <xdr:cxnSp macro="_xll.PtreeEvent_ObjectClick">
      <xdr:nvCxnSpPr>
        <xdr:cNvPr id="2406" name="PTObj_DBranchDLine_1_620">
          <a:extLst>
            <a:ext uri="{FF2B5EF4-FFF2-40B4-BE49-F238E27FC236}">
              <a16:creationId xmlns:a16="http://schemas.microsoft.com/office/drawing/2014/main" id="{3B98F959-C8C4-4866-B88E-6DBCDB30FD5F}"/>
            </a:ext>
          </a:extLst>
        </xdr:cNvPr>
        <xdr:cNvCxnSpPr/>
      </xdr:nvCxnSpPr>
      <xdr:spPr>
        <a:xfrm>
          <a:off x="11360276" y="219447765"/>
          <a:ext cx="152400" cy="73183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1210</xdr:row>
      <xdr:rowOff>105420</xdr:rowOff>
    </xdr:from>
    <xdr:to>
      <xdr:col>11</xdr:col>
      <xdr:colOff>1385063</xdr:colOff>
      <xdr:row>1210</xdr:row>
      <xdr:rowOff>105420</xdr:rowOff>
    </xdr:to>
    <xdr:cxnSp macro="_xll.PtreeEvent_ObjectClick">
      <xdr:nvCxnSpPr>
        <xdr:cNvPr id="2403" name="PTObj_DBranchHLine_1_599">
          <a:extLst>
            <a:ext uri="{FF2B5EF4-FFF2-40B4-BE49-F238E27FC236}">
              <a16:creationId xmlns:a16="http://schemas.microsoft.com/office/drawing/2014/main" id="{5F79676C-1DA7-4360-ACC8-9BC7EEC33501}"/>
            </a:ext>
          </a:extLst>
        </xdr:cNvPr>
        <xdr:cNvCxnSpPr/>
      </xdr:nvCxnSpPr>
      <xdr:spPr>
        <a:xfrm>
          <a:off x="20056601" y="2190851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1208</xdr:row>
      <xdr:rowOff>99392</xdr:rowOff>
    </xdr:from>
    <xdr:to>
      <xdr:col>11</xdr:col>
      <xdr:colOff>196976</xdr:colOff>
      <xdr:row>1210</xdr:row>
      <xdr:rowOff>105420</xdr:rowOff>
    </xdr:to>
    <xdr:cxnSp macro="_xll.PtreeEvent_ObjectClick">
      <xdr:nvCxnSpPr>
        <xdr:cNvPr id="2402" name="PTObj_DBranchDLine_1_599">
          <a:extLst>
            <a:ext uri="{FF2B5EF4-FFF2-40B4-BE49-F238E27FC236}">
              <a16:creationId xmlns:a16="http://schemas.microsoft.com/office/drawing/2014/main" id="{50C29408-1E00-4125-A373-429DE46E130D}"/>
            </a:ext>
          </a:extLst>
        </xdr:cNvPr>
        <xdr:cNvCxnSpPr/>
      </xdr:nvCxnSpPr>
      <xdr:spPr>
        <a:xfrm>
          <a:off x="19904201" y="218717192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1208</xdr:row>
      <xdr:rowOff>101600</xdr:rowOff>
    </xdr:from>
    <xdr:to>
      <xdr:col>10</xdr:col>
      <xdr:colOff>1392681</xdr:colOff>
      <xdr:row>1208</xdr:row>
      <xdr:rowOff>101600</xdr:rowOff>
    </xdr:to>
    <xdr:cxnSp macro="_xll.PtreeEvent_ObjectClick">
      <xdr:nvCxnSpPr>
        <xdr:cNvPr id="2399" name="PTObj_DBranchHLine_1_598">
          <a:extLst>
            <a:ext uri="{FF2B5EF4-FFF2-40B4-BE49-F238E27FC236}">
              <a16:creationId xmlns:a16="http://schemas.microsoft.com/office/drawing/2014/main" id="{D2AC9816-AC0A-465F-8C06-D54BA635AA3F}"/>
            </a:ext>
          </a:extLst>
        </xdr:cNvPr>
        <xdr:cNvCxnSpPr/>
      </xdr:nvCxnSpPr>
      <xdr:spPr>
        <a:xfrm>
          <a:off x="18628804" y="218719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1206</xdr:row>
      <xdr:rowOff>97482</xdr:rowOff>
    </xdr:from>
    <xdr:to>
      <xdr:col>10</xdr:col>
      <xdr:colOff>197929</xdr:colOff>
      <xdr:row>1208</xdr:row>
      <xdr:rowOff>101600</xdr:rowOff>
    </xdr:to>
    <xdr:cxnSp macro="_xll.PtreeEvent_ObjectClick">
      <xdr:nvCxnSpPr>
        <xdr:cNvPr id="2398" name="PTObj_DBranchDLine_1_598">
          <a:extLst>
            <a:ext uri="{FF2B5EF4-FFF2-40B4-BE49-F238E27FC236}">
              <a16:creationId xmlns:a16="http://schemas.microsoft.com/office/drawing/2014/main" id="{D796D9B5-1473-4E1E-B83A-88CB5B7AD47B}"/>
            </a:ext>
          </a:extLst>
        </xdr:cNvPr>
        <xdr:cNvCxnSpPr/>
      </xdr:nvCxnSpPr>
      <xdr:spPr>
        <a:xfrm>
          <a:off x="18476404" y="2183533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1206</xdr:row>
      <xdr:rowOff>97780</xdr:rowOff>
    </xdr:from>
    <xdr:to>
      <xdr:col>9</xdr:col>
      <xdr:colOff>1388870</xdr:colOff>
      <xdr:row>1206</xdr:row>
      <xdr:rowOff>97780</xdr:rowOff>
    </xdr:to>
    <xdr:cxnSp macro="_xll.PtreeEvent_ObjectClick">
      <xdr:nvCxnSpPr>
        <xdr:cNvPr id="2395" name="PTObj_DBranchHLine_1_597">
          <a:extLst>
            <a:ext uri="{FF2B5EF4-FFF2-40B4-BE49-F238E27FC236}">
              <a16:creationId xmlns:a16="http://schemas.microsoft.com/office/drawing/2014/main" id="{D35D22E6-B2E1-46F2-AF6B-3366B634A73D}"/>
            </a:ext>
          </a:extLst>
        </xdr:cNvPr>
        <xdr:cNvCxnSpPr/>
      </xdr:nvCxnSpPr>
      <xdr:spPr>
        <a:xfrm>
          <a:off x="17206720" y="2183536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1204</xdr:row>
      <xdr:rowOff>91753</xdr:rowOff>
    </xdr:from>
    <xdr:to>
      <xdr:col>9</xdr:col>
      <xdr:colOff>204595</xdr:colOff>
      <xdr:row>1206</xdr:row>
      <xdr:rowOff>97780</xdr:rowOff>
    </xdr:to>
    <xdr:cxnSp macro="_xll.PtreeEvent_ObjectClick">
      <xdr:nvCxnSpPr>
        <xdr:cNvPr id="2394" name="PTObj_DBranchDLine_1_597">
          <a:extLst>
            <a:ext uri="{FF2B5EF4-FFF2-40B4-BE49-F238E27FC236}">
              <a16:creationId xmlns:a16="http://schemas.microsoft.com/office/drawing/2014/main" id="{2CA25B17-0AF0-44C0-BAB1-7E6B1FCFBC9D}"/>
            </a:ext>
          </a:extLst>
        </xdr:cNvPr>
        <xdr:cNvCxnSpPr/>
      </xdr:nvCxnSpPr>
      <xdr:spPr>
        <a:xfrm>
          <a:off x="17054320" y="217985653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1204</xdr:row>
      <xdr:rowOff>93985</xdr:rowOff>
    </xdr:from>
    <xdr:to>
      <xdr:col>8</xdr:col>
      <xdr:colOff>1392681</xdr:colOff>
      <xdr:row>1204</xdr:row>
      <xdr:rowOff>93985</xdr:rowOff>
    </xdr:to>
    <xdr:cxnSp macro="_xll.PtreeEvent_ObjectClick">
      <xdr:nvCxnSpPr>
        <xdr:cNvPr id="2391" name="PTObj_DBranchHLine_1_596">
          <a:extLst>
            <a:ext uri="{FF2B5EF4-FFF2-40B4-BE49-F238E27FC236}">
              <a16:creationId xmlns:a16="http://schemas.microsoft.com/office/drawing/2014/main" id="{E6F02B33-9B5F-4D6D-9AD3-D7607A110D9A}"/>
            </a:ext>
          </a:extLst>
        </xdr:cNvPr>
        <xdr:cNvCxnSpPr/>
      </xdr:nvCxnSpPr>
      <xdr:spPr>
        <a:xfrm>
          <a:off x="15782734" y="217987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1202</xdr:row>
      <xdr:rowOff>84138</xdr:rowOff>
    </xdr:from>
    <xdr:to>
      <xdr:col>8</xdr:col>
      <xdr:colOff>209359</xdr:colOff>
      <xdr:row>1204</xdr:row>
      <xdr:rowOff>93985</xdr:rowOff>
    </xdr:to>
    <xdr:cxnSp macro="_xll.PtreeEvent_ObjectClick">
      <xdr:nvCxnSpPr>
        <xdr:cNvPr id="2390" name="PTObj_DBranchDLine_1_596">
          <a:extLst>
            <a:ext uri="{FF2B5EF4-FFF2-40B4-BE49-F238E27FC236}">
              <a16:creationId xmlns:a16="http://schemas.microsoft.com/office/drawing/2014/main" id="{E5F58AE4-DB35-43E2-9C9F-7291A60AF54D}"/>
            </a:ext>
          </a:extLst>
        </xdr:cNvPr>
        <xdr:cNvCxnSpPr/>
      </xdr:nvCxnSpPr>
      <xdr:spPr>
        <a:xfrm>
          <a:off x="15630334" y="217616088"/>
          <a:ext cx="152400" cy="37179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1200</xdr:row>
      <xdr:rowOff>86370</xdr:rowOff>
    </xdr:from>
    <xdr:to>
      <xdr:col>11</xdr:col>
      <xdr:colOff>1385063</xdr:colOff>
      <xdr:row>1200</xdr:row>
      <xdr:rowOff>86370</xdr:rowOff>
    </xdr:to>
    <xdr:cxnSp macro="_xll.PtreeEvent_ObjectClick">
      <xdr:nvCxnSpPr>
        <xdr:cNvPr id="2387" name="PTObj_DBranchHLine_1_594">
          <a:extLst>
            <a:ext uri="{FF2B5EF4-FFF2-40B4-BE49-F238E27FC236}">
              <a16:creationId xmlns:a16="http://schemas.microsoft.com/office/drawing/2014/main" id="{E95B6D60-ECE2-4ED5-B674-F47787F61024}"/>
            </a:ext>
          </a:extLst>
        </xdr:cNvPr>
        <xdr:cNvCxnSpPr/>
      </xdr:nvCxnSpPr>
      <xdr:spPr>
        <a:xfrm>
          <a:off x="20056601" y="2172563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1198</xdr:row>
      <xdr:rowOff>73670</xdr:rowOff>
    </xdr:from>
    <xdr:to>
      <xdr:col>11</xdr:col>
      <xdr:colOff>196976</xdr:colOff>
      <xdr:row>1200</xdr:row>
      <xdr:rowOff>86370</xdr:rowOff>
    </xdr:to>
    <xdr:cxnSp macro="_xll.PtreeEvent_ObjectClick">
      <xdr:nvCxnSpPr>
        <xdr:cNvPr id="2386" name="PTObj_DBranchDLine_1_594">
          <a:extLst>
            <a:ext uri="{FF2B5EF4-FFF2-40B4-BE49-F238E27FC236}">
              <a16:creationId xmlns:a16="http://schemas.microsoft.com/office/drawing/2014/main" id="{5EA5EC7F-FA55-4F5E-93C0-00A74F60B1FE}"/>
            </a:ext>
          </a:extLst>
        </xdr:cNvPr>
        <xdr:cNvCxnSpPr/>
      </xdr:nvCxnSpPr>
      <xdr:spPr>
        <a:xfrm>
          <a:off x="19904201" y="2168817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1198</xdr:row>
      <xdr:rowOff>82550</xdr:rowOff>
    </xdr:from>
    <xdr:to>
      <xdr:col>10</xdr:col>
      <xdr:colOff>1392681</xdr:colOff>
      <xdr:row>1198</xdr:row>
      <xdr:rowOff>82550</xdr:rowOff>
    </xdr:to>
    <xdr:cxnSp macro="_xll.PtreeEvent_ObjectClick">
      <xdr:nvCxnSpPr>
        <xdr:cNvPr id="2383" name="PTObj_DBranchHLine_1_593">
          <a:extLst>
            <a:ext uri="{FF2B5EF4-FFF2-40B4-BE49-F238E27FC236}">
              <a16:creationId xmlns:a16="http://schemas.microsoft.com/office/drawing/2014/main" id="{ED63FABA-1F72-4EA1-9FE0-63C6941B8208}"/>
            </a:ext>
          </a:extLst>
        </xdr:cNvPr>
        <xdr:cNvCxnSpPr/>
      </xdr:nvCxnSpPr>
      <xdr:spPr>
        <a:xfrm>
          <a:off x="18628804" y="216890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1196</xdr:row>
      <xdr:rowOff>77490</xdr:rowOff>
    </xdr:from>
    <xdr:to>
      <xdr:col>10</xdr:col>
      <xdr:colOff>197929</xdr:colOff>
      <xdr:row>1198</xdr:row>
      <xdr:rowOff>82550</xdr:rowOff>
    </xdr:to>
    <xdr:cxnSp macro="_xll.PtreeEvent_ObjectClick">
      <xdr:nvCxnSpPr>
        <xdr:cNvPr id="2382" name="PTObj_DBranchDLine_1_593">
          <a:extLst>
            <a:ext uri="{FF2B5EF4-FFF2-40B4-BE49-F238E27FC236}">
              <a16:creationId xmlns:a16="http://schemas.microsoft.com/office/drawing/2014/main" id="{99DA5E3A-716E-4015-8F12-3FE4A89FA054}"/>
            </a:ext>
          </a:extLst>
        </xdr:cNvPr>
        <xdr:cNvCxnSpPr/>
      </xdr:nvCxnSpPr>
      <xdr:spPr>
        <a:xfrm>
          <a:off x="18476404" y="2165235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1196</xdr:row>
      <xdr:rowOff>78730</xdr:rowOff>
    </xdr:from>
    <xdr:to>
      <xdr:col>9</xdr:col>
      <xdr:colOff>1388870</xdr:colOff>
      <xdr:row>1196</xdr:row>
      <xdr:rowOff>78730</xdr:rowOff>
    </xdr:to>
    <xdr:cxnSp macro="_xll.PtreeEvent_ObjectClick">
      <xdr:nvCxnSpPr>
        <xdr:cNvPr id="2379" name="PTObj_DBranchHLine_1_592">
          <a:extLst>
            <a:ext uri="{FF2B5EF4-FFF2-40B4-BE49-F238E27FC236}">
              <a16:creationId xmlns:a16="http://schemas.microsoft.com/office/drawing/2014/main" id="{0F69BC85-5F70-450B-BE83-85A6B17148A4}"/>
            </a:ext>
          </a:extLst>
        </xdr:cNvPr>
        <xdr:cNvCxnSpPr/>
      </xdr:nvCxnSpPr>
      <xdr:spPr>
        <a:xfrm>
          <a:off x="17206720" y="2165248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1194</xdr:row>
      <xdr:rowOff>73670</xdr:rowOff>
    </xdr:from>
    <xdr:to>
      <xdr:col>9</xdr:col>
      <xdr:colOff>204595</xdr:colOff>
      <xdr:row>1196</xdr:row>
      <xdr:rowOff>78730</xdr:rowOff>
    </xdr:to>
    <xdr:cxnSp macro="_xll.PtreeEvent_ObjectClick">
      <xdr:nvCxnSpPr>
        <xdr:cNvPr id="2378" name="PTObj_DBranchDLine_1_592">
          <a:extLst>
            <a:ext uri="{FF2B5EF4-FFF2-40B4-BE49-F238E27FC236}">
              <a16:creationId xmlns:a16="http://schemas.microsoft.com/office/drawing/2014/main" id="{A0F3CB58-C388-4E7A-94D4-FD796D74EA2F}"/>
            </a:ext>
          </a:extLst>
        </xdr:cNvPr>
        <xdr:cNvCxnSpPr/>
      </xdr:nvCxnSpPr>
      <xdr:spPr>
        <a:xfrm>
          <a:off x="17054320" y="2161578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1194</xdr:row>
      <xdr:rowOff>74935</xdr:rowOff>
    </xdr:from>
    <xdr:to>
      <xdr:col>8</xdr:col>
      <xdr:colOff>1392681</xdr:colOff>
      <xdr:row>1194</xdr:row>
      <xdr:rowOff>74935</xdr:rowOff>
    </xdr:to>
    <xdr:cxnSp macro="_xll.PtreeEvent_ObjectClick">
      <xdr:nvCxnSpPr>
        <xdr:cNvPr id="2375" name="PTObj_DBranchHLine_1_591">
          <a:extLst>
            <a:ext uri="{FF2B5EF4-FFF2-40B4-BE49-F238E27FC236}">
              <a16:creationId xmlns:a16="http://schemas.microsoft.com/office/drawing/2014/main" id="{0C034DB7-08E7-4A3E-9F00-23B0E093ECA5}"/>
            </a:ext>
          </a:extLst>
        </xdr:cNvPr>
        <xdr:cNvCxnSpPr/>
      </xdr:nvCxnSpPr>
      <xdr:spPr>
        <a:xfrm>
          <a:off x="15782734" y="216159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1194</xdr:row>
      <xdr:rowOff>74935</xdr:rowOff>
    </xdr:from>
    <xdr:to>
      <xdr:col>8</xdr:col>
      <xdr:colOff>209359</xdr:colOff>
      <xdr:row>1202</xdr:row>
      <xdr:rowOff>84138</xdr:rowOff>
    </xdr:to>
    <xdr:cxnSp macro="_xll.PtreeEvent_ObjectClick">
      <xdr:nvCxnSpPr>
        <xdr:cNvPr id="2374" name="PTObj_DBranchDLine_1_591">
          <a:extLst>
            <a:ext uri="{FF2B5EF4-FFF2-40B4-BE49-F238E27FC236}">
              <a16:creationId xmlns:a16="http://schemas.microsoft.com/office/drawing/2014/main" id="{696715BA-9A29-4847-9C88-0D8E42755091}"/>
            </a:ext>
          </a:extLst>
        </xdr:cNvPr>
        <xdr:cNvCxnSpPr/>
      </xdr:nvCxnSpPr>
      <xdr:spPr>
        <a:xfrm flipV="1">
          <a:off x="15630334" y="216159085"/>
          <a:ext cx="152400" cy="14570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1202</xdr:row>
      <xdr:rowOff>90165</xdr:rowOff>
    </xdr:from>
    <xdr:to>
      <xdr:col>7</xdr:col>
      <xdr:colOff>1398397</xdr:colOff>
      <xdr:row>1202</xdr:row>
      <xdr:rowOff>90165</xdr:rowOff>
    </xdr:to>
    <xdr:cxnSp macro="_xll.PtreeEvent_ObjectClick">
      <xdr:nvCxnSpPr>
        <xdr:cNvPr id="2371" name="PTObj_DBranchHLine_1_595">
          <a:extLst>
            <a:ext uri="{FF2B5EF4-FFF2-40B4-BE49-F238E27FC236}">
              <a16:creationId xmlns:a16="http://schemas.microsoft.com/office/drawing/2014/main" id="{E946CC90-3D9D-4A56-B668-34B663785414}"/>
            </a:ext>
          </a:extLst>
        </xdr:cNvPr>
        <xdr:cNvCxnSpPr/>
      </xdr:nvCxnSpPr>
      <xdr:spPr>
        <a:xfrm>
          <a:off x="14362557" y="2176221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1192</xdr:row>
      <xdr:rowOff>69875</xdr:rowOff>
    </xdr:from>
    <xdr:to>
      <xdr:col>7</xdr:col>
      <xdr:colOff>217932</xdr:colOff>
      <xdr:row>1202</xdr:row>
      <xdr:rowOff>90165</xdr:rowOff>
    </xdr:to>
    <xdr:cxnSp macro="_xll.PtreeEvent_ObjectClick">
      <xdr:nvCxnSpPr>
        <xdr:cNvPr id="2370" name="PTObj_DBranchDLine_1_595">
          <a:extLst>
            <a:ext uri="{FF2B5EF4-FFF2-40B4-BE49-F238E27FC236}">
              <a16:creationId xmlns:a16="http://schemas.microsoft.com/office/drawing/2014/main" id="{38249A9F-A217-4368-8DA2-A01A1CBA5A46}"/>
            </a:ext>
          </a:extLst>
        </xdr:cNvPr>
        <xdr:cNvCxnSpPr/>
      </xdr:nvCxnSpPr>
      <xdr:spPr>
        <a:xfrm>
          <a:off x="14210157" y="215792075"/>
          <a:ext cx="152400" cy="1830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1190</xdr:row>
      <xdr:rowOff>67320</xdr:rowOff>
    </xdr:from>
    <xdr:to>
      <xdr:col>11</xdr:col>
      <xdr:colOff>1384111</xdr:colOff>
      <xdr:row>1190</xdr:row>
      <xdr:rowOff>67320</xdr:rowOff>
    </xdr:to>
    <xdr:cxnSp macro="_xll.PtreeEvent_ObjectClick">
      <xdr:nvCxnSpPr>
        <xdr:cNvPr id="2367" name="PTObj_DBranchHLine_1_589">
          <a:extLst>
            <a:ext uri="{FF2B5EF4-FFF2-40B4-BE49-F238E27FC236}">
              <a16:creationId xmlns:a16="http://schemas.microsoft.com/office/drawing/2014/main" id="{800375C7-C215-4FCF-8F8A-A712041DD0F9}"/>
            </a:ext>
          </a:extLst>
        </xdr:cNvPr>
        <xdr:cNvCxnSpPr/>
      </xdr:nvCxnSpPr>
      <xdr:spPr>
        <a:xfrm>
          <a:off x="20056601" y="215427570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1188</xdr:row>
      <xdr:rowOff>58440</xdr:rowOff>
    </xdr:from>
    <xdr:to>
      <xdr:col>11</xdr:col>
      <xdr:colOff>196976</xdr:colOff>
      <xdr:row>1190</xdr:row>
      <xdr:rowOff>67320</xdr:rowOff>
    </xdr:to>
    <xdr:cxnSp macro="_xll.PtreeEvent_ObjectClick">
      <xdr:nvCxnSpPr>
        <xdr:cNvPr id="2366" name="PTObj_DBranchDLine_1_589">
          <a:extLst>
            <a:ext uri="{FF2B5EF4-FFF2-40B4-BE49-F238E27FC236}">
              <a16:creationId xmlns:a16="http://schemas.microsoft.com/office/drawing/2014/main" id="{F2AEF5A9-1255-4539-B2E9-AC74D30729F7}"/>
            </a:ext>
          </a:extLst>
        </xdr:cNvPr>
        <xdr:cNvCxnSpPr/>
      </xdr:nvCxnSpPr>
      <xdr:spPr>
        <a:xfrm>
          <a:off x="19904201" y="2150567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1188</xdr:row>
      <xdr:rowOff>63500</xdr:rowOff>
    </xdr:from>
    <xdr:to>
      <xdr:col>10</xdr:col>
      <xdr:colOff>1392681</xdr:colOff>
      <xdr:row>1188</xdr:row>
      <xdr:rowOff>63500</xdr:rowOff>
    </xdr:to>
    <xdr:cxnSp macro="_xll.PtreeEvent_ObjectClick">
      <xdr:nvCxnSpPr>
        <xdr:cNvPr id="2363" name="PTObj_DBranchHLine_1_588">
          <a:extLst>
            <a:ext uri="{FF2B5EF4-FFF2-40B4-BE49-F238E27FC236}">
              <a16:creationId xmlns:a16="http://schemas.microsoft.com/office/drawing/2014/main" id="{DB45488B-A273-44F8-A524-C38790673A5D}"/>
            </a:ext>
          </a:extLst>
        </xdr:cNvPr>
        <xdr:cNvCxnSpPr/>
      </xdr:nvCxnSpPr>
      <xdr:spPr>
        <a:xfrm>
          <a:off x="18628804" y="215061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1186</xdr:row>
      <xdr:rowOff>54620</xdr:rowOff>
    </xdr:from>
    <xdr:to>
      <xdr:col>10</xdr:col>
      <xdr:colOff>197929</xdr:colOff>
      <xdr:row>1188</xdr:row>
      <xdr:rowOff>63500</xdr:rowOff>
    </xdr:to>
    <xdr:cxnSp macro="_xll.PtreeEvent_ObjectClick">
      <xdr:nvCxnSpPr>
        <xdr:cNvPr id="2362" name="PTObj_DBranchDLine_1_588">
          <a:extLst>
            <a:ext uri="{FF2B5EF4-FFF2-40B4-BE49-F238E27FC236}">
              <a16:creationId xmlns:a16="http://schemas.microsoft.com/office/drawing/2014/main" id="{05185F25-3CB3-4D65-85A7-392F514BA90A}"/>
            </a:ext>
          </a:extLst>
        </xdr:cNvPr>
        <xdr:cNvCxnSpPr/>
      </xdr:nvCxnSpPr>
      <xdr:spPr>
        <a:xfrm>
          <a:off x="18476404" y="214690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1186</xdr:row>
      <xdr:rowOff>59680</xdr:rowOff>
    </xdr:from>
    <xdr:to>
      <xdr:col>9</xdr:col>
      <xdr:colOff>1388870</xdr:colOff>
      <xdr:row>1186</xdr:row>
      <xdr:rowOff>59680</xdr:rowOff>
    </xdr:to>
    <xdr:cxnSp macro="_xll.PtreeEvent_ObjectClick">
      <xdr:nvCxnSpPr>
        <xdr:cNvPr id="2359" name="PTObj_DBranchHLine_1_587">
          <a:extLst>
            <a:ext uri="{FF2B5EF4-FFF2-40B4-BE49-F238E27FC236}">
              <a16:creationId xmlns:a16="http://schemas.microsoft.com/office/drawing/2014/main" id="{858E0A1D-2F08-4ACA-A41B-B1B7CD3CB1CE}"/>
            </a:ext>
          </a:extLst>
        </xdr:cNvPr>
        <xdr:cNvCxnSpPr/>
      </xdr:nvCxnSpPr>
      <xdr:spPr>
        <a:xfrm>
          <a:off x="17206720" y="2146960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1184</xdr:row>
      <xdr:rowOff>46980</xdr:rowOff>
    </xdr:from>
    <xdr:to>
      <xdr:col>9</xdr:col>
      <xdr:colOff>204595</xdr:colOff>
      <xdr:row>1186</xdr:row>
      <xdr:rowOff>59680</xdr:rowOff>
    </xdr:to>
    <xdr:cxnSp macro="_xll.PtreeEvent_ObjectClick">
      <xdr:nvCxnSpPr>
        <xdr:cNvPr id="2358" name="PTObj_DBranchDLine_1_587">
          <a:extLst>
            <a:ext uri="{FF2B5EF4-FFF2-40B4-BE49-F238E27FC236}">
              <a16:creationId xmlns:a16="http://schemas.microsoft.com/office/drawing/2014/main" id="{301485A9-D5C4-49AD-8A1C-CF9D18A6C67B}"/>
            </a:ext>
          </a:extLst>
        </xdr:cNvPr>
        <xdr:cNvCxnSpPr/>
      </xdr:nvCxnSpPr>
      <xdr:spPr>
        <a:xfrm>
          <a:off x="17054320" y="2143213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1184</xdr:row>
      <xdr:rowOff>55885</xdr:rowOff>
    </xdr:from>
    <xdr:to>
      <xdr:col>8</xdr:col>
      <xdr:colOff>1392681</xdr:colOff>
      <xdr:row>1184</xdr:row>
      <xdr:rowOff>55885</xdr:rowOff>
    </xdr:to>
    <xdr:cxnSp macro="_xll.PtreeEvent_ObjectClick">
      <xdr:nvCxnSpPr>
        <xdr:cNvPr id="2355" name="PTObj_DBranchHLine_1_586">
          <a:extLst>
            <a:ext uri="{FF2B5EF4-FFF2-40B4-BE49-F238E27FC236}">
              <a16:creationId xmlns:a16="http://schemas.microsoft.com/office/drawing/2014/main" id="{8085CC0F-84A8-444F-8CCE-2A467441AC93}"/>
            </a:ext>
          </a:extLst>
        </xdr:cNvPr>
        <xdr:cNvCxnSpPr/>
      </xdr:nvCxnSpPr>
      <xdr:spPr>
        <a:xfrm>
          <a:off x="15782734" y="214330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1182</xdr:row>
      <xdr:rowOff>42242</xdr:rowOff>
    </xdr:from>
    <xdr:to>
      <xdr:col>8</xdr:col>
      <xdr:colOff>209359</xdr:colOff>
      <xdr:row>1184</xdr:row>
      <xdr:rowOff>55885</xdr:rowOff>
    </xdr:to>
    <xdr:cxnSp macro="_xll.PtreeEvent_ObjectClick">
      <xdr:nvCxnSpPr>
        <xdr:cNvPr id="2354" name="PTObj_DBranchDLine_1_586">
          <a:extLst>
            <a:ext uri="{FF2B5EF4-FFF2-40B4-BE49-F238E27FC236}">
              <a16:creationId xmlns:a16="http://schemas.microsoft.com/office/drawing/2014/main" id="{8EC3BC03-A503-4F81-A579-C37CD81A2442}"/>
            </a:ext>
          </a:extLst>
        </xdr:cNvPr>
        <xdr:cNvCxnSpPr/>
      </xdr:nvCxnSpPr>
      <xdr:spPr>
        <a:xfrm>
          <a:off x="15630334" y="2139546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1180</xdr:row>
      <xdr:rowOff>48270</xdr:rowOff>
    </xdr:from>
    <xdr:to>
      <xdr:col>11</xdr:col>
      <xdr:colOff>1385063</xdr:colOff>
      <xdr:row>1180</xdr:row>
      <xdr:rowOff>48270</xdr:rowOff>
    </xdr:to>
    <xdr:cxnSp macro="_xll.PtreeEvent_ObjectClick">
      <xdr:nvCxnSpPr>
        <xdr:cNvPr id="2351" name="PTObj_DBranchHLine_1_584">
          <a:extLst>
            <a:ext uri="{FF2B5EF4-FFF2-40B4-BE49-F238E27FC236}">
              <a16:creationId xmlns:a16="http://schemas.microsoft.com/office/drawing/2014/main" id="{73AAC94A-9FFB-4DC9-814C-597AEBB37711}"/>
            </a:ext>
          </a:extLst>
        </xdr:cNvPr>
        <xdr:cNvCxnSpPr/>
      </xdr:nvCxnSpPr>
      <xdr:spPr>
        <a:xfrm>
          <a:off x="20056601" y="2135987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1178</xdr:row>
      <xdr:rowOff>35570</xdr:rowOff>
    </xdr:from>
    <xdr:to>
      <xdr:col>11</xdr:col>
      <xdr:colOff>196976</xdr:colOff>
      <xdr:row>1180</xdr:row>
      <xdr:rowOff>48270</xdr:rowOff>
    </xdr:to>
    <xdr:cxnSp macro="_xll.PtreeEvent_ObjectClick">
      <xdr:nvCxnSpPr>
        <xdr:cNvPr id="2350" name="PTObj_DBranchDLine_1_584">
          <a:extLst>
            <a:ext uri="{FF2B5EF4-FFF2-40B4-BE49-F238E27FC236}">
              <a16:creationId xmlns:a16="http://schemas.microsoft.com/office/drawing/2014/main" id="{A104896F-E4ED-4E4E-87EA-D0E99F88EEB0}"/>
            </a:ext>
          </a:extLst>
        </xdr:cNvPr>
        <xdr:cNvCxnSpPr/>
      </xdr:nvCxnSpPr>
      <xdr:spPr>
        <a:xfrm>
          <a:off x="19904201" y="2132241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1178</xdr:row>
      <xdr:rowOff>44450</xdr:rowOff>
    </xdr:from>
    <xdr:to>
      <xdr:col>10</xdr:col>
      <xdr:colOff>1392681</xdr:colOff>
      <xdr:row>1178</xdr:row>
      <xdr:rowOff>44450</xdr:rowOff>
    </xdr:to>
    <xdr:cxnSp macro="_xll.PtreeEvent_ObjectClick">
      <xdr:nvCxnSpPr>
        <xdr:cNvPr id="2347" name="PTObj_DBranchHLine_1_583">
          <a:extLst>
            <a:ext uri="{FF2B5EF4-FFF2-40B4-BE49-F238E27FC236}">
              <a16:creationId xmlns:a16="http://schemas.microsoft.com/office/drawing/2014/main" id="{F7A28187-E043-4632-9DBC-80F3F155DF99}"/>
            </a:ext>
          </a:extLst>
        </xdr:cNvPr>
        <xdr:cNvCxnSpPr/>
      </xdr:nvCxnSpPr>
      <xdr:spPr>
        <a:xfrm>
          <a:off x="18628804" y="213233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1176</xdr:row>
      <xdr:rowOff>39390</xdr:rowOff>
    </xdr:from>
    <xdr:to>
      <xdr:col>10</xdr:col>
      <xdr:colOff>197929</xdr:colOff>
      <xdr:row>1178</xdr:row>
      <xdr:rowOff>44450</xdr:rowOff>
    </xdr:to>
    <xdr:cxnSp macro="_xll.PtreeEvent_ObjectClick">
      <xdr:nvCxnSpPr>
        <xdr:cNvPr id="2346" name="PTObj_DBranchDLine_1_583">
          <a:extLst>
            <a:ext uri="{FF2B5EF4-FFF2-40B4-BE49-F238E27FC236}">
              <a16:creationId xmlns:a16="http://schemas.microsoft.com/office/drawing/2014/main" id="{8EEAADD1-4FA1-410B-9566-49DD4B95D2B9}"/>
            </a:ext>
          </a:extLst>
        </xdr:cNvPr>
        <xdr:cNvCxnSpPr/>
      </xdr:nvCxnSpPr>
      <xdr:spPr>
        <a:xfrm>
          <a:off x="18476404" y="2128659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1176</xdr:row>
      <xdr:rowOff>40630</xdr:rowOff>
    </xdr:from>
    <xdr:to>
      <xdr:col>9</xdr:col>
      <xdr:colOff>1388870</xdr:colOff>
      <xdr:row>1176</xdr:row>
      <xdr:rowOff>40630</xdr:rowOff>
    </xdr:to>
    <xdr:cxnSp macro="_xll.PtreeEvent_ObjectClick">
      <xdr:nvCxnSpPr>
        <xdr:cNvPr id="2343" name="PTObj_DBranchHLine_1_582">
          <a:extLst>
            <a:ext uri="{FF2B5EF4-FFF2-40B4-BE49-F238E27FC236}">
              <a16:creationId xmlns:a16="http://schemas.microsoft.com/office/drawing/2014/main" id="{1F85C504-9E56-4CED-A693-B4E731C09968}"/>
            </a:ext>
          </a:extLst>
        </xdr:cNvPr>
        <xdr:cNvCxnSpPr/>
      </xdr:nvCxnSpPr>
      <xdr:spPr>
        <a:xfrm>
          <a:off x="17206720" y="2128672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1174</xdr:row>
      <xdr:rowOff>35570</xdr:rowOff>
    </xdr:from>
    <xdr:to>
      <xdr:col>9</xdr:col>
      <xdr:colOff>204595</xdr:colOff>
      <xdr:row>1176</xdr:row>
      <xdr:rowOff>40630</xdr:rowOff>
    </xdr:to>
    <xdr:cxnSp macro="_xll.PtreeEvent_ObjectClick">
      <xdr:nvCxnSpPr>
        <xdr:cNvPr id="2342" name="PTObj_DBranchDLine_1_582">
          <a:extLst>
            <a:ext uri="{FF2B5EF4-FFF2-40B4-BE49-F238E27FC236}">
              <a16:creationId xmlns:a16="http://schemas.microsoft.com/office/drawing/2014/main" id="{EA06C85E-0CF4-46FE-B44D-5CC92FF8289C}"/>
            </a:ext>
          </a:extLst>
        </xdr:cNvPr>
        <xdr:cNvCxnSpPr/>
      </xdr:nvCxnSpPr>
      <xdr:spPr>
        <a:xfrm>
          <a:off x="17054320" y="2125002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1174</xdr:row>
      <xdr:rowOff>36835</xdr:rowOff>
    </xdr:from>
    <xdr:to>
      <xdr:col>8</xdr:col>
      <xdr:colOff>1392681</xdr:colOff>
      <xdr:row>1174</xdr:row>
      <xdr:rowOff>36835</xdr:rowOff>
    </xdr:to>
    <xdr:cxnSp macro="_xll.PtreeEvent_ObjectClick">
      <xdr:nvCxnSpPr>
        <xdr:cNvPr id="2339" name="PTObj_DBranchHLine_1_581">
          <a:extLst>
            <a:ext uri="{FF2B5EF4-FFF2-40B4-BE49-F238E27FC236}">
              <a16:creationId xmlns:a16="http://schemas.microsoft.com/office/drawing/2014/main" id="{6FE8F2F1-8BEC-40AE-9C22-7A05AA34D83C}"/>
            </a:ext>
          </a:extLst>
        </xdr:cNvPr>
        <xdr:cNvCxnSpPr/>
      </xdr:nvCxnSpPr>
      <xdr:spPr>
        <a:xfrm>
          <a:off x="15782734" y="212501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1174</xdr:row>
      <xdr:rowOff>36835</xdr:rowOff>
    </xdr:from>
    <xdr:to>
      <xdr:col>8</xdr:col>
      <xdr:colOff>209359</xdr:colOff>
      <xdr:row>1182</xdr:row>
      <xdr:rowOff>42242</xdr:rowOff>
    </xdr:to>
    <xdr:cxnSp macro="_xll.PtreeEvent_ObjectClick">
      <xdr:nvCxnSpPr>
        <xdr:cNvPr id="2338" name="PTObj_DBranchDLine_1_581">
          <a:extLst>
            <a:ext uri="{FF2B5EF4-FFF2-40B4-BE49-F238E27FC236}">
              <a16:creationId xmlns:a16="http://schemas.microsoft.com/office/drawing/2014/main" id="{2CD01E3E-8450-4F75-A9B1-40FEA3494A1A}"/>
            </a:ext>
          </a:extLst>
        </xdr:cNvPr>
        <xdr:cNvCxnSpPr/>
      </xdr:nvCxnSpPr>
      <xdr:spPr>
        <a:xfrm flipV="1">
          <a:off x="15630334" y="2125014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1182</xdr:row>
      <xdr:rowOff>52065</xdr:rowOff>
    </xdr:from>
    <xdr:to>
      <xdr:col>7</xdr:col>
      <xdr:colOff>1398397</xdr:colOff>
      <xdr:row>1182</xdr:row>
      <xdr:rowOff>52065</xdr:rowOff>
    </xdr:to>
    <xdr:cxnSp macro="_xll.PtreeEvent_ObjectClick">
      <xdr:nvCxnSpPr>
        <xdr:cNvPr id="2335" name="PTObj_DBranchHLine_1_585">
          <a:extLst>
            <a:ext uri="{FF2B5EF4-FFF2-40B4-BE49-F238E27FC236}">
              <a16:creationId xmlns:a16="http://schemas.microsoft.com/office/drawing/2014/main" id="{7F04C8D5-A316-446C-9702-D873813C522E}"/>
            </a:ext>
          </a:extLst>
        </xdr:cNvPr>
        <xdr:cNvCxnSpPr/>
      </xdr:nvCxnSpPr>
      <xdr:spPr>
        <a:xfrm>
          <a:off x="14360652" y="213964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1182</xdr:row>
      <xdr:rowOff>52065</xdr:rowOff>
    </xdr:from>
    <xdr:to>
      <xdr:col>7</xdr:col>
      <xdr:colOff>216027</xdr:colOff>
      <xdr:row>1192</xdr:row>
      <xdr:rowOff>71760</xdr:rowOff>
    </xdr:to>
    <xdr:cxnSp macro="_xll.PtreeEvent_ObjectClick">
      <xdr:nvCxnSpPr>
        <xdr:cNvPr id="2334" name="PTObj_DBranchDLine_1_585">
          <a:extLst>
            <a:ext uri="{FF2B5EF4-FFF2-40B4-BE49-F238E27FC236}">
              <a16:creationId xmlns:a16="http://schemas.microsoft.com/office/drawing/2014/main" id="{9594206C-354F-4408-877A-382B3BF770B8}"/>
            </a:ext>
          </a:extLst>
        </xdr:cNvPr>
        <xdr:cNvCxnSpPr/>
      </xdr:nvCxnSpPr>
      <xdr:spPr>
        <a:xfrm flipV="1">
          <a:off x="14208252" y="213964515"/>
          <a:ext cx="152400" cy="1829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1192</xdr:row>
      <xdr:rowOff>71115</xdr:rowOff>
    </xdr:from>
    <xdr:to>
      <xdr:col>6</xdr:col>
      <xdr:colOff>1402207</xdr:colOff>
      <xdr:row>1192</xdr:row>
      <xdr:rowOff>71115</xdr:rowOff>
    </xdr:to>
    <xdr:cxnSp macro="_xll.PtreeEvent_ObjectClick">
      <xdr:nvCxnSpPr>
        <xdr:cNvPr id="2331" name="PTObj_DBranchHLine_1_590">
          <a:extLst>
            <a:ext uri="{FF2B5EF4-FFF2-40B4-BE49-F238E27FC236}">
              <a16:creationId xmlns:a16="http://schemas.microsoft.com/office/drawing/2014/main" id="{4AF31191-03D2-4BAC-A6CD-8CB23AFC29E1}"/>
            </a:ext>
          </a:extLst>
        </xdr:cNvPr>
        <xdr:cNvCxnSpPr/>
      </xdr:nvCxnSpPr>
      <xdr:spPr>
        <a:xfrm>
          <a:off x="12936665" y="215793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1172</xdr:row>
      <xdr:rowOff>31775</xdr:rowOff>
    </xdr:from>
    <xdr:to>
      <xdr:col>6</xdr:col>
      <xdr:colOff>220790</xdr:colOff>
      <xdr:row>1192</xdr:row>
      <xdr:rowOff>71115</xdr:rowOff>
    </xdr:to>
    <xdr:cxnSp macro="_xll.PtreeEvent_ObjectClick">
      <xdr:nvCxnSpPr>
        <xdr:cNvPr id="2330" name="PTObj_DBranchDLine_1_590">
          <a:extLst>
            <a:ext uri="{FF2B5EF4-FFF2-40B4-BE49-F238E27FC236}">
              <a16:creationId xmlns:a16="http://schemas.microsoft.com/office/drawing/2014/main" id="{81A09FEE-2170-4CA5-9491-2B1E7A130398}"/>
            </a:ext>
          </a:extLst>
        </xdr:cNvPr>
        <xdr:cNvCxnSpPr/>
      </xdr:nvCxnSpPr>
      <xdr:spPr>
        <a:xfrm>
          <a:off x="12784265" y="212134475"/>
          <a:ext cx="152400" cy="3658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1170</xdr:row>
      <xdr:rowOff>29220</xdr:rowOff>
    </xdr:from>
    <xdr:to>
      <xdr:col>11</xdr:col>
      <xdr:colOff>1384111</xdr:colOff>
      <xdr:row>1170</xdr:row>
      <xdr:rowOff>29220</xdr:rowOff>
    </xdr:to>
    <xdr:cxnSp macro="_xll.PtreeEvent_ObjectClick">
      <xdr:nvCxnSpPr>
        <xdr:cNvPr id="2327" name="PTObj_DBranchHLine_1_579">
          <a:extLst>
            <a:ext uri="{FF2B5EF4-FFF2-40B4-BE49-F238E27FC236}">
              <a16:creationId xmlns:a16="http://schemas.microsoft.com/office/drawing/2014/main" id="{A7AE0FC5-2B79-4D56-AA01-D6442BAE69FF}"/>
            </a:ext>
          </a:extLst>
        </xdr:cNvPr>
        <xdr:cNvCxnSpPr/>
      </xdr:nvCxnSpPr>
      <xdr:spPr>
        <a:xfrm>
          <a:off x="20056601" y="211769970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1168</xdr:row>
      <xdr:rowOff>20340</xdr:rowOff>
    </xdr:from>
    <xdr:to>
      <xdr:col>11</xdr:col>
      <xdr:colOff>196976</xdr:colOff>
      <xdr:row>1170</xdr:row>
      <xdr:rowOff>29220</xdr:rowOff>
    </xdr:to>
    <xdr:cxnSp macro="_xll.PtreeEvent_ObjectClick">
      <xdr:nvCxnSpPr>
        <xdr:cNvPr id="2326" name="PTObj_DBranchDLine_1_579">
          <a:extLst>
            <a:ext uri="{FF2B5EF4-FFF2-40B4-BE49-F238E27FC236}">
              <a16:creationId xmlns:a16="http://schemas.microsoft.com/office/drawing/2014/main" id="{9EEDD450-16CA-4B13-9387-4818CA65BE6E}"/>
            </a:ext>
          </a:extLst>
        </xdr:cNvPr>
        <xdr:cNvCxnSpPr/>
      </xdr:nvCxnSpPr>
      <xdr:spPr>
        <a:xfrm>
          <a:off x="19904201" y="21139914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1168</xdr:row>
      <xdr:rowOff>25400</xdr:rowOff>
    </xdr:from>
    <xdr:to>
      <xdr:col>10</xdr:col>
      <xdr:colOff>1392681</xdr:colOff>
      <xdr:row>1168</xdr:row>
      <xdr:rowOff>25400</xdr:rowOff>
    </xdr:to>
    <xdr:cxnSp macro="_xll.PtreeEvent_ObjectClick">
      <xdr:nvCxnSpPr>
        <xdr:cNvPr id="2323" name="PTObj_DBranchHLine_1_578">
          <a:extLst>
            <a:ext uri="{FF2B5EF4-FFF2-40B4-BE49-F238E27FC236}">
              <a16:creationId xmlns:a16="http://schemas.microsoft.com/office/drawing/2014/main" id="{DC27A49C-37CA-43FD-A0A3-4022943801FC}"/>
            </a:ext>
          </a:extLst>
        </xdr:cNvPr>
        <xdr:cNvCxnSpPr/>
      </xdr:nvCxnSpPr>
      <xdr:spPr>
        <a:xfrm>
          <a:off x="18628804" y="211404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1166</xdr:row>
      <xdr:rowOff>16520</xdr:rowOff>
    </xdr:from>
    <xdr:to>
      <xdr:col>10</xdr:col>
      <xdr:colOff>197929</xdr:colOff>
      <xdr:row>1168</xdr:row>
      <xdr:rowOff>25400</xdr:rowOff>
    </xdr:to>
    <xdr:cxnSp macro="_xll.PtreeEvent_ObjectClick">
      <xdr:nvCxnSpPr>
        <xdr:cNvPr id="2322" name="PTObj_DBranchDLine_1_578">
          <a:extLst>
            <a:ext uri="{FF2B5EF4-FFF2-40B4-BE49-F238E27FC236}">
              <a16:creationId xmlns:a16="http://schemas.microsoft.com/office/drawing/2014/main" id="{654B1A88-0ABF-4199-B204-92970D258D72}"/>
            </a:ext>
          </a:extLst>
        </xdr:cNvPr>
        <xdr:cNvCxnSpPr/>
      </xdr:nvCxnSpPr>
      <xdr:spPr>
        <a:xfrm>
          <a:off x="18476404" y="211033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1166</xdr:row>
      <xdr:rowOff>21580</xdr:rowOff>
    </xdr:from>
    <xdr:to>
      <xdr:col>9</xdr:col>
      <xdr:colOff>1388870</xdr:colOff>
      <xdr:row>1166</xdr:row>
      <xdr:rowOff>21580</xdr:rowOff>
    </xdr:to>
    <xdr:cxnSp macro="_xll.PtreeEvent_ObjectClick">
      <xdr:nvCxnSpPr>
        <xdr:cNvPr id="2319" name="PTObj_DBranchHLine_1_577">
          <a:extLst>
            <a:ext uri="{FF2B5EF4-FFF2-40B4-BE49-F238E27FC236}">
              <a16:creationId xmlns:a16="http://schemas.microsoft.com/office/drawing/2014/main" id="{6C808BD7-3956-422A-9BAD-FCD2B0EB3379}"/>
            </a:ext>
          </a:extLst>
        </xdr:cNvPr>
        <xdr:cNvCxnSpPr/>
      </xdr:nvCxnSpPr>
      <xdr:spPr>
        <a:xfrm>
          <a:off x="17206720" y="2110384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1164</xdr:row>
      <xdr:rowOff>8880</xdr:rowOff>
    </xdr:from>
    <xdr:to>
      <xdr:col>9</xdr:col>
      <xdr:colOff>204595</xdr:colOff>
      <xdr:row>1166</xdr:row>
      <xdr:rowOff>21580</xdr:rowOff>
    </xdr:to>
    <xdr:cxnSp macro="_xll.PtreeEvent_ObjectClick">
      <xdr:nvCxnSpPr>
        <xdr:cNvPr id="2318" name="PTObj_DBranchDLine_1_577">
          <a:extLst>
            <a:ext uri="{FF2B5EF4-FFF2-40B4-BE49-F238E27FC236}">
              <a16:creationId xmlns:a16="http://schemas.microsoft.com/office/drawing/2014/main" id="{C28C1965-3AB2-4176-8B14-E894FEF29F06}"/>
            </a:ext>
          </a:extLst>
        </xdr:cNvPr>
        <xdr:cNvCxnSpPr/>
      </xdr:nvCxnSpPr>
      <xdr:spPr>
        <a:xfrm>
          <a:off x="17054320" y="21066378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1164</xdr:row>
      <xdr:rowOff>17785</xdr:rowOff>
    </xdr:from>
    <xdr:to>
      <xdr:col>8</xdr:col>
      <xdr:colOff>1392681</xdr:colOff>
      <xdr:row>1164</xdr:row>
      <xdr:rowOff>17785</xdr:rowOff>
    </xdr:to>
    <xdr:cxnSp macro="_xll.PtreeEvent_ObjectClick">
      <xdr:nvCxnSpPr>
        <xdr:cNvPr id="2315" name="PTObj_DBranchHLine_1_576">
          <a:extLst>
            <a:ext uri="{FF2B5EF4-FFF2-40B4-BE49-F238E27FC236}">
              <a16:creationId xmlns:a16="http://schemas.microsoft.com/office/drawing/2014/main" id="{7AF741E2-F0F9-4162-B8CA-5F7005A9AC3B}"/>
            </a:ext>
          </a:extLst>
        </xdr:cNvPr>
        <xdr:cNvCxnSpPr/>
      </xdr:nvCxnSpPr>
      <xdr:spPr>
        <a:xfrm>
          <a:off x="15782734" y="210672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1162</xdr:row>
      <xdr:rowOff>4142</xdr:rowOff>
    </xdr:from>
    <xdr:to>
      <xdr:col>8</xdr:col>
      <xdr:colOff>209359</xdr:colOff>
      <xdr:row>1164</xdr:row>
      <xdr:rowOff>17785</xdr:rowOff>
    </xdr:to>
    <xdr:cxnSp macro="_xll.PtreeEvent_ObjectClick">
      <xdr:nvCxnSpPr>
        <xdr:cNvPr id="2314" name="PTObj_DBranchDLine_1_576">
          <a:extLst>
            <a:ext uri="{FF2B5EF4-FFF2-40B4-BE49-F238E27FC236}">
              <a16:creationId xmlns:a16="http://schemas.microsoft.com/office/drawing/2014/main" id="{70919F28-54E7-4550-B155-207EC75904FC}"/>
            </a:ext>
          </a:extLst>
        </xdr:cNvPr>
        <xdr:cNvCxnSpPr/>
      </xdr:nvCxnSpPr>
      <xdr:spPr>
        <a:xfrm>
          <a:off x="15630334" y="2102970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1160</xdr:row>
      <xdr:rowOff>10170</xdr:rowOff>
    </xdr:from>
    <xdr:to>
      <xdr:col>11</xdr:col>
      <xdr:colOff>1385063</xdr:colOff>
      <xdr:row>1160</xdr:row>
      <xdr:rowOff>10170</xdr:rowOff>
    </xdr:to>
    <xdr:cxnSp macro="_xll.PtreeEvent_ObjectClick">
      <xdr:nvCxnSpPr>
        <xdr:cNvPr id="2311" name="PTObj_DBranchHLine_1_574">
          <a:extLst>
            <a:ext uri="{FF2B5EF4-FFF2-40B4-BE49-F238E27FC236}">
              <a16:creationId xmlns:a16="http://schemas.microsoft.com/office/drawing/2014/main" id="{9A60AC4D-3AED-4164-A129-9D3682D90D3A}"/>
            </a:ext>
          </a:extLst>
        </xdr:cNvPr>
        <xdr:cNvCxnSpPr/>
      </xdr:nvCxnSpPr>
      <xdr:spPr>
        <a:xfrm>
          <a:off x="20056601" y="20994117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1157</xdr:row>
      <xdr:rowOff>178445</xdr:rowOff>
    </xdr:from>
    <xdr:to>
      <xdr:col>11</xdr:col>
      <xdr:colOff>196976</xdr:colOff>
      <xdr:row>1160</xdr:row>
      <xdr:rowOff>10170</xdr:rowOff>
    </xdr:to>
    <xdr:cxnSp macro="_xll.PtreeEvent_ObjectClick">
      <xdr:nvCxnSpPr>
        <xdr:cNvPr id="2310" name="PTObj_DBranchDLine_1_574">
          <a:extLst>
            <a:ext uri="{FF2B5EF4-FFF2-40B4-BE49-F238E27FC236}">
              <a16:creationId xmlns:a16="http://schemas.microsoft.com/office/drawing/2014/main" id="{DDC0B12A-5482-427A-9791-F9CFC2CA02EC}"/>
            </a:ext>
          </a:extLst>
        </xdr:cNvPr>
        <xdr:cNvCxnSpPr/>
      </xdr:nvCxnSpPr>
      <xdr:spPr>
        <a:xfrm>
          <a:off x="19904201" y="20956652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1158</xdr:row>
      <xdr:rowOff>6350</xdr:rowOff>
    </xdr:from>
    <xdr:to>
      <xdr:col>10</xdr:col>
      <xdr:colOff>1392681</xdr:colOff>
      <xdr:row>1158</xdr:row>
      <xdr:rowOff>6350</xdr:rowOff>
    </xdr:to>
    <xdr:cxnSp macro="_xll.PtreeEvent_ObjectClick">
      <xdr:nvCxnSpPr>
        <xdr:cNvPr id="2307" name="PTObj_DBranchHLine_1_573">
          <a:extLst>
            <a:ext uri="{FF2B5EF4-FFF2-40B4-BE49-F238E27FC236}">
              <a16:creationId xmlns:a16="http://schemas.microsoft.com/office/drawing/2014/main" id="{FDD4D6E3-FF11-4E7B-B8C2-836880E47D91}"/>
            </a:ext>
          </a:extLst>
        </xdr:cNvPr>
        <xdr:cNvCxnSpPr/>
      </xdr:nvCxnSpPr>
      <xdr:spPr>
        <a:xfrm>
          <a:off x="18628804" y="209575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1156</xdr:row>
      <xdr:rowOff>1290</xdr:rowOff>
    </xdr:from>
    <xdr:to>
      <xdr:col>10</xdr:col>
      <xdr:colOff>197929</xdr:colOff>
      <xdr:row>1158</xdr:row>
      <xdr:rowOff>6350</xdr:rowOff>
    </xdr:to>
    <xdr:cxnSp macro="_xll.PtreeEvent_ObjectClick">
      <xdr:nvCxnSpPr>
        <xdr:cNvPr id="2306" name="PTObj_DBranchDLine_1_573">
          <a:extLst>
            <a:ext uri="{FF2B5EF4-FFF2-40B4-BE49-F238E27FC236}">
              <a16:creationId xmlns:a16="http://schemas.microsoft.com/office/drawing/2014/main" id="{5BDBCCDE-EB09-49BA-BF32-2A18916EB9E7}"/>
            </a:ext>
          </a:extLst>
        </xdr:cNvPr>
        <xdr:cNvCxnSpPr/>
      </xdr:nvCxnSpPr>
      <xdr:spPr>
        <a:xfrm>
          <a:off x="18476404" y="20920839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1156</xdr:row>
      <xdr:rowOff>2530</xdr:rowOff>
    </xdr:from>
    <xdr:to>
      <xdr:col>9</xdr:col>
      <xdr:colOff>1388870</xdr:colOff>
      <xdr:row>1156</xdr:row>
      <xdr:rowOff>2530</xdr:rowOff>
    </xdr:to>
    <xdr:cxnSp macro="_xll.PtreeEvent_ObjectClick">
      <xdr:nvCxnSpPr>
        <xdr:cNvPr id="2303" name="PTObj_DBranchHLine_1_572">
          <a:extLst>
            <a:ext uri="{FF2B5EF4-FFF2-40B4-BE49-F238E27FC236}">
              <a16:creationId xmlns:a16="http://schemas.microsoft.com/office/drawing/2014/main" id="{129A469E-EF9A-40BE-8BCB-4D3D43652E83}"/>
            </a:ext>
          </a:extLst>
        </xdr:cNvPr>
        <xdr:cNvCxnSpPr/>
      </xdr:nvCxnSpPr>
      <xdr:spPr>
        <a:xfrm>
          <a:off x="17206720" y="20920963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1153</xdr:row>
      <xdr:rowOff>178445</xdr:rowOff>
    </xdr:from>
    <xdr:to>
      <xdr:col>9</xdr:col>
      <xdr:colOff>204595</xdr:colOff>
      <xdr:row>1156</xdr:row>
      <xdr:rowOff>2530</xdr:rowOff>
    </xdr:to>
    <xdr:cxnSp macro="_xll.PtreeEvent_ObjectClick">
      <xdr:nvCxnSpPr>
        <xdr:cNvPr id="2302" name="PTObj_DBranchDLine_1_572">
          <a:extLst>
            <a:ext uri="{FF2B5EF4-FFF2-40B4-BE49-F238E27FC236}">
              <a16:creationId xmlns:a16="http://schemas.microsoft.com/office/drawing/2014/main" id="{B176EBA1-2C85-4C5A-906E-5CB4BEEB7361}"/>
            </a:ext>
          </a:extLst>
        </xdr:cNvPr>
        <xdr:cNvCxnSpPr/>
      </xdr:nvCxnSpPr>
      <xdr:spPr>
        <a:xfrm>
          <a:off x="17054320" y="208842620"/>
          <a:ext cx="152400" cy="36701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1153</xdr:row>
      <xdr:rowOff>179710</xdr:rowOff>
    </xdr:from>
    <xdr:to>
      <xdr:col>8</xdr:col>
      <xdr:colOff>1392681</xdr:colOff>
      <xdr:row>1153</xdr:row>
      <xdr:rowOff>179710</xdr:rowOff>
    </xdr:to>
    <xdr:cxnSp macro="_xll.PtreeEvent_ObjectClick">
      <xdr:nvCxnSpPr>
        <xdr:cNvPr id="2299" name="PTObj_DBranchHLine_1_571">
          <a:extLst>
            <a:ext uri="{FF2B5EF4-FFF2-40B4-BE49-F238E27FC236}">
              <a16:creationId xmlns:a16="http://schemas.microsoft.com/office/drawing/2014/main" id="{AAF6869F-830D-4678-81F5-DF2A1C8C053C}"/>
            </a:ext>
          </a:extLst>
        </xdr:cNvPr>
        <xdr:cNvCxnSpPr/>
      </xdr:nvCxnSpPr>
      <xdr:spPr>
        <a:xfrm>
          <a:off x="15782734" y="208843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1153</xdr:row>
      <xdr:rowOff>179710</xdr:rowOff>
    </xdr:from>
    <xdr:to>
      <xdr:col>8</xdr:col>
      <xdr:colOff>209359</xdr:colOff>
      <xdr:row>1162</xdr:row>
      <xdr:rowOff>4142</xdr:rowOff>
    </xdr:to>
    <xdr:cxnSp macro="_xll.PtreeEvent_ObjectClick">
      <xdr:nvCxnSpPr>
        <xdr:cNvPr id="2298" name="PTObj_DBranchDLine_1_571">
          <a:extLst>
            <a:ext uri="{FF2B5EF4-FFF2-40B4-BE49-F238E27FC236}">
              <a16:creationId xmlns:a16="http://schemas.microsoft.com/office/drawing/2014/main" id="{DA7D5A95-8F9A-4494-B038-434CC77CA929}"/>
            </a:ext>
          </a:extLst>
        </xdr:cNvPr>
        <xdr:cNvCxnSpPr/>
      </xdr:nvCxnSpPr>
      <xdr:spPr>
        <a:xfrm flipV="1">
          <a:off x="15630334" y="2088438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1162</xdr:row>
      <xdr:rowOff>13965</xdr:rowOff>
    </xdr:from>
    <xdr:to>
      <xdr:col>7</xdr:col>
      <xdr:colOff>1398397</xdr:colOff>
      <xdr:row>1162</xdr:row>
      <xdr:rowOff>13965</xdr:rowOff>
    </xdr:to>
    <xdr:cxnSp macro="_xll.PtreeEvent_ObjectClick">
      <xdr:nvCxnSpPr>
        <xdr:cNvPr id="2295" name="PTObj_DBranchHLine_1_575">
          <a:extLst>
            <a:ext uri="{FF2B5EF4-FFF2-40B4-BE49-F238E27FC236}">
              <a16:creationId xmlns:a16="http://schemas.microsoft.com/office/drawing/2014/main" id="{EAD70A4F-B285-45A1-8AB7-75F91CDB2EE9}"/>
            </a:ext>
          </a:extLst>
        </xdr:cNvPr>
        <xdr:cNvCxnSpPr/>
      </xdr:nvCxnSpPr>
      <xdr:spPr>
        <a:xfrm>
          <a:off x="14362557" y="2103069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1151</xdr:row>
      <xdr:rowOff>174650</xdr:rowOff>
    </xdr:from>
    <xdr:to>
      <xdr:col>7</xdr:col>
      <xdr:colOff>217932</xdr:colOff>
      <xdr:row>1162</xdr:row>
      <xdr:rowOff>13965</xdr:rowOff>
    </xdr:to>
    <xdr:cxnSp macro="_xll.PtreeEvent_ObjectClick">
      <xdr:nvCxnSpPr>
        <xdr:cNvPr id="2294" name="PTObj_DBranchDLine_1_575">
          <a:extLst>
            <a:ext uri="{FF2B5EF4-FFF2-40B4-BE49-F238E27FC236}">
              <a16:creationId xmlns:a16="http://schemas.microsoft.com/office/drawing/2014/main" id="{8DC055A4-5EF8-4735-A47C-071FB4681593}"/>
            </a:ext>
          </a:extLst>
        </xdr:cNvPr>
        <xdr:cNvCxnSpPr/>
      </xdr:nvCxnSpPr>
      <xdr:spPr>
        <a:xfrm>
          <a:off x="14210157" y="208476875"/>
          <a:ext cx="152400" cy="1830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1149</xdr:row>
      <xdr:rowOff>172095</xdr:rowOff>
    </xdr:from>
    <xdr:to>
      <xdr:col>11</xdr:col>
      <xdr:colOff>1384111</xdr:colOff>
      <xdr:row>1149</xdr:row>
      <xdr:rowOff>172095</xdr:rowOff>
    </xdr:to>
    <xdr:cxnSp macro="_xll.PtreeEvent_ObjectClick">
      <xdr:nvCxnSpPr>
        <xdr:cNvPr id="2291" name="PTObj_DBranchHLine_1_569">
          <a:extLst>
            <a:ext uri="{FF2B5EF4-FFF2-40B4-BE49-F238E27FC236}">
              <a16:creationId xmlns:a16="http://schemas.microsoft.com/office/drawing/2014/main" id="{3A4AFF9D-B657-4C94-B645-6DCB5E26741D}"/>
            </a:ext>
          </a:extLst>
        </xdr:cNvPr>
        <xdr:cNvCxnSpPr/>
      </xdr:nvCxnSpPr>
      <xdr:spPr>
        <a:xfrm>
          <a:off x="20056601" y="208112370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1147</xdr:row>
      <xdr:rowOff>163190</xdr:rowOff>
    </xdr:from>
    <xdr:to>
      <xdr:col>11</xdr:col>
      <xdr:colOff>196976</xdr:colOff>
      <xdr:row>1149</xdr:row>
      <xdr:rowOff>172095</xdr:rowOff>
    </xdr:to>
    <xdr:cxnSp macro="_xll.PtreeEvent_ObjectClick">
      <xdr:nvCxnSpPr>
        <xdr:cNvPr id="2290" name="PTObj_DBranchDLine_1_569">
          <a:extLst>
            <a:ext uri="{FF2B5EF4-FFF2-40B4-BE49-F238E27FC236}">
              <a16:creationId xmlns:a16="http://schemas.microsoft.com/office/drawing/2014/main" id="{775CF485-2763-4669-8FE5-F5A701D4AAFF}"/>
            </a:ext>
          </a:extLst>
        </xdr:cNvPr>
        <xdr:cNvCxnSpPr/>
      </xdr:nvCxnSpPr>
      <xdr:spPr>
        <a:xfrm>
          <a:off x="19904201" y="207741515"/>
          <a:ext cx="152400" cy="37085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1147</xdr:row>
      <xdr:rowOff>168275</xdr:rowOff>
    </xdr:from>
    <xdr:to>
      <xdr:col>10</xdr:col>
      <xdr:colOff>1392681</xdr:colOff>
      <xdr:row>1147</xdr:row>
      <xdr:rowOff>168275</xdr:rowOff>
    </xdr:to>
    <xdr:cxnSp macro="_xll.PtreeEvent_ObjectClick">
      <xdr:nvCxnSpPr>
        <xdr:cNvPr id="2287" name="PTObj_DBranchHLine_1_568">
          <a:extLst>
            <a:ext uri="{FF2B5EF4-FFF2-40B4-BE49-F238E27FC236}">
              <a16:creationId xmlns:a16="http://schemas.microsoft.com/office/drawing/2014/main" id="{BB2AA767-1836-4123-B962-8AD36E7BCBDE}"/>
            </a:ext>
          </a:extLst>
        </xdr:cNvPr>
        <xdr:cNvCxnSpPr/>
      </xdr:nvCxnSpPr>
      <xdr:spPr>
        <a:xfrm>
          <a:off x="18628804" y="207746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1145</xdr:row>
      <xdr:rowOff>159395</xdr:rowOff>
    </xdr:from>
    <xdr:to>
      <xdr:col>10</xdr:col>
      <xdr:colOff>197929</xdr:colOff>
      <xdr:row>1147</xdr:row>
      <xdr:rowOff>168275</xdr:rowOff>
    </xdr:to>
    <xdr:cxnSp macro="_xll.PtreeEvent_ObjectClick">
      <xdr:nvCxnSpPr>
        <xdr:cNvPr id="2286" name="PTObj_DBranchDLine_1_568">
          <a:extLst>
            <a:ext uri="{FF2B5EF4-FFF2-40B4-BE49-F238E27FC236}">
              <a16:creationId xmlns:a16="http://schemas.microsoft.com/office/drawing/2014/main" id="{26E9C7F0-ADB2-4B16-9921-1E89D0B9223F}"/>
            </a:ext>
          </a:extLst>
        </xdr:cNvPr>
        <xdr:cNvCxnSpPr/>
      </xdr:nvCxnSpPr>
      <xdr:spPr>
        <a:xfrm>
          <a:off x="18476404" y="207375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1145</xdr:row>
      <xdr:rowOff>164467</xdr:rowOff>
    </xdr:from>
    <xdr:to>
      <xdr:col>9</xdr:col>
      <xdr:colOff>1388870</xdr:colOff>
      <xdr:row>1145</xdr:row>
      <xdr:rowOff>164467</xdr:rowOff>
    </xdr:to>
    <xdr:cxnSp macro="_xll.PtreeEvent_ObjectClick">
      <xdr:nvCxnSpPr>
        <xdr:cNvPr id="2283" name="PTObj_DBranchHLine_1_567">
          <a:extLst>
            <a:ext uri="{FF2B5EF4-FFF2-40B4-BE49-F238E27FC236}">
              <a16:creationId xmlns:a16="http://schemas.microsoft.com/office/drawing/2014/main" id="{B56456A3-A010-44BA-BB6A-5D783F8D6C1A}"/>
            </a:ext>
          </a:extLst>
        </xdr:cNvPr>
        <xdr:cNvCxnSpPr/>
      </xdr:nvCxnSpPr>
      <xdr:spPr>
        <a:xfrm>
          <a:off x="17206720" y="207380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1143</xdr:row>
      <xdr:rowOff>151780</xdr:rowOff>
    </xdr:from>
    <xdr:to>
      <xdr:col>9</xdr:col>
      <xdr:colOff>204595</xdr:colOff>
      <xdr:row>1145</xdr:row>
      <xdr:rowOff>164467</xdr:rowOff>
    </xdr:to>
    <xdr:cxnSp macro="_xll.PtreeEvent_ObjectClick">
      <xdr:nvCxnSpPr>
        <xdr:cNvPr id="2282" name="PTObj_DBranchDLine_1_567">
          <a:extLst>
            <a:ext uri="{FF2B5EF4-FFF2-40B4-BE49-F238E27FC236}">
              <a16:creationId xmlns:a16="http://schemas.microsoft.com/office/drawing/2014/main" id="{2E5EE867-AD42-4B01-8D2B-1FA984734DE9}"/>
            </a:ext>
          </a:extLst>
        </xdr:cNvPr>
        <xdr:cNvCxnSpPr/>
      </xdr:nvCxnSpPr>
      <xdr:spPr>
        <a:xfrm>
          <a:off x="17054320" y="2070062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1143</xdr:row>
      <xdr:rowOff>160660</xdr:rowOff>
    </xdr:from>
    <xdr:to>
      <xdr:col>8</xdr:col>
      <xdr:colOff>1392681</xdr:colOff>
      <xdr:row>1143</xdr:row>
      <xdr:rowOff>160660</xdr:rowOff>
    </xdr:to>
    <xdr:cxnSp macro="_xll.PtreeEvent_ObjectClick">
      <xdr:nvCxnSpPr>
        <xdr:cNvPr id="2279" name="PTObj_DBranchHLine_1_566">
          <a:extLst>
            <a:ext uri="{FF2B5EF4-FFF2-40B4-BE49-F238E27FC236}">
              <a16:creationId xmlns:a16="http://schemas.microsoft.com/office/drawing/2014/main" id="{31346035-AC06-4688-ABB9-F312FCCD4571}"/>
            </a:ext>
          </a:extLst>
        </xdr:cNvPr>
        <xdr:cNvCxnSpPr/>
      </xdr:nvCxnSpPr>
      <xdr:spPr>
        <a:xfrm>
          <a:off x="15782734" y="207015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1141</xdr:row>
      <xdr:rowOff>147017</xdr:rowOff>
    </xdr:from>
    <xdr:to>
      <xdr:col>8</xdr:col>
      <xdr:colOff>209359</xdr:colOff>
      <xdr:row>1143</xdr:row>
      <xdr:rowOff>160660</xdr:rowOff>
    </xdr:to>
    <xdr:cxnSp macro="_xll.PtreeEvent_ObjectClick">
      <xdr:nvCxnSpPr>
        <xdr:cNvPr id="2278" name="PTObj_DBranchDLine_1_566">
          <a:extLst>
            <a:ext uri="{FF2B5EF4-FFF2-40B4-BE49-F238E27FC236}">
              <a16:creationId xmlns:a16="http://schemas.microsoft.com/office/drawing/2014/main" id="{8790B591-E00C-43F7-B8F8-232F89C68655}"/>
            </a:ext>
          </a:extLst>
        </xdr:cNvPr>
        <xdr:cNvCxnSpPr/>
      </xdr:nvCxnSpPr>
      <xdr:spPr>
        <a:xfrm>
          <a:off x="15630334" y="2066394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1139</xdr:row>
      <xdr:rowOff>153033</xdr:rowOff>
    </xdr:from>
    <xdr:to>
      <xdr:col>11</xdr:col>
      <xdr:colOff>1385063</xdr:colOff>
      <xdr:row>1139</xdr:row>
      <xdr:rowOff>153033</xdr:rowOff>
    </xdr:to>
    <xdr:cxnSp macro="_xll.PtreeEvent_ObjectClick">
      <xdr:nvCxnSpPr>
        <xdr:cNvPr id="2275" name="PTObj_DBranchHLine_1_564">
          <a:extLst>
            <a:ext uri="{FF2B5EF4-FFF2-40B4-BE49-F238E27FC236}">
              <a16:creationId xmlns:a16="http://schemas.microsoft.com/office/drawing/2014/main" id="{6CA3144C-F1B7-444B-8EBE-DC9A24175A67}"/>
            </a:ext>
          </a:extLst>
        </xdr:cNvPr>
        <xdr:cNvCxnSpPr/>
      </xdr:nvCxnSpPr>
      <xdr:spPr>
        <a:xfrm>
          <a:off x="20056601" y="206283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1137</xdr:row>
      <xdr:rowOff>140333</xdr:rowOff>
    </xdr:from>
    <xdr:to>
      <xdr:col>11</xdr:col>
      <xdr:colOff>196976</xdr:colOff>
      <xdr:row>1139</xdr:row>
      <xdr:rowOff>153033</xdr:rowOff>
    </xdr:to>
    <xdr:cxnSp macro="_xll.PtreeEvent_ObjectClick">
      <xdr:nvCxnSpPr>
        <xdr:cNvPr id="2274" name="PTObj_DBranchDLine_1_564">
          <a:extLst>
            <a:ext uri="{FF2B5EF4-FFF2-40B4-BE49-F238E27FC236}">
              <a16:creationId xmlns:a16="http://schemas.microsoft.com/office/drawing/2014/main" id="{1BFEF694-CEBB-43DC-B76C-706C1EFD570E}"/>
            </a:ext>
          </a:extLst>
        </xdr:cNvPr>
        <xdr:cNvCxnSpPr/>
      </xdr:nvCxnSpPr>
      <xdr:spPr>
        <a:xfrm>
          <a:off x="19904201" y="2059089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1137</xdr:row>
      <xdr:rowOff>149225</xdr:rowOff>
    </xdr:from>
    <xdr:to>
      <xdr:col>10</xdr:col>
      <xdr:colOff>1392681</xdr:colOff>
      <xdr:row>1137</xdr:row>
      <xdr:rowOff>149225</xdr:rowOff>
    </xdr:to>
    <xdr:cxnSp macro="_xll.PtreeEvent_ObjectClick">
      <xdr:nvCxnSpPr>
        <xdr:cNvPr id="2271" name="PTObj_DBranchHLine_1_563">
          <a:extLst>
            <a:ext uri="{FF2B5EF4-FFF2-40B4-BE49-F238E27FC236}">
              <a16:creationId xmlns:a16="http://schemas.microsoft.com/office/drawing/2014/main" id="{E1B7D60E-EFB6-45C4-B410-933503F43116}"/>
            </a:ext>
          </a:extLst>
        </xdr:cNvPr>
        <xdr:cNvCxnSpPr/>
      </xdr:nvCxnSpPr>
      <xdr:spPr>
        <a:xfrm>
          <a:off x="18628804" y="205917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1135</xdr:row>
      <xdr:rowOff>144152</xdr:rowOff>
    </xdr:from>
    <xdr:to>
      <xdr:col>10</xdr:col>
      <xdr:colOff>197929</xdr:colOff>
      <xdr:row>1137</xdr:row>
      <xdr:rowOff>149225</xdr:rowOff>
    </xdr:to>
    <xdr:cxnSp macro="_xll.PtreeEvent_ObjectClick">
      <xdr:nvCxnSpPr>
        <xdr:cNvPr id="2270" name="PTObj_DBranchDLine_1_563">
          <a:extLst>
            <a:ext uri="{FF2B5EF4-FFF2-40B4-BE49-F238E27FC236}">
              <a16:creationId xmlns:a16="http://schemas.microsoft.com/office/drawing/2014/main" id="{94518EC7-D028-4230-9BB6-E0EEC68775EE}"/>
            </a:ext>
          </a:extLst>
        </xdr:cNvPr>
        <xdr:cNvCxnSpPr/>
      </xdr:nvCxnSpPr>
      <xdr:spPr>
        <a:xfrm>
          <a:off x="18476404" y="2055507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1135</xdr:row>
      <xdr:rowOff>145417</xdr:rowOff>
    </xdr:from>
    <xdr:to>
      <xdr:col>9</xdr:col>
      <xdr:colOff>1388870</xdr:colOff>
      <xdr:row>1135</xdr:row>
      <xdr:rowOff>145417</xdr:rowOff>
    </xdr:to>
    <xdr:cxnSp macro="_xll.PtreeEvent_ObjectClick">
      <xdr:nvCxnSpPr>
        <xdr:cNvPr id="2267" name="PTObj_DBranchHLine_1_562">
          <a:extLst>
            <a:ext uri="{FF2B5EF4-FFF2-40B4-BE49-F238E27FC236}">
              <a16:creationId xmlns:a16="http://schemas.microsoft.com/office/drawing/2014/main" id="{6FD7A049-94AB-4A2B-8957-6DD76E9BB8F6}"/>
            </a:ext>
          </a:extLst>
        </xdr:cNvPr>
        <xdr:cNvCxnSpPr/>
      </xdr:nvCxnSpPr>
      <xdr:spPr>
        <a:xfrm>
          <a:off x="17206720" y="205552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1133</xdr:row>
      <xdr:rowOff>140333</xdr:rowOff>
    </xdr:from>
    <xdr:to>
      <xdr:col>9</xdr:col>
      <xdr:colOff>204595</xdr:colOff>
      <xdr:row>1135</xdr:row>
      <xdr:rowOff>145417</xdr:rowOff>
    </xdr:to>
    <xdr:cxnSp macro="_xll.PtreeEvent_ObjectClick">
      <xdr:nvCxnSpPr>
        <xdr:cNvPr id="2266" name="PTObj_DBranchDLine_1_562">
          <a:extLst>
            <a:ext uri="{FF2B5EF4-FFF2-40B4-BE49-F238E27FC236}">
              <a16:creationId xmlns:a16="http://schemas.microsoft.com/office/drawing/2014/main" id="{1BBBBA1C-EC42-47E9-9580-1EB64B259BE9}"/>
            </a:ext>
          </a:extLst>
        </xdr:cNvPr>
        <xdr:cNvCxnSpPr/>
      </xdr:nvCxnSpPr>
      <xdr:spPr>
        <a:xfrm>
          <a:off x="17054320" y="2051850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1133</xdr:row>
      <xdr:rowOff>141610</xdr:rowOff>
    </xdr:from>
    <xdr:to>
      <xdr:col>8</xdr:col>
      <xdr:colOff>1392681</xdr:colOff>
      <xdr:row>1133</xdr:row>
      <xdr:rowOff>141610</xdr:rowOff>
    </xdr:to>
    <xdr:cxnSp macro="_xll.PtreeEvent_ObjectClick">
      <xdr:nvCxnSpPr>
        <xdr:cNvPr id="2263" name="PTObj_DBranchHLine_1_561">
          <a:extLst>
            <a:ext uri="{FF2B5EF4-FFF2-40B4-BE49-F238E27FC236}">
              <a16:creationId xmlns:a16="http://schemas.microsoft.com/office/drawing/2014/main" id="{230B5C05-D35E-4807-A52A-3E4232E3B5BC}"/>
            </a:ext>
          </a:extLst>
        </xdr:cNvPr>
        <xdr:cNvCxnSpPr/>
      </xdr:nvCxnSpPr>
      <xdr:spPr>
        <a:xfrm>
          <a:off x="15782734" y="205186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1133</xdr:row>
      <xdr:rowOff>141610</xdr:rowOff>
    </xdr:from>
    <xdr:to>
      <xdr:col>8</xdr:col>
      <xdr:colOff>209359</xdr:colOff>
      <xdr:row>1141</xdr:row>
      <xdr:rowOff>147017</xdr:rowOff>
    </xdr:to>
    <xdr:cxnSp macro="_xll.PtreeEvent_ObjectClick">
      <xdr:nvCxnSpPr>
        <xdr:cNvPr id="2262" name="PTObj_DBranchDLine_1_561">
          <a:extLst>
            <a:ext uri="{FF2B5EF4-FFF2-40B4-BE49-F238E27FC236}">
              <a16:creationId xmlns:a16="http://schemas.microsoft.com/office/drawing/2014/main" id="{C07D8C26-0E5F-4793-AB81-B9582DBD76E2}"/>
            </a:ext>
          </a:extLst>
        </xdr:cNvPr>
        <xdr:cNvCxnSpPr/>
      </xdr:nvCxnSpPr>
      <xdr:spPr>
        <a:xfrm flipV="1">
          <a:off x="15630334" y="2051862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1141</xdr:row>
      <xdr:rowOff>156840</xdr:rowOff>
    </xdr:from>
    <xdr:to>
      <xdr:col>7</xdr:col>
      <xdr:colOff>1398397</xdr:colOff>
      <xdr:row>1141</xdr:row>
      <xdr:rowOff>156840</xdr:rowOff>
    </xdr:to>
    <xdr:cxnSp macro="_xll.PtreeEvent_ObjectClick">
      <xdr:nvCxnSpPr>
        <xdr:cNvPr id="2259" name="PTObj_DBranchHLine_1_565">
          <a:extLst>
            <a:ext uri="{FF2B5EF4-FFF2-40B4-BE49-F238E27FC236}">
              <a16:creationId xmlns:a16="http://schemas.microsoft.com/office/drawing/2014/main" id="{228F26FB-E310-446C-9337-A34FD2EA9A6F}"/>
            </a:ext>
          </a:extLst>
        </xdr:cNvPr>
        <xdr:cNvCxnSpPr/>
      </xdr:nvCxnSpPr>
      <xdr:spPr>
        <a:xfrm>
          <a:off x="14360652" y="2066493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1141</xdr:row>
      <xdr:rowOff>156840</xdr:rowOff>
    </xdr:from>
    <xdr:to>
      <xdr:col>7</xdr:col>
      <xdr:colOff>216027</xdr:colOff>
      <xdr:row>1151</xdr:row>
      <xdr:rowOff>176535</xdr:rowOff>
    </xdr:to>
    <xdr:cxnSp macro="_xll.PtreeEvent_ObjectClick">
      <xdr:nvCxnSpPr>
        <xdr:cNvPr id="2258" name="PTObj_DBranchDLine_1_565">
          <a:extLst>
            <a:ext uri="{FF2B5EF4-FFF2-40B4-BE49-F238E27FC236}">
              <a16:creationId xmlns:a16="http://schemas.microsoft.com/office/drawing/2014/main" id="{1E9E5C97-B221-4411-9B31-7EADE008B6DA}"/>
            </a:ext>
          </a:extLst>
        </xdr:cNvPr>
        <xdr:cNvCxnSpPr/>
      </xdr:nvCxnSpPr>
      <xdr:spPr>
        <a:xfrm flipV="1">
          <a:off x="14208252" y="206649315"/>
          <a:ext cx="152400" cy="18294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1151</xdr:row>
      <xdr:rowOff>175890</xdr:rowOff>
    </xdr:from>
    <xdr:to>
      <xdr:col>6</xdr:col>
      <xdr:colOff>1402207</xdr:colOff>
      <xdr:row>1151</xdr:row>
      <xdr:rowOff>175890</xdr:rowOff>
    </xdr:to>
    <xdr:cxnSp macro="_xll.PtreeEvent_ObjectClick">
      <xdr:nvCxnSpPr>
        <xdr:cNvPr id="2255" name="PTObj_DBranchHLine_1_570">
          <a:extLst>
            <a:ext uri="{FF2B5EF4-FFF2-40B4-BE49-F238E27FC236}">
              <a16:creationId xmlns:a16="http://schemas.microsoft.com/office/drawing/2014/main" id="{967C6C25-2845-4057-9F11-0EABD3BA7963}"/>
            </a:ext>
          </a:extLst>
        </xdr:cNvPr>
        <xdr:cNvCxnSpPr/>
      </xdr:nvCxnSpPr>
      <xdr:spPr>
        <a:xfrm>
          <a:off x="12938569" y="2084781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1151</xdr:row>
      <xdr:rowOff>175890</xdr:rowOff>
    </xdr:from>
    <xdr:to>
      <xdr:col>6</xdr:col>
      <xdr:colOff>222694</xdr:colOff>
      <xdr:row>1172</xdr:row>
      <xdr:rowOff>33660</xdr:rowOff>
    </xdr:to>
    <xdr:cxnSp macro="_xll.PtreeEvent_ObjectClick">
      <xdr:nvCxnSpPr>
        <xdr:cNvPr id="2254" name="PTObj_DBranchDLine_1_570">
          <a:extLst>
            <a:ext uri="{FF2B5EF4-FFF2-40B4-BE49-F238E27FC236}">
              <a16:creationId xmlns:a16="http://schemas.microsoft.com/office/drawing/2014/main" id="{B37490BB-C91E-4F8B-885F-068FB14C88C2}"/>
            </a:ext>
          </a:extLst>
        </xdr:cNvPr>
        <xdr:cNvCxnSpPr/>
      </xdr:nvCxnSpPr>
      <xdr:spPr>
        <a:xfrm flipV="1">
          <a:off x="12786169" y="208478115"/>
          <a:ext cx="152400" cy="36582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1172</xdr:row>
      <xdr:rowOff>33015</xdr:rowOff>
    </xdr:from>
    <xdr:to>
      <xdr:col>5</xdr:col>
      <xdr:colOff>1407922</xdr:colOff>
      <xdr:row>1172</xdr:row>
      <xdr:rowOff>33015</xdr:rowOff>
    </xdr:to>
    <xdr:cxnSp macro="_xll.PtreeEvent_ObjectClick">
      <xdr:nvCxnSpPr>
        <xdr:cNvPr id="2251" name="PTObj_DBranchHLine_1_580">
          <a:extLst>
            <a:ext uri="{FF2B5EF4-FFF2-40B4-BE49-F238E27FC236}">
              <a16:creationId xmlns:a16="http://schemas.microsoft.com/office/drawing/2014/main" id="{4AC92429-85C3-4D66-896C-DA6E196A3EAB}"/>
            </a:ext>
          </a:extLst>
        </xdr:cNvPr>
        <xdr:cNvCxnSpPr/>
      </xdr:nvCxnSpPr>
      <xdr:spPr>
        <a:xfrm>
          <a:off x="11510772" y="2121357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1172</xdr:row>
      <xdr:rowOff>33015</xdr:rowOff>
    </xdr:from>
    <xdr:to>
      <xdr:col>5</xdr:col>
      <xdr:colOff>223647</xdr:colOff>
      <xdr:row>1212</xdr:row>
      <xdr:rowOff>104155</xdr:rowOff>
    </xdr:to>
    <xdr:cxnSp macro="_xll.PtreeEvent_ObjectClick">
      <xdr:nvCxnSpPr>
        <xdr:cNvPr id="2250" name="PTObj_DBranchDLine_1_580">
          <a:extLst>
            <a:ext uri="{FF2B5EF4-FFF2-40B4-BE49-F238E27FC236}">
              <a16:creationId xmlns:a16="http://schemas.microsoft.com/office/drawing/2014/main" id="{71EB5BF6-0EB7-4682-9296-E0CA4EF8003A}"/>
            </a:ext>
          </a:extLst>
        </xdr:cNvPr>
        <xdr:cNvCxnSpPr/>
      </xdr:nvCxnSpPr>
      <xdr:spPr>
        <a:xfrm flipV="1">
          <a:off x="11358372" y="212135715"/>
          <a:ext cx="152400" cy="73101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1212</xdr:row>
      <xdr:rowOff>109215</xdr:rowOff>
    </xdr:from>
    <xdr:to>
      <xdr:col>4</xdr:col>
      <xdr:colOff>1411732</xdr:colOff>
      <xdr:row>1212</xdr:row>
      <xdr:rowOff>109215</xdr:rowOff>
    </xdr:to>
    <xdr:cxnSp macro="_xll.PtreeEvent_ObjectClick">
      <xdr:nvCxnSpPr>
        <xdr:cNvPr id="2247" name="PTObj_DBranchHLine_1_600">
          <a:extLst>
            <a:ext uri="{FF2B5EF4-FFF2-40B4-BE49-F238E27FC236}">
              <a16:creationId xmlns:a16="http://schemas.microsoft.com/office/drawing/2014/main" id="{DBF602A6-0D35-408C-A4AF-F64B1BF454C4}"/>
            </a:ext>
          </a:extLst>
        </xdr:cNvPr>
        <xdr:cNvCxnSpPr/>
      </xdr:nvCxnSpPr>
      <xdr:spPr>
        <a:xfrm>
          <a:off x="10086785" y="2194509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1131</xdr:row>
      <xdr:rowOff>138447</xdr:rowOff>
    </xdr:from>
    <xdr:to>
      <xdr:col>4</xdr:col>
      <xdr:colOff>228410</xdr:colOff>
      <xdr:row>1212</xdr:row>
      <xdr:rowOff>109215</xdr:rowOff>
    </xdr:to>
    <xdr:cxnSp macro="_xll.PtreeEvent_ObjectClick">
      <xdr:nvCxnSpPr>
        <xdr:cNvPr id="2246" name="PTObj_DBranchDLine_1_600">
          <a:extLst>
            <a:ext uri="{FF2B5EF4-FFF2-40B4-BE49-F238E27FC236}">
              <a16:creationId xmlns:a16="http://schemas.microsoft.com/office/drawing/2014/main" id="{15B76419-666B-4A56-9082-98118FF8E297}"/>
            </a:ext>
          </a:extLst>
        </xdr:cNvPr>
        <xdr:cNvCxnSpPr/>
      </xdr:nvCxnSpPr>
      <xdr:spPr>
        <a:xfrm>
          <a:off x="9934385" y="204821172"/>
          <a:ext cx="152400" cy="146297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1129</xdr:row>
      <xdr:rowOff>133983</xdr:rowOff>
    </xdr:from>
    <xdr:to>
      <xdr:col>11</xdr:col>
      <xdr:colOff>1384111</xdr:colOff>
      <xdr:row>1129</xdr:row>
      <xdr:rowOff>133983</xdr:rowOff>
    </xdr:to>
    <xdr:cxnSp macro="_xll.PtreeEvent_ObjectClick">
      <xdr:nvCxnSpPr>
        <xdr:cNvPr id="2243" name="PTObj_DBranchHLine_1_559">
          <a:extLst>
            <a:ext uri="{FF2B5EF4-FFF2-40B4-BE49-F238E27FC236}">
              <a16:creationId xmlns:a16="http://schemas.microsoft.com/office/drawing/2014/main" id="{28FA02F6-86FD-4DAF-A19E-091DD3D53A57}"/>
            </a:ext>
          </a:extLst>
        </xdr:cNvPr>
        <xdr:cNvCxnSpPr/>
      </xdr:nvCxnSpPr>
      <xdr:spPr>
        <a:xfrm>
          <a:off x="20056601" y="2044547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1127</xdr:row>
      <xdr:rowOff>125090</xdr:rowOff>
    </xdr:from>
    <xdr:to>
      <xdr:col>11</xdr:col>
      <xdr:colOff>196976</xdr:colOff>
      <xdr:row>1129</xdr:row>
      <xdr:rowOff>133983</xdr:rowOff>
    </xdr:to>
    <xdr:cxnSp macro="_xll.PtreeEvent_ObjectClick">
      <xdr:nvCxnSpPr>
        <xdr:cNvPr id="2242" name="PTObj_DBranchDLine_1_559">
          <a:extLst>
            <a:ext uri="{FF2B5EF4-FFF2-40B4-BE49-F238E27FC236}">
              <a16:creationId xmlns:a16="http://schemas.microsoft.com/office/drawing/2014/main" id="{572DAFC7-F67B-462C-9A7D-2022B3BC09D7}"/>
            </a:ext>
          </a:extLst>
        </xdr:cNvPr>
        <xdr:cNvCxnSpPr/>
      </xdr:nvCxnSpPr>
      <xdr:spPr>
        <a:xfrm>
          <a:off x="19904201" y="2040839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1127</xdr:row>
      <xdr:rowOff>130175</xdr:rowOff>
    </xdr:from>
    <xdr:to>
      <xdr:col>10</xdr:col>
      <xdr:colOff>1392681</xdr:colOff>
      <xdr:row>1127</xdr:row>
      <xdr:rowOff>130175</xdr:rowOff>
    </xdr:to>
    <xdr:cxnSp macro="_xll.PtreeEvent_ObjectClick">
      <xdr:nvCxnSpPr>
        <xdr:cNvPr id="2239" name="PTObj_DBranchHLine_1_558">
          <a:extLst>
            <a:ext uri="{FF2B5EF4-FFF2-40B4-BE49-F238E27FC236}">
              <a16:creationId xmlns:a16="http://schemas.microsoft.com/office/drawing/2014/main" id="{963B30F7-58DA-4D20-BC5A-4DFCA21109C2}"/>
            </a:ext>
          </a:extLst>
        </xdr:cNvPr>
        <xdr:cNvCxnSpPr/>
      </xdr:nvCxnSpPr>
      <xdr:spPr>
        <a:xfrm>
          <a:off x="18628804" y="204089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1125</xdr:row>
      <xdr:rowOff>121295</xdr:rowOff>
    </xdr:from>
    <xdr:to>
      <xdr:col>10</xdr:col>
      <xdr:colOff>197929</xdr:colOff>
      <xdr:row>1127</xdr:row>
      <xdr:rowOff>130175</xdr:rowOff>
    </xdr:to>
    <xdr:cxnSp macro="_xll.PtreeEvent_ObjectClick">
      <xdr:nvCxnSpPr>
        <xdr:cNvPr id="2238" name="PTObj_DBranchDLine_1_558">
          <a:extLst>
            <a:ext uri="{FF2B5EF4-FFF2-40B4-BE49-F238E27FC236}">
              <a16:creationId xmlns:a16="http://schemas.microsoft.com/office/drawing/2014/main" id="{0E66A45A-5126-4296-A6A8-F27CC3E85999}"/>
            </a:ext>
          </a:extLst>
        </xdr:cNvPr>
        <xdr:cNvCxnSpPr/>
      </xdr:nvCxnSpPr>
      <xdr:spPr>
        <a:xfrm>
          <a:off x="18476404" y="203718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1125</xdr:row>
      <xdr:rowOff>126367</xdr:rowOff>
    </xdr:from>
    <xdr:to>
      <xdr:col>9</xdr:col>
      <xdr:colOff>1388870</xdr:colOff>
      <xdr:row>1125</xdr:row>
      <xdr:rowOff>126367</xdr:rowOff>
    </xdr:to>
    <xdr:cxnSp macro="_xll.PtreeEvent_ObjectClick">
      <xdr:nvCxnSpPr>
        <xdr:cNvPr id="2235" name="PTObj_DBranchHLine_1_557">
          <a:extLst>
            <a:ext uri="{FF2B5EF4-FFF2-40B4-BE49-F238E27FC236}">
              <a16:creationId xmlns:a16="http://schemas.microsoft.com/office/drawing/2014/main" id="{C50DA14A-EF7F-44FB-893D-E0B767238F8F}"/>
            </a:ext>
          </a:extLst>
        </xdr:cNvPr>
        <xdr:cNvCxnSpPr/>
      </xdr:nvCxnSpPr>
      <xdr:spPr>
        <a:xfrm>
          <a:off x="17206720" y="203723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1123</xdr:row>
      <xdr:rowOff>113680</xdr:rowOff>
    </xdr:from>
    <xdr:to>
      <xdr:col>9</xdr:col>
      <xdr:colOff>204595</xdr:colOff>
      <xdr:row>1125</xdr:row>
      <xdr:rowOff>126367</xdr:rowOff>
    </xdr:to>
    <xdr:cxnSp macro="_xll.PtreeEvent_ObjectClick">
      <xdr:nvCxnSpPr>
        <xdr:cNvPr id="2234" name="PTObj_DBranchDLine_1_557">
          <a:extLst>
            <a:ext uri="{FF2B5EF4-FFF2-40B4-BE49-F238E27FC236}">
              <a16:creationId xmlns:a16="http://schemas.microsoft.com/office/drawing/2014/main" id="{08C20D31-5235-4956-BF5A-96AAD01701E4}"/>
            </a:ext>
          </a:extLst>
        </xdr:cNvPr>
        <xdr:cNvCxnSpPr/>
      </xdr:nvCxnSpPr>
      <xdr:spPr>
        <a:xfrm>
          <a:off x="17054320" y="2033486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1123</xdr:row>
      <xdr:rowOff>122560</xdr:rowOff>
    </xdr:from>
    <xdr:to>
      <xdr:col>8</xdr:col>
      <xdr:colOff>1392681</xdr:colOff>
      <xdr:row>1123</xdr:row>
      <xdr:rowOff>122560</xdr:rowOff>
    </xdr:to>
    <xdr:cxnSp macro="_xll.PtreeEvent_ObjectClick">
      <xdr:nvCxnSpPr>
        <xdr:cNvPr id="2231" name="PTObj_DBranchHLine_1_556">
          <a:extLst>
            <a:ext uri="{FF2B5EF4-FFF2-40B4-BE49-F238E27FC236}">
              <a16:creationId xmlns:a16="http://schemas.microsoft.com/office/drawing/2014/main" id="{F8EDFC4F-D013-4926-B97B-8FEBCD782CEA}"/>
            </a:ext>
          </a:extLst>
        </xdr:cNvPr>
        <xdr:cNvCxnSpPr/>
      </xdr:nvCxnSpPr>
      <xdr:spPr>
        <a:xfrm>
          <a:off x="15782734" y="203357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1121</xdr:row>
      <xdr:rowOff>108917</xdr:rowOff>
    </xdr:from>
    <xdr:to>
      <xdr:col>8</xdr:col>
      <xdr:colOff>209359</xdr:colOff>
      <xdr:row>1123</xdr:row>
      <xdr:rowOff>122560</xdr:rowOff>
    </xdr:to>
    <xdr:cxnSp macro="_xll.PtreeEvent_ObjectClick">
      <xdr:nvCxnSpPr>
        <xdr:cNvPr id="2230" name="PTObj_DBranchDLine_1_556">
          <a:extLst>
            <a:ext uri="{FF2B5EF4-FFF2-40B4-BE49-F238E27FC236}">
              <a16:creationId xmlns:a16="http://schemas.microsoft.com/office/drawing/2014/main" id="{E4AFFED2-D9A4-48AD-9B46-180255E37982}"/>
            </a:ext>
          </a:extLst>
        </xdr:cNvPr>
        <xdr:cNvCxnSpPr/>
      </xdr:nvCxnSpPr>
      <xdr:spPr>
        <a:xfrm>
          <a:off x="15630334" y="2029818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1119</xdr:row>
      <xdr:rowOff>114933</xdr:rowOff>
    </xdr:from>
    <xdr:to>
      <xdr:col>11</xdr:col>
      <xdr:colOff>1385063</xdr:colOff>
      <xdr:row>1119</xdr:row>
      <xdr:rowOff>114933</xdr:rowOff>
    </xdr:to>
    <xdr:cxnSp macro="_xll.PtreeEvent_ObjectClick">
      <xdr:nvCxnSpPr>
        <xdr:cNvPr id="2227" name="PTObj_DBranchHLine_1_554">
          <a:extLst>
            <a:ext uri="{FF2B5EF4-FFF2-40B4-BE49-F238E27FC236}">
              <a16:creationId xmlns:a16="http://schemas.microsoft.com/office/drawing/2014/main" id="{5A13B45D-E238-4160-AA3C-4CC07D7C84AA}"/>
            </a:ext>
          </a:extLst>
        </xdr:cNvPr>
        <xdr:cNvCxnSpPr/>
      </xdr:nvCxnSpPr>
      <xdr:spPr>
        <a:xfrm>
          <a:off x="20056601" y="202625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1117</xdr:row>
      <xdr:rowOff>102233</xdr:rowOff>
    </xdr:from>
    <xdr:to>
      <xdr:col>11</xdr:col>
      <xdr:colOff>196976</xdr:colOff>
      <xdr:row>1119</xdr:row>
      <xdr:rowOff>114933</xdr:rowOff>
    </xdr:to>
    <xdr:cxnSp macro="_xll.PtreeEvent_ObjectClick">
      <xdr:nvCxnSpPr>
        <xdr:cNvPr id="2226" name="PTObj_DBranchDLine_1_554">
          <a:extLst>
            <a:ext uri="{FF2B5EF4-FFF2-40B4-BE49-F238E27FC236}">
              <a16:creationId xmlns:a16="http://schemas.microsoft.com/office/drawing/2014/main" id="{2854A182-3069-438E-A878-F09829E0D73E}"/>
            </a:ext>
          </a:extLst>
        </xdr:cNvPr>
        <xdr:cNvCxnSpPr/>
      </xdr:nvCxnSpPr>
      <xdr:spPr>
        <a:xfrm>
          <a:off x="19904201" y="2022513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1117</xdr:row>
      <xdr:rowOff>111125</xdr:rowOff>
    </xdr:from>
    <xdr:to>
      <xdr:col>10</xdr:col>
      <xdr:colOff>1392681</xdr:colOff>
      <xdr:row>1117</xdr:row>
      <xdr:rowOff>111125</xdr:rowOff>
    </xdr:to>
    <xdr:cxnSp macro="_xll.PtreeEvent_ObjectClick">
      <xdr:nvCxnSpPr>
        <xdr:cNvPr id="2223" name="PTObj_DBranchHLine_1_553">
          <a:extLst>
            <a:ext uri="{FF2B5EF4-FFF2-40B4-BE49-F238E27FC236}">
              <a16:creationId xmlns:a16="http://schemas.microsoft.com/office/drawing/2014/main" id="{9A2AF1A3-2E00-451F-93BD-3E2ABD8F5461}"/>
            </a:ext>
          </a:extLst>
        </xdr:cNvPr>
        <xdr:cNvCxnSpPr/>
      </xdr:nvCxnSpPr>
      <xdr:spPr>
        <a:xfrm>
          <a:off x="18628804" y="202260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1115</xdr:row>
      <xdr:rowOff>106052</xdr:rowOff>
    </xdr:from>
    <xdr:to>
      <xdr:col>10</xdr:col>
      <xdr:colOff>197929</xdr:colOff>
      <xdr:row>1117</xdr:row>
      <xdr:rowOff>111125</xdr:rowOff>
    </xdr:to>
    <xdr:cxnSp macro="_xll.PtreeEvent_ObjectClick">
      <xdr:nvCxnSpPr>
        <xdr:cNvPr id="2222" name="PTObj_DBranchDLine_1_553">
          <a:extLst>
            <a:ext uri="{FF2B5EF4-FFF2-40B4-BE49-F238E27FC236}">
              <a16:creationId xmlns:a16="http://schemas.microsoft.com/office/drawing/2014/main" id="{AECEEDAB-92B0-480D-9828-0A1F30696B4C}"/>
            </a:ext>
          </a:extLst>
        </xdr:cNvPr>
        <xdr:cNvCxnSpPr/>
      </xdr:nvCxnSpPr>
      <xdr:spPr>
        <a:xfrm>
          <a:off x="18476404" y="2018931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1115</xdr:row>
      <xdr:rowOff>107317</xdr:rowOff>
    </xdr:from>
    <xdr:to>
      <xdr:col>9</xdr:col>
      <xdr:colOff>1388870</xdr:colOff>
      <xdr:row>1115</xdr:row>
      <xdr:rowOff>107317</xdr:rowOff>
    </xdr:to>
    <xdr:cxnSp macro="_xll.PtreeEvent_ObjectClick">
      <xdr:nvCxnSpPr>
        <xdr:cNvPr id="2219" name="PTObj_DBranchHLine_1_552">
          <a:extLst>
            <a:ext uri="{FF2B5EF4-FFF2-40B4-BE49-F238E27FC236}">
              <a16:creationId xmlns:a16="http://schemas.microsoft.com/office/drawing/2014/main" id="{9E478BF0-67A8-4765-881D-2AB19209BC72}"/>
            </a:ext>
          </a:extLst>
        </xdr:cNvPr>
        <xdr:cNvCxnSpPr/>
      </xdr:nvCxnSpPr>
      <xdr:spPr>
        <a:xfrm>
          <a:off x="17206720" y="201894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1113</xdr:row>
      <xdr:rowOff>102233</xdr:rowOff>
    </xdr:from>
    <xdr:to>
      <xdr:col>9</xdr:col>
      <xdr:colOff>204595</xdr:colOff>
      <xdr:row>1115</xdr:row>
      <xdr:rowOff>107317</xdr:rowOff>
    </xdr:to>
    <xdr:cxnSp macro="_xll.PtreeEvent_ObjectClick">
      <xdr:nvCxnSpPr>
        <xdr:cNvPr id="2218" name="PTObj_DBranchDLine_1_552">
          <a:extLst>
            <a:ext uri="{FF2B5EF4-FFF2-40B4-BE49-F238E27FC236}">
              <a16:creationId xmlns:a16="http://schemas.microsoft.com/office/drawing/2014/main" id="{D6339497-AF40-451B-9EDD-CD2578BA9EBA}"/>
            </a:ext>
          </a:extLst>
        </xdr:cNvPr>
        <xdr:cNvCxnSpPr/>
      </xdr:nvCxnSpPr>
      <xdr:spPr>
        <a:xfrm>
          <a:off x="17054320" y="2015274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1113</xdr:row>
      <xdr:rowOff>103510</xdr:rowOff>
    </xdr:from>
    <xdr:to>
      <xdr:col>8</xdr:col>
      <xdr:colOff>1392681</xdr:colOff>
      <xdr:row>1113</xdr:row>
      <xdr:rowOff>103510</xdr:rowOff>
    </xdr:to>
    <xdr:cxnSp macro="_xll.PtreeEvent_ObjectClick">
      <xdr:nvCxnSpPr>
        <xdr:cNvPr id="2215" name="PTObj_DBranchHLine_1_551">
          <a:extLst>
            <a:ext uri="{FF2B5EF4-FFF2-40B4-BE49-F238E27FC236}">
              <a16:creationId xmlns:a16="http://schemas.microsoft.com/office/drawing/2014/main" id="{94FBA67E-86E7-4838-B342-E9F6FA588976}"/>
            </a:ext>
          </a:extLst>
        </xdr:cNvPr>
        <xdr:cNvCxnSpPr/>
      </xdr:nvCxnSpPr>
      <xdr:spPr>
        <a:xfrm>
          <a:off x="15782734" y="201528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1113</xdr:row>
      <xdr:rowOff>103510</xdr:rowOff>
    </xdr:from>
    <xdr:to>
      <xdr:col>8</xdr:col>
      <xdr:colOff>209359</xdr:colOff>
      <xdr:row>1121</xdr:row>
      <xdr:rowOff>108917</xdr:rowOff>
    </xdr:to>
    <xdr:cxnSp macro="_xll.PtreeEvent_ObjectClick">
      <xdr:nvCxnSpPr>
        <xdr:cNvPr id="2214" name="PTObj_DBranchDLine_1_551">
          <a:extLst>
            <a:ext uri="{FF2B5EF4-FFF2-40B4-BE49-F238E27FC236}">
              <a16:creationId xmlns:a16="http://schemas.microsoft.com/office/drawing/2014/main" id="{507EE8A1-1031-43E7-B3A3-1243FFA91D4B}"/>
            </a:ext>
          </a:extLst>
        </xdr:cNvPr>
        <xdr:cNvCxnSpPr/>
      </xdr:nvCxnSpPr>
      <xdr:spPr>
        <a:xfrm flipV="1">
          <a:off x="15630334" y="2015286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1121</xdr:row>
      <xdr:rowOff>118740</xdr:rowOff>
    </xdr:from>
    <xdr:to>
      <xdr:col>7</xdr:col>
      <xdr:colOff>1398397</xdr:colOff>
      <xdr:row>1121</xdr:row>
      <xdr:rowOff>118740</xdr:rowOff>
    </xdr:to>
    <xdr:cxnSp macro="_xll.PtreeEvent_ObjectClick">
      <xdr:nvCxnSpPr>
        <xdr:cNvPr id="2211" name="PTObj_DBranchHLine_1_555">
          <a:extLst>
            <a:ext uri="{FF2B5EF4-FFF2-40B4-BE49-F238E27FC236}">
              <a16:creationId xmlns:a16="http://schemas.microsoft.com/office/drawing/2014/main" id="{2C9FA1A8-D5D4-49DF-B795-9E1D9410BA02}"/>
            </a:ext>
          </a:extLst>
        </xdr:cNvPr>
        <xdr:cNvCxnSpPr/>
      </xdr:nvCxnSpPr>
      <xdr:spPr>
        <a:xfrm>
          <a:off x="14362557" y="2029917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1111</xdr:row>
      <xdr:rowOff>98437</xdr:rowOff>
    </xdr:from>
    <xdr:to>
      <xdr:col>7</xdr:col>
      <xdr:colOff>217932</xdr:colOff>
      <xdr:row>1121</xdr:row>
      <xdr:rowOff>118740</xdr:rowOff>
    </xdr:to>
    <xdr:cxnSp macro="_xll.PtreeEvent_ObjectClick">
      <xdr:nvCxnSpPr>
        <xdr:cNvPr id="2210" name="PTObj_DBranchDLine_1_555">
          <a:extLst>
            <a:ext uri="{FF2B5EF4-FFF2-40B4-BE49-F238E27FC236}">
              <a16:creationId xmlns:a16="http://schemas.microsoft.com/office/drawing/2014/main" id="{87AB5899-C310-4A38-A289-3480F756E83F}"/>
            </a:ext>
          </a:extLst>
        </xdr:cNvPr>
        <xdr:cNvCxnSpPr/>
      </xdr:nvCxnSpPr>
      <xdr:spPr>
        <a:xfrm>
          <a:off x="14210157" y="201161662"/>
          <a:ext cx="152400" cy="18300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1109</xdr:row>
      <xdr:rowOff>95883</xdr:rowOff>
    </xdr:from>
    <xdr:to>
      <xdr:col>11</xdr:col>
      <xdr:colOff>1384111</xdr:colOff>
      <xdr:row>1109</xdr:row>
      <xdr:rowOff>95883</xdr:rowOff>
    </xdr:to>
    <xdr:cxnSp macro="_xll.PtreeEvent_ObjectClick">
      <xdr:nvCxnSpPr>
        <xdr:cNvPr id="2207" name="PTObj_DBranchHLine_1_549">
          <a:extLst>
            <a:ext uri="{FF2B5EF4-FFF2-40B4-BE49-F238E27FC236}">
              <a16:creationId xmlns:a16="http://schemas.microsoft.com/office/drawing/2014/main" id="{AA7AB608-703A-4794-AF70-4F2CFA5AFBF2}"/>
            </a:ext>
          </a:extLst>
        </xdr:cNvPr>
        <xdr:cNvCxnSpPr/>
      </xdr:nvCxnSpPr>
      <xdr:spPr>
        <a:xfrm>
          <a:off x="20056601" y="2007971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1107</xdr:row>
      <xdr:rowOff>86990</xdr:rowOff>
    </xdr:from>
    <xdr:to>
      <xdr:col>11</xdr:col>
      <xdr:colOff>196976</xdr:colOff>
      <xdr:row>1109</xdr:row>
      <xdr:rowOff>95883</xdr:rowOff>
    </xdr:to>
    <xdr:cxnSp macro="_xll.PtreeEvent_ObjectClick">
      <xdr:nvCxnSpPr>
        <xdr:cNvPr id="2206" name="PTObj_DBranchDLine_1_549">
          <a:extLst>
            <a:ext uri="{FF2B5EF4-FFF2-40B4-BE49-F238E27FC236}">
              <a16:creationId xmlns:a16="http://schemas.microsoft.com/office/drawing/2014/main" id="{9F8F40DF-EFDE-4C32-B22C-E0F1C5A4F87A}"/>
            </a:ext>
          </a:extLst>
        </xdr:cNvPr>
        <xdr:cNvCxnSpPr/>
      </xdr:nvCxnSpPr>
      <xdr:spPr>
        <a:xfrm>
          <a:off x="19904201" y="2004263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1107</xdr:row>
      <xdr:rowOff>92075</xdr:rowOff>
    </xdr:from>
    <xdr:to>
      <xdr:col>10</xdr:col>
      <xdr:colOff>1392681</xdr:colOff>
      <xdr:row>1107</xdr:row>
      <xdr:rowOff>92075</xdr:rowOff>
    </xdr:to>
    <xdr:cxnSp macro="_xll.PtreeEvent_ObjectClick">
      <xdr:nvCxnSpPr>
        <xdr:cNvPr id="2203" name="PTObj_DBranchHLine_1_548">
          <a:extLst>
            <a:ext uri="{FF2B5EF4-FFF2-40B4-BE49-F238E27FC236}">
              <a16:creationId xmlns:a16="http://schemas.microsoft.com/office/drawing/2014/main" id="{8E825FB6-6F42-4AF2-8138-76F556CF50B5}"/>
            </a:ext>
          </a:extLst>
        </xdr:cNvPr>
        <xdr:cNvCxnSpPr/>
      </xdr:nvCxnSpPr>
      <xdr:spPr>
        <a:xfrm>
          <a:off x="18628804" y="200431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1105</xdr:row>
      <xdr:rowOff>76510</xdr:rowOff>
    </xdr:from>
    <xdr:to>
      <xdr:col>10</xdr:col>
      <xdr:colOff>197929</xdr:colOff>
      <xdr:row>1107</xdr:row>
      <xdr:rowOff>92075</xdr:rowOff>
    </xdr:to>
    <xdr:cxnSp macro="_xll.PtreeEvent_ObjectClick">
      <xdr:nvCxnSpPr>
        <xdr:cNvPr id="2202" name="PTObj_DBranchDLine_1_548">
          <a:extLst>
            <a:ext uri="{FF2B5EF4-FFF2-40B4-BE49-F238E27FC236}">
              <a16:creationId xmlns:a16="http://schemas.microsoft.com/office/drawing/2014/main" id="{FF92498B-3BA1-462C-B08A-83971B0D48E6}"/>
            </a:ext>
          </a:extLst>
        </xdr:cNvPr>
        <xdr:cNvCxnSpPr/>
      </xdr:nvCxnSpPr>
      <xdr:spPr>
        <a:xfrm>
          <a:off x="18476404" y="2000538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1105</xdr:row>
      <xdr:rowOff>88267</xdr:rowOff>
    </xdr:from>
    <xdr:to>
      <xdr:col>9</xdr:col>
      <xdr:colOff>1388870</xdr:colOff>
      <xdr:row>1105</xdr:row>
      <xdr:rowOff>88267</xdr:rowOff>
    </xdr:to>
    <xdr:cxnSp macro="_xll.PtreeEvent_ObjectClick">
      <xdr:nvCxnSpPr>
        <xdr:cNvPr id="2199" name="PTObj_DBranchHLine_1_547">
          <a:extLst>
            <a:ext uri="{FF2B5EF4-FFF2-40B4-BE49-F238E27FC236}">
              <a16:creationId xmlns:a16="http://schemas.microsoft.com/office/drawing/2014/main" id="{7470DE76-2F68-4F76-82CA-DE75E7A3DE31}"/>
            </a:ext>
          </a:extLst>
        </xdr:cNvPr>
        <xdr:cNvCxnSpPr/>
      </xdr:nvCxnSpPr>
      <xdr:spPr>
        <a:xfrm>
          <a:off x="17206720" y="200065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1103</xdr:row>
      <xdr:rowOff>75567</xdr:rowOff>
    </xdr:from>
    <xdr:to>
      <xdr:col>9</xdr:col>
      <xdr:colOff>204595</xdr:colOff>
      <xdr:row>1105</xdr:row>
      <xdr:rowOff>88267</xdr:rowOff>
    </xdr:to>
    <xdr:cxnSp macro="_xll.PtreeEvent_ObjectClick">
      <xdr:nvCxnSpPr>
        <xdr:cNvPr id="2198" name="PTObj_DBranchDLine_1_547">
          <a:extLst>
            <a:ext uri="{FF2B5EF4-FFF2-40B4-BE49-F238E27FC236}">
              <a16:creationId xmlns:a16="http://schemas.microsoft.com/office/drawing/2014/main" id="{3FA29AE3-F48B-42E3-B714-A47842DC2584}"/>
            </a:ext>
          </a:extLst>
        </xdr:cNvPr>
        <xdr:cNvCxnSpPr/>
      </xdr:nvCxnSpPr>
      <xdr:spPr>
        <a:xfrm>
          <a:off x="17054320" y="199690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1103</xdr:row>
      <xdr:rowOff>84460</xdr:rowOff>
    </xdr:from>
    <xdr:to>
      <xdr:col>8</xdr:col>
      <xdr:colOff>1392681</xdr:colOff>
      <xdr:row>1103</xdr:row>
      <xdr:rowOff>84460</xdr:rowOff>
    </xdr:to>
    <xdr:cxnSp macro="_xll.PtreeEvent_ObjectClick">
      <xdr:nvCxnSpPr>
        <xdr:cNvPr id="2195" name="PTObj_DBranchHLine_1_546">
          <a:extLst>
            <a:ext uri="{FF2B5EF4-FFF2-40B4-BE49-F238E27FC236}">
              <a16:creationId xmlns:a16="http://schemas.microsoft.com/office/drawing/2014/main" id="{4FBE1944-6FCE-4C08-A533-245995646BF9}"/>
            </a:ext>
          </a:extLst>
        </xdr:cNvPr>
        <xdr:cNvCxnSpPr/>
      </xdr:nvCxnSpPr>
      <xdr:spPr>
        <a:xfrm>
          <a:off x="15782734" y="199699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1101</xdr:row>
      <xdr:rowOff>75567</xdr:rowOff>
    </xdr:from>
    <xdr:to>
      <xdr:col>8</xdr:col>
      <xdr:colOff>209359</xdr:colOff>
      <xdr:row>1103</xdr:row>
      <xdr:rowOff>84460</xdr:rowOff>
    </xdr:to>
    <xdr:cxnSp macro="_xll.PtreeEvent_ObjectClick">
      <xdr:nvCxnSpPr>
        <xdr:cNvPr id="2194" name="PTObj_DBranchDLine_1_546">
          <a:extLst>
            <a:ext uri="{FF2B5EF4-FFF2-40B4-BE49-F238E27FC236}">
              <a16:creationId xmlns:a16="http://schemas.microsoft.com/office/drawing/2014/main" id="{88D922CA-BF28-4C7F-BED7-74C20A5515CA}"/>
            </a:ext>
          </a:extLst>
        </xdr:cNvPr>
        <xdr:cNvCxnSpPr/>
      </xdr:nvCxnSpPr>
      <xdr:spPr>
        <a:xfrm>
          <a:off x="15630334" y="1993290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1099</xdr:row>
      <xdr:rowOff>76833</xdr:rowOff>
    </xdr:from>
    <xdr:to>
      <xdr:col>11</xdr:col>
      <xdr:colOff>1385063</xdr:colOff>
      <xdr:row>1099</xdr:row>
      <xdr:rowOff>76833</xdr:rowOff>
    </xdr:to>
    <xdr:cxnSp macro="_xll.PtreeEvent_ObjectClick">
      <xdr:nvCxnSpPr>
        <xdr:cNvPr id="2191" name="PTObj_DBranchHLine_1_544">
          <a:extLst>
            <a:ext uri="{FF2B5EF4-FFF2-40B4-BE49-F238E27FC236}">
              <a16:creationId xmlns:a16="http://schemas.microsoft.com/office/drawing/2014/main" id="{D378FA87-9DE8-491D-9BBF-3993D513142B}"/>
            </a:ext>
          </a:extLst>
        </xdr:cNvPr>
        <xdr:cNvCxnSpPr/>
      </xdr:nvCxnSpPr>
      <xdr:spPr>
        <a:xfrm>
          <a:off x="20056601" y="198968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1097</xdr:row>
      <xdr:rowOff>70793</xdr:rowOff>
    </xdr:from>
    <xdr:to>
      <xdr:col>11</xdr:col>
      <xdr:colOff>196976</xdr:colOff>
      <xdr:row>1099</xdr:row>
      <xdr:rowOff>76833</xdr:rowOff>
    </xdr:to>
    <xdr:cxnSp macro="_xll.PtreeEvent_ObjectClick">
      <xdr:nvCxnSpPr>
        <xdr:cNvPr id="2190" name="PTObj_DBranchDLine_1_544">
          <a:extLst>
            <a:ext uri="{FF2B5EF4-FFF2-40B4-BE49-F238E27FC236}">
              <a16:creationId xmlns:a16="http://schemas.microsoft.com/office/drawing/2014/main" id="{5E0A0DA0-4B4F-4B9D-BA09-D58F456F6BE9}"/>
            </a:ext>
          </a:extLst>
        </xdr:cNvPr>
        <xdr:cNvCxnSpPr/>
      </xdr:nvCxnSpPr>
      <xdr:spPr>
        <a:xfrm>
          <a:off x="19904201" y="1986003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1097</xdr:row>
      <xdr:rowOff>73025</xdr:rowOff>
    </xdr:from>
    <xdr:to>
      <xdr:col>10</xdr:col>
      <xdr:colOff>1392681</xdr:colOff>
      <xdr:row>1097</xdr:row>
      <xdr:rowOff>73025</xdr:rowOff>
    </xdr:to>
    <xdr:cxnSp macro="_xll.PtreeEvent_ObjectClick">
      <xdr:nvCxnSpPr>
        <xdr:cNvPr id="2187" name="PTObj_DBranchHLine_1_543">
          <a:extLst>
            <a:ext uri="{FF2B5EF4-FFF2-40B4-BE49-F238E27FC236}">
              <a16:creationId xmlns:a16="http://schemas.microsoft.com/office/drawing/2014/main" id="{9BD95278-42B9-4041-85B1-AC250A805974}"/>
            </a:ext>
          </a:extLst>
        </xdr:cNvPr>
        <xdr:cNvCxnSpPr/>
      </xdr:nvCxnSpPr>
      <xdr:spPr>
        <a:xfrm>
          <a:off x="18628804" y="198602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1095</xdr:row>
      <xdr:rowOff>68907</xdr:rowOff>
    </xdr:from>
    <xdr:to>
      <xdr:col>10</xdr:col>
      <xdr:colOff>197929</xdr:colOff>
      <xdr:row>1097</xdr:row>
      <xdr:rowOff>73025</xdr:rowOff>
    </xdr:to>
    <xdr:cxnSp macro="_xll.PtreeEvent_ObjectClick">
      <xdr:nvCxnSpPr>
        <xdr:cNvPr id="2186" name="PTObj_DBranchDLine_1_543">
          <a:extLst>
            <a:ext uri="{FF2B5EF4-FFF2-40B4-BE49-F238E27FC236}">
              <a16:creationId xmlns:a16="http://schemas.microsoft.com/office/drawing/2014/main" id="{E9A4FA3B-535A-4133-A77C-8DCC977D3033}"/>
            </a:ext>
          </a:extLst>
        </xdr:cNvPr>
        <xdr:cNvCxnSpPr/>
      </xdr:nvCxnSpPr>
      <xdr:spPr>
        <a:xfrm>
          <a:off x="18476404" y="1982365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1095</xdr:row>
      <xdr:rowOff>69217</xdr:rowOff>
    </xdr:from>
    <xdr:to>
      <xdr:col>9</xdr:col>
      <xdr:colOff>1388870</xdr:colOff>
      <xdr:row>1095</xdr:row>
      <xdr:rowOff>69217</xdr:rowOff>
    </xdr:to>
    <xdr:cxnSp macro="_xll.PtreeEvent_ObjectClick">
      <xdr:nvCxnSpPr>
        <xdr:cNvPr id="2183" name="PTObj_DBranchHLine_1_542">
          <a:extLst>
            <a:ext uri="{FF2B5EF4-FFF2-40B4-BE49-F238E27FC236}">
              <a16:creationId xmlns:a16="http://schemas.microsoft.com/office/drawing/2014/main" id="{37D29FA1-BC76-4B9E-9264-072C1A093EE6}"/>
            </a:ext>
          </a:extLst>
        </xdr:cNvPr>
        <xdr:cNvCxnSpPr/>
      </xdr:nvCxnSpPr>
      <xdr:spPr>
        <a:xfrm>
          <a:off x="17206720" y="198236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1093</xdr:row>
      <xdr:rowOff>63190</xdr:rowOff>
    </xdr:from>
    <xdr:to>
      <xdr:col>9</xdr:col>
      <xdr:colOff>204595</xdr:colOff>
      <xdr:row>1095</xdr:row>
      <xdr:rowOff>69217</xdr:rowOff>
    </xdr:to>
    <xdr:cxnSp macro="_xll.PtreeEvent_ObjectClick">
      <xdr:nvCxnSpPr>
        <xdr:cNvPr id="2182" name="PTObj_DBranchDLine_1_542">
          <a:extLst>
            <a:ext uri="{FF2B5EF4-FFF2-40B4-BE49-F238E27FC236}">
              <a16:creationId xmlns:a16="http://schemas.microsoft.com/office/drawing/2014/main" id="{85D4161F-263E-4D44-9340-0841F8BCE127}"/>
            </a:ext>
          </a:extLst>
        </xdr:cNvPr>
        <xdr:cNvCxnSpPr/>
      </xdr:nvCxnSpPr>
      <xdr:spPr>
        <a:xfrm>
          <a:off x="17054320" y="1978688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1093</xdr:row>
      <xdr:rowOff>65410</xdr:rowOff>
    </xdr:from>
    <xdr:to>
      <xdr:col>8</xdr:col>
      <xdr:colOff>1392681</xdr:colOff>
      <xdr:row>1093</xdr:row>
      <xdr:rowOff>65410</xdr:rowOff>
    </xdr:to>
    <xdr:cxnSp macro="_xll.PtreeEvent_ObjectClick">
      <xdr:nvCxnSpPr>
        <xdr:cNvPr id="2179" name="PTObj_DBranchHLine_1_541">
          <a:extLst>
            <a:ext uri="{FF2B5EF4-FFF2-40B4-BE49-F238E27FC236}">
              <a16:creationId xmlns:a16="http://schemas.microsoft.com/office/drawing/2014/main" id="{FEB78BD8-4A1D-4ADB-90E4-85EF3FDE9927}"/>
            </a:ext>
          </a:extLst>
        </xdr:cNvPr>
        <xdr:cNvCxnSpPr/>
      </xdr:nvCxnSpPr>
      <xdr:spPr>
        <a:xfrm>
          <a:off x="15782734" y="197871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1093</xdr:row>
      <xdr:rowOff>65410</xdr:rowOff>
    </xdr:from>
    <xdr:to>
      <xdr:col>8</xdr:col>
      <xdr:colOff>209359</xdr:colOff>
      <xdr:row>1101</xdr:row>
      <xdr:rowOff>75567</xdr:rowOff>
    </xdr:to>
    <xdr:cxnSp macro="_xll.PtreeEvent_ObjectClick">
      <xdr:nvCxnSpPr>
        <xdr:cNvPr id="2178" name="PTObj_DBranchDLine_1_541">
          <a:extLst>
            <a:ext uri="{FF2B5EF4-FFF2-40B4-BE49-F238E27FC236}">
              <a16:creationId xmlns:a16="http://schemas.microsoft.com/office/drawing/2014/main" id="{C6DC8EF6-FB01-4817-B41A-F008DC92A907}"/>
            </a:ext>
          </a:extLst>
        </xdr:cNvPr>
        <xdr:cNvCxnSpPr/>
      </xdr:nvCxnSpPr>
      <xdr:spPr>
        <a:xfrm flipV="1">
          <a:off x="15630334" y="1978710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1101</xdr:row>
      <xdr:rowOff>80640</xdr:rowOff>
    </xdr:from>
    <xdr:to>
      <xdr:col>7</xdr:col>
      <xdr:colOff>1398397</xdr:colOff>
      <xdr:row>1101</xdr:row>
      <xdr:rowOff>80640</xdr:rowOff>
    </xdr:to>
    <xdr:cxnSp macro="_xll.PtreeEvent_ObjectClick">
      <xdr:nvCxnSpPr>
        <xdr:cNvPr id="2175" name="PTObj_DBranchHLine_1_545">
          <a:extLst>
            <a:ext uri="{FF2B5EF4-FFF2-40B4-BE49-F238E27FC236}">
              <a16:creationId xmlns:a16="http://schemas.microsoft.com/office/drawing/2014/main" id="{C11F0F0E-C711-4C82-9DA8-662CC5109776}"/>
            </a:ext>
          </a:extLst>
        </xdr:cNvPr>
        <xdr:cNvCxnSpPr/>
      </xdr:nvCxnSpPr>
      <xdr:spPr>
        <a:xfrm>
          <a:off x="14360652" y="1993341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1101</xdr:row>
      <xdr:rowOff>80640</xdr:rowOff>
    </xdr:from>
    <xdr:to>
      <xdr:col>7</xdr:col>
      <xdr:colOff>216027</xdr:colOff>
      <xdr:row>1111</xdr:row>
      <xdr:rowOff>100347</xdr:rowOff>
    </xdr:to>
    <xdr:cxnSp macro="_xll.PtreeEvent_ObjectClick">
      <xdr:nvCxnSpPr>
        <xdr:cNvPr id="2174" name="PTObj_DBranchDLine_1_545">
          <a:extLst>
            <a:ext uri="{FF2B5EF4-FFF2-40B4-BE49-F238E27FC236}">
              <a16:creationId xmlns:a16="http://schemas.microsoft.com/office/drawing/2014/main" id="{5D043E06-733D-4240-B8FA-E88E2302DCE4}"/>
            </a:ext>
          </a:extLst>
        </xdr:cNvPr>
        <xdr:cNvCxnSpPr/>
      </xdr:nvCxnSpPr>
      <xdr:spPr>
        <a:xfrm flipV="1">
          <a:off x="14208252" y="199334115"/>
          <a:ext cx="152400" cy="18294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1111</xdr:row>
      <xdr:rowOff>99690</xdr:rowOff>
    </xdr:from>
    <xdr:to>
      <xdr:col>6</xdr:col>
      <xdr:colOff>1402207</xdr:colOff>
      <xdr:row>1111</xdr:row>
      <xdr:rowOff>99690</xdr:rowOff>
    </xdr:to>
    <xdr:cxnSp macro="_xll.PtreeEvent_ObjectClick">
      <xdr:nvCxnSpPr>
        <xdr:cNvPr id="2171" name="PTObj_DBranchHLine_1_550">
          <a:extLst>
            <a:ext uri="{FF2B5EF4-FFF2-40B4-BE49-F238E27FC236}">
              <a16:creationId xmlns:a16="http://schemas.microsoft.com/office/drawing/2014/main" id="{D0F0433E-7471-4CE0-8503-566739719CDB}"/>
            </a:ext>
          </a:extLst>
        </xdr:cNvPr>
        <xdr:cNvCxnSpPr/>
      </xdr:nvCxnSpPr>
      <xdr:spPr>
        <a:xfrm>
          <a:off x="12936665" y="201162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1091</xdr:row>
      <xdr:rowOff>56517</xdr:rowOff>
    </xdr:from>
    <xdr:to>
      <xdr:col>6</xdr:col>
      <xdr:colOff>220790</xdr:colOff>
      <xdr:row>1111</xdr:row>
      <xdr:rowOff>99690</xdr:rowOff>
    </xdr:to>
    <xdr:cxnSp macro="_xll.PtreeEvent_ObjectClick">
      <xdr:nvCxnSpPr>
        <xdr:cNvPr id="2170" name="PTObj_DBranchDLine_1_550">
          <a:extLst>
            <a:ext uri="{FF2B5EF4-FFF2-40B4-BE49-F238E27FC236}">
              <a16:creationId xmlns:a16="http://schemas.microsoft.com/office/drawing/2014/main" id="{6986907C-FE91-43BD-A24B-80C877737B9E}"/>
            </a:ext>
          </a:extLst>
        </xdr:cNvPr>
        <xdr:cNvCxnSpPr/>
      </xdr:nvCxnSpPr>
      <xdr:spPr>
        <a:xfrm>
          <a:off x="12784265" y="197500242"/>
          <a:ext cx="152400" cy="36626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1089</xdr:row>
      <xdr:rowOff>57783</xdr:rowOff>
    </xdr:from>
    <xdr:to>
      <xdr:col>11</xdr:col>
      <xdr:colOff>1392682</xdr:colOff>
      <xdr:row>1089</xdr:row>
      <xdr:rowOff>57783</xdr:rowOff>
    </xdr:to>
    <xdr:cxnSp macro="_xll.PtreeEvent_ObjectClick">
      <xdr:nvCxnSpPr>
        <xdr:cNvPr id="2167" name="PTObj_DBranchHLine_1_539">
          <a:extLst>
            <a:ext uri="{FF2B5EF4-FFF2-40B4-BE49-F238E27FC236}">
              <a16:creationId xmlns:a16="http://schemas.microsoft.com/office/drawing/2014/main" id="{810F3127-0582-40A7-B98E-EE41AC644B83}"/>
            </a:ext>
          </a:extLst>
        </xdr:cNvPr>
        <xdr:cNvCxnSpPr/>
      </xdr:nvCxnSpPr>
      <xdr:spPr>
        <a:xfrm>
          <a:off x="20056601" y="1971395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1087</xdr:row>
      <xdr:rowOff>41275</xdr:rowOff>
    </xdr:from>
    <xdr:to>
      <xdr:col>11</xdr:col>
      <xdr:colOff>196976</xdr:colOff>
      <xdr:row>1089</xdr:row>
      <xdr:rowOff>57783</xdr:rowOff>
    </xdr:to>
    <xdr:cxnSp macro="_xll.PtreeEvent_ObjectClick">
      <xdr:nvCxnSpPr>
        <xdr:cNvPr id="2166" name="PTObj_DBranchDLine_1_539">
          <a:extLst>
            <a:ext uri="{FF2B5EF4-FFF2-40B4-BE49-F238E27FC236}">
              <a16:creationId xmlns:a16="http://schemas.microsoft.com/office/drawing/2014/main" id="{6CF79121-4D06-4D2C-9F3E-D2819AE48582}"/>
            </a:ext>
          </a:extLst>
        </xdr:cNvPr>
        <xdr:cNvCxnSpPr/>
      </xdr:nvCxnSpPr>
      <xdr:spPr>
        <a:xfrm>
          <a:off x="19904201" y="1967611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1087</xdr:row>
      <xdr:rowOff>53975</xdr:rowOff>
    </xdr:from>
    <xdr:to>
      <xdr:col>10</xdr:col>
      <xdr:colOff>1392681</xdr:colOff>
      <xdr:row>1087</xdr:row>
      <xdr:rowOff>53975</xdr:rowOff>
    </xdr:to>
    <xdr:cxnSp macro="_xll.PtreeEvent_ObjectClick">
      <xdr:nvCxnSpPr>
        <xdr:cNvPr id="2163" name="PTObj_DBranchHLine_1_538">
          <a:extLst>
            <a:ext uri="{FF2B5EF4-FFF2-40B4-BE49-F238E27FC236}">
              <a16:creationId xmlns:a16="http://schemas.microsoft.com/office/drawing/2014/main" id="{92128BEC-4132-4453-946D-A7A46A9514F9}"/>
            </a:ext>
          </a:extLst>
        </xdr:cNvPr>
        <xdr:cNvCxnSpPr/>
      </xdr:nvCxnSpPr>
      <xdr:spPr>
        <a:xfrm>
          <a:off x="18628804" y="196773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1085</xdr:row>
      <xdr:rowOff>38410</xdr:rowOff>
    </xdr:from>
    <xdr:to>
      <xdr:col>10</xdr:col>
      <xdr:colOff>197929</xdr:colOff>
      <xdr:row>1087</xdr:row>
      <xdr:rowOff>53975</xdr:rowOff>
    </xdr:to>
    <xdr:cxnSp macro="_xll.PtreeEvent_ObjectClick">
      <xdr:nvCxnSpPr>
        <xdr:cNvPr id="2162" name="PTObj_DBranchDLine_1_538">
          <a:extLst>
            <a:ext uri="{FF2B5EF4-FFF2-40B4-BE49-F238E27FC236}">
              <a16:creationId xmlns:a16="http://schemas.microsoft.com/office/drawing/2014/main" id="{A1F5479A-50D3-49F7-BBCA-B3CC72B5B0DB}"/>
            </a:ext>
          </a:extLst>
        </xdr:cNvPr>
        <xdr:cNvCxnSpPr/>
      </xdr:nvCxnSpPr>
      <xdr:spPr>
        <a:xfrm>
          <a:off x="18476404" y="1963962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1085</xdr:row>
      <xdr:rowOff>50167</xdr:rowOff>
    </xdr:from>
    <xdr:to>
      <xdr:col>9</xdr:col>
      <xdr:colOff>1388870</xdr:colOff>
      <xdr:row>1085</xdr:row>
      <xdr:rowOff>50167</xdr:rowOff>
    </xdr:to>
    <xdr:cxnSp macro="_xll.PtreeEvent_ObjectClick">
      <xdr:nvCxnSpPr>
        <xdr:cNvPr id="2159" name="PTObj_DBranchHLine_1_537">
          <a:extLst>
            <a:ext uri="{FF2B5EF4-FFF2-40B4-BE49-F238E27FC236}">
              <a16:creationId xmlns:a16="http://schemas.microsoft.com/office/drawing/2014/main" id="{484787F0-9F28-4688-8847-7DEF408A2F54}"/>
            </a:ext>
          </a:extLst>
        </xdr:cNvPr>
        <xdr:cNvCxnSpPr/>
      </xdr:nvCxnSpPr>
      <xdr:spPr>
        <a:xfrm>
          <a:off x="17206720" y="196408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1083</xdr:row>
      <xdr:rowOff>37467</xdr:rowOff>
    </xdr:from>
    <xdr:to>
      <xdr:col>9</xdr:col>
      <xdr:colOff>204595</xdr:colOff>
      <xdr:row>1085</xdr:row>
      <xdr:rowOff>50167</xdr:rowOff>
    </xdr:to>
    <xdr:cxnSp macro="_xll.PtreeEvent_ObjectClick">
      <xdr:nvCxnSpPr>
        <xdr:cNvPr id="2158" name="PTObj_DBranchDLine_1_537">
          <a:extLst>
            <a:ext uri="{FF2B5EF4-FFF2-40B4-BE49-F238E27FC236}">
              <a16:creationId xmlns:a16="http://schemas.microsoft.com/office/drawing/2014/main" id="{60EDCA00-E656-4D43-984D-470CBEE48B8C}"/>
            </a:ext>
          </a:extLst>
        </xdr:cNvPr>
        <xdr:cNvCxnSpPr/>
      </xdr:nvCxnSpPr>
      <xdr:spPr>
        <a:xfrm>
          <a:off x="17054320" y="1960333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1083</xdr:row>
      <xdr:rowOff>46360</xdr:rowOff>
    </xdr:from>
    <xdr:to>
      <xdr:col>8</xdr:col>
      <xdr:colOff>1392681</xdr:colOff>
      <xdr:row>1083</xdr:row>
      <xdr:rowOff>46360</xdr:rowOff>
    </xdr:to>
    <xdr:cxnSp macro="_xll.PtreeEvent_ObjectClick">
      <xdr:nvCxnSpPr>
        <xdr:cNvPr id="2155" name="PTObj_DBranchHLine_1_536">
          <a:extLst>
            <a:ext uri="{FF2B5EF4-FFF2-40B4-BE49-F238E27FC236}">
              <a16:creationId xmlns:a16="http://schemas.microsoft.com/office/drawing/2014/main" id="{49FF638F-80B9-4666-9A41-7BDEAE633A05}"/>
            </a:ext>
          </a:extLst>
        </xdr:cNvPr>
        <xdr:cNvCxnSpPr/>
      </xdr:nvCxnSpPr>
      <xdr:spPr>
        <a:xfrm>
          <a:off x="15782734" y="196042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1081</xdr:row>
      <xdr:rowOff>37467</xdr:rowOff>
    </xdr:from>
    <xdr:to>
      <xdr:col>8</xdr:col>
      <xdr:colOff>209359</xdr:colOff>
      <xdr:row>1083</xdr:row>
      <xdr:rowOff>46360</xdr:rowOff>
    </xdr:to>
    <xdr:cxnSp macro="_xll.PtreeEvent_ObjectClick">
      <xdr:nvCxnSpPr>
        <xdr:cNvPr id="2154" name="PTObj_DBranchDLine_1_536">
          <a:extLst>
            <a:ext uri="{FF2B5EF4-FFF2-40B4-BE49-F238E27FC236}">
              <a16:creationId xmlns:a16="http://schemas.microsoft.com/office/drawing/2014/main" id="{F8665029-6936-4DC8-AF95-8EAED5378F9C}"/>
            </a:ext>
          </a:extLst>
        </xdr:cNvPr>
        <xdr:cNvCxnSpPr/>
      </xdr:nvCxnSpPr>
      <xdr:spPr>
        <a:xfrm>
          <a:off x="15630334" y="1956714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1079</xdr:row>
      <xdr:rowOff>38733</xdr:rowOff>
    </xdr:from>
    <xdr:to>
      <xdr:col>11</xdr:col>
      <xdr:colOff>1385063</xdr:colOff>
      <xdr:row>1079</xdr:row>
      <xdr:rowOff>38733</xdr:rowOff>
    </xdr:to>
    <xdr:cxnSp macro="_xll.PtreeEvent_ObjectClick">
      <xdr:nvCxnSpPr>
        <xdr:cNvPr id="2151" name="PTObj_DBranchHLine_1_534">
          <a:extLst>
            <a:ext uri="{FF2B5EF4-FFF2-40B4-BE49-F238E27FC236}">
              <a16:creationId xmlns:a16="http://schemas.microsoft.com/office/drawing/2014/main" id="{ABDCCEE4-499A-4C43-ACD4-920345DD9F7B}"/>
            </a:ext>
          </a:extLst>
        </xdr:cNvPr>
        <xdr:cNvCxnSpPr/>
      </xdr:nvCxnSpPr>
      <xdr:spPr>
        <a:xfrm>
          <a:off x="20056601" y="195310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1077</xdr:row>
      <xdr:rowOff>32693</xdr:rowOff>
    </xdr:from>
    <xdr:to>
      <xdr:col>11</xdr:col>
      <xdr:colOff>196976</xdr:colOff>
      <xdr:row>1079</xdr:row>
      <xdr:rowOff>38733</xdr:rowOff>
    </xdr:to>
    <xdr:cxnSp macro="_xll.PtreeEvent_ObjectClick">
      <xdr:nvCxnSpPr>
        <xdr:cNvPr id="2150" name="PTObj_DBranchDLine_1_534">
          <a:extLst>
            <a:ext uri="{FF2B5EF4-FFF2-40B4-BE49-F238E27FC236}">
              <a16:creationId xmlns:a16="http://schemas.microsoft.com/office/drawing/2014/main" id="{0A2F3760-EE33-4147-8620-0547D5AF7DE5}"/>
            </a:ext>
          </a:extLst>
        </xdr:cNvPr>
        <xdr:cNvCxnSpPr/>
      </xdr:nvCxnSpPr>
      <xdr:spPr>
        <a:xfrm>
          <a:off x="19904201" y="1949427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1077</xdr:row>
      <xdr:rowOff>34925</xdr:rowOff>
    </xdr:from>
    <xdr:to>
      <xdr:col>10</xdr:col>
      <xdr:colOff>1392681</xdr:colOff>
      <xdr:row>1077</xdr:row>
      <xdr:rowOff>34925</xdr:rowOff>
    </xdr:to>
    <xdr:cxnSp macro="_xll.PtreeEvent_ObjectClick">
      <xdr:nvCxnSpPr>
        <xdr:cNvPr id="2147" name="PTObj_DBranchHLine_1_533">
          <a:extLst>
            <a:ext uri="{FF2B5EF4-FFF2-40B4-BE49-F238E27FC236}">
              <a16:creationId xmlns:a16="http://schemas.microsoft.com/office/drawing/2014/main" id="{C03FA3E5-D988-4C88-B980-3EF708D44BFA}"/>
            </a:ext>
          </a:extLst>
        </xdr:cNvPr>
        <xdr:cNvCxnSpPr/>
      </xdr:nvCxnSpPr>
      <xdr:spPr>
        <a:xfrm>
          <a:off x="18628804" y="194945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1075</xdr:row>
      <xdr:rowOff>30807</xdr:rowOff>
    </xdr:from>
    <xdr:to>
      <xdr:col>10</xdr:col>
      <xdr:colOff>197929</xdr:colOff>
      <xdr:row>1077</xdr:row>
      <xdr:rowOff>34925</xdr:rowOff>
    </xdr:to>
    <xdr:cxnSp macro="_xll.PtreeEvent_ObjectClick">
      <xdr:nvCxnSpPr>
        <xdr:cNvPr id="2146" name="PTObj_DBranchDLine_1_533">
          <a:extLst>
            <a:ext uri="{FF2B5EF4-FFF2-40B4-BE49-F238E27FC236}">
              <a16:creationId xmlns:a16="http://schemas.microsoft.com/office/drawing/2014/main" id="{9669DF63-A731-41D9-A944-AD7C15026E9B}"/>
            </a:ext>
          </a:extLst>
        </xdr:cNvPr>
        <xdr:cNvCxnSpPr/>
      </xdr:nvCxnSpPr>
      <xdr:spPr>
        <a:xfrm>
          <a:off x="18476404" y="1945789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1075</xdr:row>
      <xdr:rowOff>31117</xdr:rowOff>
    </xdr:from>
    <xdr:to>
      <xdr:col>9</xdr:col>
      <xdr:colOff>1388870</xdr:colOff>
      <xdr:row>1075</xdr:row>
      <xdr:rowOff>31117</xdr:rowOff>
    </xdr:to>
    <xdr:cxnSp macro="_xll.PtreeEvent_ObjectClick">
      <xdr:nvCxnSpPr>
        <xdr:cNvPr id="2143" name="PTObj_DBranchHLine_1_532">
          <a:extLst>
            <a:ext uri="{FF2B5EF4-FFF2-40B4-BE49-F238E27FC236}">
              <a16:creationId xmlns:a16="http://schemas.microsoft.com/office/drawing/2014/main" id="{4DD50835-3DDD-48BD-8EA6-5AEE7757191F}"/>
            </a:ext>
          </a:extLst>
        </xdr:cNvPr>
        <xdr:cNvCxnSpPr/>
      </xdr:nvCxnSpPr>
      <xdr:spPr>
        <a:xfrm>
          <a:off x="17206720" y="194579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1073</xdr:row>
      <xdr:rowOff>25090</xdr:rowOff>
    </xdr:from>
    <xdr:to>
      <xdr:col>9</xdr:col>
      <xdr:colOff>204595</xdr:colOff>
      <xdr:row>1075</xdr:row>
      <xdr:rowOff>31117</xdr:rowOff>
    </xdr:to>
    <xdr:cxnSp macro="_xll.PtreeEvent_ObjectClick">
      <xdr:nvCxnSpPr>
        <xdr:cNvPr id="2142" name="PTObj_DBranchDLine_1_532">
          <a:extLst>
            <a:ext uri="{FF2B5EF4-FFF2-40B4-BE49-F238E27FC236}">
              <a16:creationId xmlns:a16="http://schemas.microsoft.com/office/drawing/2014/main" id="{53F880A6-5F31-458C-A896-E4D2D4F1FC7D}"/>
            </a:ext>
          </a:extLst>
        </xdr:cNvPr>
        <xdr:cNvCxnSpPr/>
      </xdr:nvCxnSpPr>
      <xdr:spPr>
        <a:xfrm>
          <a:off x="17054320" y="1942112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1073</xdr:row>
      <xdr:rowOff>27310</xdr:rowOff>
    </xdr:from>
    <xdr:to>
      <xdr:col>8</xdr:col>
      <xdr:colOff>1392681</xdr:colOff>
      <xdr:row>1073</xdr:row>
      <xdr:rowOff>27310</xdr:rowOff>
    </xdr:to>
    <xdr:cxnSp macro="_xll.PtreeEvent_ObjectClick">
      <xdr:nvCxnSpPr>
        <xdr:cNvPr id="2139" name="PTObj_DBranchHLine_1_531">
          <a:extLst>
            <a:ext uri="{FF2B5EF4-FFF2-40B4-BE49-F238E27FC236}">
              <a16:creationId xmlns:a16="http://schemas.microsoft.com/office/drawing/2014/main" id="{0AABD146-B68B-48D8-9192-C6C05C548CC7}"/>
            </a:ext>
          </a:extLst>
        </xdr:cNvPr>
        <xdr:cNvCxnSpPr/>
      </xdr:nvCxnSpPr>
      <xdr:spPr>
        <a:xfrm>
          <a:off x="15782734" y="194213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1073</xdr:row>
      <xdr:rowOff>27310</xdr:rowOff>
    </xdr:from>
    <xdr:to>
      <xdr:col>8</xdr:col>
      <xdr:colOff>209359</xdr:colOff>
      <xdr:row>1081</xdr:row>
      <xdr:rowOff>37467</xdr:rowOff>
    </xdr:to>
    <xdr:cxnSp macro="_xll.PtreeEvent_ObjectClick">
      <xdr:nvCxnSpPr>
        <xdr:cNvPr id="2138" name="PTObj_DBranchDLine_1_531">
          <a:extLst>
            <a:ext uri="{FF2B5EF4-FFF2-40B4-BE49-F238E27FC236}">
              <a16:creationId xmlns:a16="http://schemas.microsoft.com/office/drawing/2014/main" id="{C453708A-033E-4A66-A51B-F5ABF514940B}"/>
            </a:ext>
          </a:extLst>
        </xdr:cNvPr>
        <xdr:cNvCxnSpPr/>
      </xdr:nvCxnSpPr>
      <xdr:spPr>
        <a:xfrm flipV="1">
          <a:off x="15630334" y="1942134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1081</xdr:row>
      <xdr:rowOff>42540</xdr:rowOff>
    </xdr:from>
    <xdr:to>
      <xdr:col>7</xdr:col>
      <xdr:colOff>1398397</xdr:colOff>
      <xdr:row>1081</xdr:row>
      <xdr:rowOff>42540</xdr:rowOff>
    </xdr:to>
    <xdr:cxnSp macro="_xll.PtreeEvent_ObjectClick">
      <xdr:nvCxnSpPr>
        <xdr:cNvPr id="2135" name="PTObj_DBranchHLine_1_535">
          <a:extLst>
            <a:ext uri="{FF2B5EF4-FFF2-40B4-BE49-F238E27FC236}">
              <a16:creationId xmlns:a16="http://schemas.microsoft.com/office/drawing/2014/main" id="{68A450AC-1648-4F86-A571-10A0FD2D1D68}"/>
            </a:ext>
          </a:extLst>
        </xdr:cNvPr>
        <xdr:cNvCxnSpPr/>
      </xdr:nvCxnSpPr>
      <xdr:spPr>
        <a:xfrm>
          <a:off x="14362557" y="1956765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1071</xdr:row>
      <xdr:rowOff>18417</xdr:rowOff>
    </xdr:from>
    <xdr:to>
      <xdr:col>7</xdr:col>
      <xdr:colOff>217932</xdr:colOff>
      <xdr:row>1081</xdr:row>
      <xdr:rowOff>42540</xdr:rowOff>
    </xdr:to>
    <xdr:cxnSp macro="_xll.PtreeEvent_ObjectClick">
      <xdr:nvCxnSpPr>
        <xdr:cNvPr id="2134" name="PTObj_DBranchDLine_1_535">
          <a:extLst>
            <a:ext uri="{FF2B5EF4-FFF2-40B4-BE49-F238E27FC236}">
              <a16:creationId xmlns:a16="http://schemas.microsoft.com/office/drawing/2014/main" id="{8CA04883-85EA-439D-B907-8C1F99CAF1AC}"/>
            </a:ext>
          </a:extLst>
        </xdr:cNvPr>
        <xdr:cNvCxnSpPr/>
      </xdr:nvCxnSpPr>
      <xdr:spPr>
        <a:xfrm>
          <a:off x="14210157" y="193842642"/>
          <a:ext cx="152400" cy="18338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1069</xdr:row>
      <xdr:rowOff>19683</xdr:rowOff>
    </xdr:from>
    <xdr:to>
      <xdr:col>11</xdr:col>
      <xdr:colOff>1392682</xdr:colOff>
      <xdr:row>1069</xdr:row>
      <xdr:rowOff>19683</xdr:rowOff>
    </xdr:to>
    <xdr:cxnSp macro="_xll.PtreeEvent_ObjectClick">
      <xdr:nvCxnSpPr>
        <xdr:cNvPr id="2131" name="PTObj_DBranchHLine_1_529">
          <a:extLst>
            <a:ext uri="{FF2B5EF4-FFF2-40B4-BE49-F238E27FC236}">
              <a16:creationId xmlns:a16="http://schemas.microsoft.com/office/drawing/2014/main" id="{6500DC2D-A598-4B75-8F88-583EEEE9DB7E}"/>
            </a:ext>
          </a:extLst>
        </xdr:cNvPr>
        <xdr:cNvCxnSpPr/>
      </xdr:nvCxnSpPr>
      <xdr:spPr>
        <a:xfrm>
          <a:off x="20056601" y="1934819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1067</xdr:row>
      <xdr:rowOff>3175</xdr:rowOff>
    </xdr:from>
    <xdr:to>
      <xdr:col>11</xdr:col>
      <xdr:colOff>196976</xdr:colOff>
      <xdr:row>1069</xdr:row>
      <xdr:rowOff>19683</xdr:rowOff>
    </xdr:to>
    <xdr:cxnSp macro="_xll.PtreeEvent_ObjectClick">
      <xdr:nvCxnSpPr>
        <xdr:cNvPr id="2130" name="PTObj_DBranchDLine_1_529">
          <a:extLst>
            <a:ext uri="{FF2B5EF4-FFF2-40B4-BE49-F238E27FC236}">
              <a16:creationId xmlns:a16="http://schemas.microsoft.com/office/drawing/2014/main" id="{FD101B6C-3C44-4907-BA76-C6EE4C98AB82}"/>
            </a:ext>
          </a:extLst>
        </xdr:cNvPr>
        <xdr:cNvCxnSpPr/>
      </xdr:nvCxnSpPr>
      <xdr:spPr>
        <a:xfrm>
          <a:off x="19904201" y="1931035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1067</xdr:row>
      <xdr:rowOff>15875</xdr:rowOff>
    </xdr:from>
    <xdr:to>
      <xdr:col>10</xdr:col>
      <xdr:colOff>1392681</xdr:colOff>
      <xdr:row>1067</xdr:row>
      <xdr:rowOff>15875</xdr:rowOff>
    </xdr:to>
    <xdr:cxnSp macro="_xll.PtreeEvent_ObjectClick">
      <xdr:nvCxnSpPr>
        <xdr:cNvPr id="2127" name="PTObj_DBranchHLine_1_528">
          <a:extLst>
            <a:ext uri="{FF2B5EF4-FFF2-40B4-BE49-F238E27FC236}">
              <a16:creationId xmlns:a16="http://schemas.microsoft.com/office/drawing/2014/main" id="{742B3F80-9AD3-4ECD-9989-D2CEF3850D82}"/>
            </a:ext>
          </a:extLst>
        </xdr:cNvPr>
        <xdr:cNvCxnSpPr/>
      </xdr:nvCxnSpPr>
      <xdr:spPr>
        <a:xfrm>
          <a:off x="18628804" y="193116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1065</xdr:row>
      <xdr:rowOff>310</xdr:rowOff>
    </xdr:from>
    <xdr:to>
      <xdr:col>10</xdr:col>
      <xdr:colOff>197929</xdr:colOff>
      <xdr:row>1067</xdr:row>
      <xdr:rowOff>15875</xdr:rowOff>
    </xdr:to>
    <xdr:cxnSp macro="_xll.PtreeEvent_ObjectClick">
      <xdr:nvCxnSpPr>
        <xdr:cNvPr id="2126" name="PTObj_DBranchDLine_1_528">
          <a:extLst>
            <a:ext uri="{FF2B5EF4-FFF2-40B4-BE49-F238E27FC236}">
              <a16:creationId xmlns:a16="http://schemas.microsoft.com/office/drawing/2014/main" id="{0859C4A1-95E1-4E43-9E1A-F4F589A857AA}"/>
            </a:ext>
          </a:extLst>
        </xdr:cNvPr>
        <xdr:cNvCxnSpPr/>
      </xdr:nvCxnSpPr>
      <xdr:spPr>
        <a:xfrm>
          <a:off x="18476404" y="1927386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1065</xdr:row>
      <xdr:rowOff>12067</xdr:rowOff>
    </xdr:from>
    <xdr:to>
      <xdr:col>9</xdr:col>
      <xdr:colOff>1388870</xdr:colOff>
      <xdr:row>1065</xdr:row>
      <xdr:rowOff>12067</xdr:rowOff>
    </xdr:to>
    <xdr:cxnSp macro="_xll.PtreeEvent_ObjectClick">
      <xdr:nvCxnSpPr>
        <xdr:cNvPr id="2123" name="PTObj_DBranchHLine_1_527">
          <a:extLst>
            <a:ext uri="{FF2B5EF4-FFF2-40B4-BE49-F238E27FC236}">
              <a16:creationId xmlns:a16="http://schemas.microsoft.com/office/drawing/2014/main" id="{EFC32D2E-EC31-4BA6-A3A5-FB4D561D250A}"/>
            </a:ext>
          </a:extLst>
        </xdr:cNvPr>
        <xdr:cNvCxnSpPr/>
      </xdr:nvCxnSpPr>
      <xdr:spPr>
        <a:xfrm>
          <a:off x="17206720" y="192750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1062</xdr:row>
      <xdr:rowOff>180342</xdr:rowOff>
    </xdr:from>
    <xdr:to>
      <xdr:col>9</xdr:col>
      <xdr:colOff>204595</xdr:colOff>
      <xdr:row>1065</xdr:row>
      <xdr:rowOff>12067</xdr:rowOff>
    </xdr:to>
    <xdr:cxnSp macro="_xll.PtreeEvent_ObjectClick">
      <xdr:nvCxnSpPr>
        <xdr:cNvPr id="2122" name="PTObj_DBranchDLine_1_527">
          <a:extLst>
            <a:ext uri="{FF2B5EF4-FFF2-40B4-BE49-F238E27FC236}">
              <a16:creationId xmlns:a16="http://schemas.microsoft.com/office/drawing/2014/main" id="{F5147038-4CD1-4CC9-8A8F-AF362BD0AD2B}"/>
            </a:ext>
          </a:extLst>
        </xdr:cNvPr>
        <xdr:cNvCxnSpPr/>
      </xdr:nvCxnSpPr>
      <xdr:spPr>
        <a:xfrm>
          <a:off x="17054320" y="1923757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1063</xdr:row>
      <xdr:rowOff>8260</xdr:rowOff>
    </xdr:from>
    <xdr:to>
      <xdr:col>8</xdr:col>
      <xdr:colOff>1392681</xdr:colOff>
      <xdr:row>1063</xdr:row>
      <xdr:rowOff>8260</xdr:rowOff>
    </xdr:to>
    <xdr:cxnSp macro="_xll.PtreeEvent_ObjectClick">
      <xdr:nvCxnSpPr>
        <xdr:cNvPr id="2119" name="PTObj_DBranchHLine_1_526">
          <a:extLst>
            <a:ext uri="{FF2B5EF4-FFF2-40B4-BE49-F238E27FC236}">
              <a16:creationId xmlns:a16="http://schemas.microsoft.com/office/drawing/2014/main" id="{80D93BC0-C054-4D0B-9D8B-16CD402CAEC1}"/>
            </a:ext>
          </a:extLst>
        </xdr:cNvPr>
        <xdr:cNvCxnSpPr/>
      </xdr:nvCxnSpPr>
      <xdr:spPr>
        <a:xfrm>
          <a:off x="15782734" y="192384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1060</xdr:row>
      <xdr:rowOff>180342</xdr:rowOff>
    </xdr:from>
    <xdr:to>
      <xdr:col>8</xdr:col>
      <xdr:colOff>209359</xdr:colOff>
      <xdr:row>1063</xdr:row>
      <xdr:rowOff>8260</xdr:rowOff>
    </xdr:to>
    <xdr:cxnSp macro="_xll.PtreeEvent_ObjectClick">
      <xdr:nvCxnSpPr>
        <xdr:cNvPr id="2118" name="PTObj_DBranchDLine_1_526">
          <a:extLst>
            <a:ext uri="{FF2B5EF4-FFF2-40B4-BE49-F238E27FC236}">
              <a16:creationId xmlns:a16="http://schemas.microsoft.com/office/drawing/2014/main" id="{099410AB-D55D-476D-B74F-DFC5E497AA38}"/>
            </a:ext>
          </a:extLst>
        </xdr:cNvPr>
        <xdr:cNvCxnSpPr/>
      </xdr:nvCxnSpPr>
      <xdr:spPr>
        <a:xfrm>
          <a:off x="15630334" y="1920138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1059</xdr:row>
      <xdr:rowOff>633</xdr:rowOff>
    </xdr:from>
    <xdr:to>
      <xdr:col>11</xdr:col>
      <xdr:colOff>1385063</xdr:colOff>
      <xdr:row>1059</xdr:row>
      <xdr:rowOff>633</xdr:rowOff>
    </xdr:to>
    <xdr:cxnSp macro="_xll.PtreeEvent_ObjectClick">
      <xdr:nvCxnSpPr>
        <xdr:cNvPr id="2115" name="PTObj_DBranchHLine_1_524">
          <a:extLst>
            <a:ext uri="{FF2B5EF4-FFF2-40B4-BE49-F238E27FC236}">
              <a16:creationId xmlns:a16="http://schemas.microsoft.com/office/drawing/2014/main" id="{7DF17E6A-049B-4B9B-96A1-404745AA8D4B}"/>
            </a:ext>
          </a:extLst>
        </xdr:cNvPr>
        <xdr:cNvCxnSpPr/>
      </xdr:nvCxnSpPr>
      <xdr:spPr>
        <a:xfrm>
          <a:off x="20056601" y="191653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1056</xdr:row>
      <xdr:rowOff>175568</xdr:rowOff>
    </xdr:from>
    <xdr:to>
      <xdr:col>11</xdr:col>
      <xdr:colOff>196976</xdr:colOff>
      <xdr:row>1059</xdr:row>
      <xdr:rowOff>633</xdr:rowOff>
    </xdr:to>
    <xdr:cxnSp macro="_xll.PtreeEvent_ObjectClick">
      <xdr:nvCxnSpPr>
        <xdr:cNvPr id="2114" name="PTObj_DBranchDLine_1_524">
          <a:extLst>
            <a:ext uri="{FF2B5EF4-FFF2-40B4-BE49-F238E27FC236}">
              <a16:creationId xmlns:a16="http://schemas.microsoft.com/office/drawing/2014/main" id="{16FA9288-570C-45D6-8382-F9CF8B2DB89E}"/>
            </a:ext>
          </a:extLst>
        </xdr:cNvPr>
        <xdr:cNvCxnSpPr/>
      </xdr:nvCxnSpPr>
      <xdr:spPr>
        <a:xfrm>
          <a:off x="19904201" y="1912851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1056</xdr:row>
      <xdr:rowOff>177800</xdr:rowOff>
    </xdr:from>
    <xdr:to>
      <xdr:col>10</xdr:col>
      <xdr:colOff>1392681</xdr:colOff>
      <xdr:row>1056</xdr:row>
      <xdr:rowOff>177800</xdr:rowOff>
    </xdr:to>
    <xdr:cxnSp macro="_xll.PtreeEvent_ObjectClick">
      <xdr:nvCxnSpPr>
        <xdr:cNvPr id="2111" name="PTObj_DBranchHLine_1_523">
          <a:extLst>
            <a:ext uri="{FF2B5EF4-FFF2-40B4-BE49-F238E27FC236}">
              <a16:creationId xmlns:a16="http://schemas.microsoft.com/office/drawing/2014/main" id="{F90AAF39-5C89-46BF-B4ED-6CBE98024BCD}"/>
            </a:ext>
          </a:extLst>
        </xdr:cNvPr>
        <xdr:cNvCxnSpPr/>
      </xdr:nvCxnSpPr>
      <xdr:spPr>
        <a:xfrm>
          <a:off x="18628804" y="191287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1054</xdr:row>
      <xdr:rowOff>173682</xdr:rowOff>
    </xdr:from>
    <xdr:to>
      <xdr:col>10</xdr:col>
      <xdr:colOff>197929</xdr:colOff>
      <xdr:row>1056</xdr:row>
      <xdr:rowOff>177800</xdr:rowOff>
    </xdr:to>
    <xdr:cxnSp macro="_xll.PtreeEvent_ObjectClick">
      <xdr:nvCxnSpPr>
        <xdr:cNvPr id="2110" name="PTObj_DBranchDLine_1_523">
          <a:extLst>
            <a:ext uri="{FF2B5EF4-FFF2-40B4-BE49-F238E27FC236}">
              <a16:creationId xmlns:a16="http://schemas.microsoft.com/office/drawing/2014/main" id="{2FBD6113-BE56-4582-8CBC-4FA57A471581}"/>
            </a:ext>
          </a:extLst>
        </xdr:cNvPr>
        <xdr:cNvCxnSpPr/>
      </xdr:nvCxnSpPr>
      <xdr:spPr>
        <a:xfrm>
          <a:off x="18476404" y="1909213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1054</xdr:row>
      <xdr:rowOff>173992</xdr:rowOff>
    </xdr:from>
    <xdr:to>
      <xdr:col>9</xdr:col>
      <xdr:colOff>1388870</xdr:colOff>
      <xdr:row>1054</xdr:row>
      <xdr:rowOff>173992</xdr:rowOff>
    </xdr:to>
    <xdr:cxnSp macro="_xll.PtreeEvent_ObjectClick">
      <xdr:nvCxnSpPr>
        <xdr:cNvPr id="2107" name="PTObj_DBranchHLine_1_522">
          <a:extLst>
            <a:ext uri="{FF2B5EF4-FFF2-40B4-BE49-F238E27FC236}">
              <a16:creationId xmlns:a16="http://schemas.microsoft.com/office/drawing/2014/main" id="{D88E6129-284B-4CA5-A1EE-5D3153FF8D63}"/>
            </a:ext>
          </a:extLst>
        </xdr:cNvPr>
        <xdr:cNvCxnSpPr/>
      </xdr:nvCxnSpPr>
      <xdr:spPr>
        <a:xfrm>
          <a:off x="17206720" y="190921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1052</xdr:row>
      <xdr:rowOff>167965</xdr:rowOff>
    </xdr:from>
    <xdr:to>
      <xdr:col>9</xdr:col>
      <xdr:colOff>204595</xdr:colOff>
      <xdr:row>1054</xdr:row>
      <xdr:rowOff>173992</xdr:rowOff>
    </xdr:to>
    <xdr:cxnSp macro="_xll.PtreeEvent_ObjectClick">
      <xdr:nvCxnSpPr>
        <xdr:cNvPr id="2106" name="PTObj_DBranchDLine_1_522">
          <a:extLst>
            <a:ext uri="{FF2B5EF4-FFF2-40B4-BE49-F238E27FC236}">
              <a16:creationId xmlns:a16="http://schemas.microsoft.com/office/drawing/2014/main" id="{ADE6EE14-419F-4AD3-80A9-1C0A15986DF3}"/>
            </a:ext>
          </a:extLst>
        </xdr:cNvPr>
        <xdr:cNvCxnSpPr/>
      </xdr:nvCxnSpPr>
      <xdr:spPr>
        <a:xfrm>
          <a:off x="17054320" y="1905536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1052</xdr:row>
      <xdr:rowOff>170185</xdr:rowOff>
    </xdr:from>
    <xdr:to>
      <xdr:col>8</xdr:col>
      <xdr:colOff>1392681</xdr:colOff>
      <xdr:row>1052</xdr:row>
      <xdr:rowOff>170185</xdr:rowOff>
    </xdr:to>
    <xdr:cxnSp macro="_xll.PtreeEvent_ObjectClick">
      <xdr:nvCxnSpPr>
        <xdr:cNvPr id="2103" name="PTObj_DBranchHLine_1_521">
          <a:extLst>
            <a:ext uri="{FF2B5EF4-FFF2-40B4-BE49-F238E27FC236}">
              <a16:creationId xmlns:a16="http://schemas.microsoft.com/office/drawing/2014/main" id="{A383BCD8-90FE-445B-9AE0-AF56D9CF72A0}"/>
            </a:ext>
          </a:extLst>
        </xdr:cNvPr>
        <xdr:cNvCxnSpPr/>
      </xdr:nvCxnSpPr>
      <xdr:spPr>
        <a:xfrm>
          <a:off x="15782734" y="190555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1052</xdr:row>
      <xdr:rowOff>170185</xdr:rowOff>
    </xdr:from>
    <xdr:to>
      <xdr:col>8</xdr:col>
      <xdr:colOff>209359</xdr:colOff>
      <xdr:row>1060</xdr:row>
      <xdr:rowOff>180342</xdr:rowOff>
    </xdr:to>
    <xdr:cxnSp macro="_xll.PtreeEvent_ObjectClick">
      <xdr:nvCxnSpPr>
        <xdr:cNvPr id="2102" name="PTObj_DBranchDLine_1_521">
          <a:extLst>
            <a:ext uri="{FF2B5EF4-FFF2-40B4-BE49-F238E27FC236}">
              <a16:creationId xmlns:a16="http://schemas.microsoft.com/office/drawing/2014/main" id="{955D69D2-CB18-4950-88A1-A657C6EE9E33}"/>
            </a:ext>
          </a:extLst>
        </xdr:cNvPr>
        <xdr:cNvCxnSpPr/>
      </xdr:nvCxnSpPr>
      <xdr:spPr>
        <a:xfrm flipV="1">
          <a:off x="15630334" y="1905558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1061</xdr:row>
      <xdr:rowOff>4440</xdr:rowOff>
    </xdr:from>
    <xdr:to>
      <xdr:col>7</xdr:col>
      <xdr:colOff>1398397</xdr:colOff>
      <xdr:row>1061</xdr:row>
      <xdr:rowOff>4440</xdr:rowOff>
    </xdr:to>
    <xdr:cxnSp macro="_xll.PtreeEvent_ObjectClick">
      <xdr:nvCxnSpPr>
        <xdr:cNvPr id="2099" name="PTObj_DBranchHLine_1_525">
          <a:extLst>
            <a:ext uri="{FF2B5EF4-FFF2-40B4-BE49-F238E27FC236}">
              <a16:creationId xmlns:a16="http://schemas.microsoft.com/office/drawing/2014/main" id="{692EAE69-5924-4F44-8FFA-AB5300F4848C}"/>
            </a:ext>
          </a:extLst>
        </xdr:cNvPr>
        <xdr:cNvCxnSpPr/>
      </xdr:nvCxnSpPr>
      <xdr:spPr>
        <a:xfrm>
          <a:off x="14360652" y="1920189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1061</xdr:row>
      <xdr:rowOff>4440</xdr:rowOff>
    </xdr:from>
    <xdr:to>
      <xdr:col>7</xdr:col>
      <xdr:colOff>216027</xdr:colOff>
      <xdr:row>1071</xdr:row>
      <xdr:rowOff>18417</xdr:rowOff>
    </xdr:to>
    <xdr:cxnSp macro="_xll.PtreeEvent_ObjectClick">
      <xdr:nvCxnSpPr>
        <xdr:cNvPr id="2098" name="PTObj_DBranchDLine_1_525">
          <a:extLst>
            <a:ext uri="{FF2B5EF4-FFF2-40B4-BE49-F238E27FC236}">
              <a16:creationId xmlns:a16="http://schemas.microsoft.com/office/drawing/2014/main" id="{BB2E8540-9B69-4EDC-AAED-EB1CA0F92028}"/>
            </a:ext>
          </a:extLst>
        </xdr:cNvPr>
        <xdr:cNvCxnSpPr/>
      </xdr:nvCxnSpPr>
      <xdr:spPr>
        <a:xfrm flipV="1">
          <a:off x="14208252" y="1920189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1071</xdr:row>
      <xdr:rowOff>23490</xdr:rowOff>
    </xdr:from>
    <xdr:to>
      <xdr:col>6</xdr:col>
      <xdr:colOff>1402207</xdr:colOff>
      <xdr:row>1071</xdr:row>
      <xdr:rowOff>23490</xdr:rowOff>
    </xdr:to>
    <xdr:cxnSp macro="_xll.PtreeEvent_ObjectClick">
      <xdr:nvCxnSpPr>
        <xdr:cNvPr id="2095" name="PTObj_DBranchHLine_1_530">
          <a:extLst>
            <a:ext uri="{FF2B5EF4-FFF2-40B4-BE49-F238E27FC236}">
              <a16:creationId xmlns:a16="http://schemas.microsoft.com/office/drawing/2014/main" id="{0738625C-69B3-48A3-9EFF-FCEF4DD1BB59}"/>
            </a:ext>
          </a:extLst>
        </xdr:cNvPr>
        <xdr:cNvCxnSpPr/>
      </xdr:nvCxnSpPr>
      <xdr:spPr>
        <a:xfrm>
          <a:off x="12938569" y="1938477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1071</xdr:row>
      <xdr:rowOff>23490</xdr:rowOff>
    </xdr:from>
    <xdr:to>
      <xdr:col>6</xdr:col>
      <xdr:colOff>222694</xdr:colOff>
      <xdr:row>1091</xdr:row>
      <xdr:rowOff>56517</xdr:rowOff>
    </xdr:to>
    <xdr:cxnSp macro="_xll.PtreeEvent_ObjectClick">
      <xdr:nvCxnSpPr>
        <xdr:cNvPr id="2094" name="PTObj_DBranchDLine_1_530">
          <a:extLst>
            <a:ext uri="{FF2B5EF4-FFF2-40B4-BE49-F238E27FC236}">
              <a16:creationId xmlns:a16="http://schemas.microsoft.com/office/drawing/2014/main" id="{45063F27-01EC-4117-AE7E-AC21BDDAD992}"/>
            </a:ext>
          </a:extLst>
        </xdr:cNvPr>
        <xdr:cNvCxnSpPr/>
      </xdr:nvCxnSpPr>
      <xdr:spPr>
        <a:xfrm flipV="1">
          <a:off x="12786169" y="193847715"/>
          <a:ext cx="152400" cy="3652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1091</xdr:row>
      <xdr:rowOff>61590</xdr:rowOff>
    </xdr:from>
    <xdr:to>
      <xdr:col>5</xdr:col>
      <xdr:colOff>1407922</xdr:colOff>
      <xdr:row>1091</xdr:row>
      <xdr:rowOff>61590</xdr:rowOff>
    </xdr:to>
    <xdr:cxnSp macro="_xll.PtreeEvent_ObjectClick">
      <xdr:nvCxnSpPr>
        <xdr:cNvPr id="2091" name="PTObj_DBranchHLine_1_540">
          <a:extLst>
            <a:ext uri="{FF2B5EF4-FFF2-40B4-BE49-F238E27FC236}">
              <a16:creationId xmlns:a16="http://schemas.microsoft.com/office/drawing/2014/main" id="{FD50A620-CF0C-4546-AD6C-C23E1239443C}"/>
            </a:ext>
          </a:extLst>
        </xdr:cNvPr>
        <xdr:cNvCxnSpPr/>
      </xdr:nvCxnSpPr>
      <xdr:spPr>
        <a:xfrm>
          <a:off x="11512676" y="197505315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1050</xdr:row>
      <xdr:rowOff>161292</xdr:rowOff>
    </xdr:from>
    <xdr:to>
      <xdr:col>5</xdr:col>
      <xdr:colOff>225551</xdr:colOff>
      <xdr:row>1091</xdr:row>
      <xdr:rowOff>61590</xdr:rowOff>
    </xdr:to>
    <xdr:cxnSp macro="_xll.PtreeEvent_ObjectClick">
      <xdr:nvCxnSpPr>
        <xdr:cNvPr id="2090" name="PTObj_DBranchDLine_1_540">
          <a:extLst>
            <a:ext uri="{FF2B5EF4-FFF2-40B4-BE49-F238E27FC236}">
              <a16:creationId xmlns:a16="http://schemas.microsoft.com/office/drawing/2014/main" id="{06114406-B768-4244-BF95-315521386129}"/>
            </a:ext>
          </a:extLst>
        </xdr:cNvPr>
        <xdr:cNvCxnSpPr/>
      </xdr:nvCxnSpPr>
      <xdr:spPr>
        <a:xfrm>
          <a:off x="11360276" y="190185042"/>
          <a:ext cx="152400" cy="73202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1048</xdr:row>
      <xdr:rowOff>162558</xdr:rowOff>
    </xdr:from>
    <xdr:to>
      <xdr:col>11</xdr:col>
      <xdr:colOff>1392682</xdr:colOff>
      <xdr:row>1048</xdr:row>
      <xdr:rowOff>162558</xdr:rowOff>
    </xdr:to>
    <xdr:cxnSp macro="_xll.PtreeEvent_ObjectClick">
      <xdr:nvCxnSpPr>
        <xdr:cNvPr id="2087" name="PTObj_DBranchHLine_1_519">
          <a:extLst>
            <a:ext uri="{FF2B5EF4-FFF2-40B4-BE49-F238E27FC236}">
              <a16:creationId xmlns:a16="http://schemas.microsoft.com/office/drawing/2014/main" id="{79258094-4F22-4BF9-B83E-D2D6286ADB58}"/>
            </a:ext>
          </a:extLst>
        </xdr:cNvPr>
        <xdr:cNvCxnSpPr/>
      </xdr:nvCxnSpPr>
      <xdr:spPr>
        <a:xfrm>
          <a:off x="20056601" y="1898243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1046</xdr:row>
      <xdr:rowOff>146050</xdr:rowOff>
    </xdr:from>
    <xdr:to>
      <xdr:col>11</xdr:col>
      <xdr:colOff>196976</xdr:colOff>
      <xdr:row>1048</xdr:row>
      <xdr:rowOff>162558</xdr:rowOff>
    </xdr:to>
    <xdr:cxnSp macro="_xll.PtreeEvent_ObjectClick">
      <xdr:nvCxnSpPr>
        <xdr:cNvPr id="2086" name="PTObj_DBranchDLine_1_519">
          <a:extLst>
            <a:ext uri="{FF2B5EF4-FFF2-40B4-BE49-F238E27FC236}">
              <a16:creationId xmlns:a16="http://schemas.microsoft.com/office/drawing/2014/main" id="{A661904C-1241-40CC-A8DC-C27295997ACB}"/>
            </a:ext>
          </a:extLst>
        </xdr:cNvPr>
        <xdr:cNvCxnSpPr/>
      </xdr:nvCxnSpPr>
      <xdr:spPr>
        <a:xfrm>
          <a:off x="19904201" y="1894459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1046</xdr:row>
      <xdr:rowOff>158750</xdr:rowOff>
    </xdr:from>
    <xdr:to>
      <xdr:col>10</xdr:col>
      <xdr:colOff>1392681</xdr:colOff>
      <xdr:row>1046</xdr:row>
      <xdr:rowOff>158750</xdr:rowOff>
    </xdr:to>
    <xdr:cxnSp macro="_xll.PtreeEvent_ObjectClick">
      <xdr:nvCxnSpPr>
        <xdr:cNvPr id="2083" name="PTObj_DBranchHLine_1_518">
          <a:extLst>
            <a:ext uri="{FF2B5EF4-FFF2-40B4-BE49-F238E27FC236}">
              <a16:creationId xmlns:a16="http://schemas.microsoft.com/office/drawing/2014/main" id="{22F5DE9D-5074-4C6C-B7C3-EDCBD47892F2}"/>
            </a:ext>
          </a:extLst>
        </xdr:cNvPr>
        <xdr:cNvCxnSpPr/>
      </xdr:nvCxnSpPr>
      <xdr:spPr>
        <a:xfrm>
          <a:off x="18628804" y="189458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1044</xdr:row>
      <xdr:rowOff>143185</xdr:rowOff>
    </xdr:from>
    <xdr:to>
      <xdr:col>10</xdr:col>
      <xdr:colOff>197929</xdr:colOff>
      <xdr:row>1046</xdr:row>
      <xdr:rowOff>158750</xdr:rowOff>
    </xdr:to>
    <xdr:cxnSp macro="_xll.PtreeEvent_ObjectClick">
      <xdr:nvCxnSpPr>
        <xdr:cNvPr id="2082" name="PTObj_DBranchDLine_1_518">
          <a:extLst>
            <a:ext uri="{FF2B5EF4-FFF2-40B4-BE49-F238E27FC236}">
              <a16:creationId xmlns:a16="http://schemas.microsoft.com/office/drawing/2014/main" id="{47558A54-7F5E-4AD4-9CD7-8B6F44CC3CB0}"/>
            </a:ext>
          </a:extLst>
        </xdr:cNvPr>
        <xdr:cNvCxnSpPr/>
      </xdr:nvCxnSpPr>
      <xdr:spPr>
        <a:xfrm>
          <a:off x="18476404" y="1890810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1044</xdr:row>
      <xdr:rowOff>154942</xdr:rowOff>
    </xdr:from>
    <xdr:to>
      <xdr:col>9</xdr:col>
      <xdr:colOff>1388870</xdr:colOff>
      <xdr:row>1044</xdr:row>
      <xdr:rowOff>154942</xdr:rowOff>
    </xdr:to>
    <xdr:cxnSp macro="_xll.PtreeEvent_ObjectClick">
      <xdr:nvCxnSpPr>
        <xdr:cNvPr id="2079" name="PTObj_DBranchHLine_1_517">
          <a:extLst>
            <a:ext uri="{FF2B5EF4-FFF2-40B4-BE49-F238E27FC236}">
              <a16:creationId xmlns:a16="http://schemas.microsoft.com/office/drawing/2014/main" id="{81BE9A7F-8FFD-4A78-9CF9-9CABD8B56335}"/>
            </a:ext>
          </a:extLst>
        </xdr:cNvPr>
        <xdr:cNvCxnSpPr/>
      </xdr:nvCxnSpPr>
      <xdr:spPr>
        <a:xfrm>
          <a:off x="17206720" y="189092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1042</xdr:row>
      <xdr:rowOff>142242</xdr:rowOff>
    </xdr:from>
    <xdr:to>
      <xdr:col>9</xdr:col>
      <xdr:colOff>204595</xdr:colOff>
      <xdr:row>1044</xdr:row>
      <xdr:rowOff>154942</xdr:rowOff>
    </xdr:to>
    <xdr:cxnSp macro="_xll.PtreeEvent_ObjectClick">
      <xdr:nvCxnSpPr>
        <xdr:cNvPr id="2078" name="PTObj_DBranchDLine_1_517">
          <a:extLst>
            <a:ext uri="{FF2B5EF4-FFF2-40B4-BE49-F238E27FC236}">
              <a16:creationId xmlns:a16="http://schemas.microsoft.com/office/drawing/2014/main" id="{1BDDE977-D621-4126-8C30-9B4C65F24ECD}"/>
            </a:ext>
          </a:extLst>
        </xdr:cNvPr>
        <xdr:cNvCxnSpPr/>
      </xdr:nvCxnSpPr>
      <xdr:spPr>
        <a:xfrm>
          <a:off x="17054320" y="188718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1042</xdr:row>
      <xdr:rowOff>151135</xdr:rowOff>
    </xdr:from>
    <xdr:to>
      <xdr:col>8</xdr:col>
      <xdr:colOff>1392681</xdr:colOff>
      <xdr:row>1042</xdr:row>
      <xdr:rowOff>151135</xdr:rowOff>
    </xdr:to>
    <xdr:cxnSp macro="_xll.PtreeEvent_ObjectClick">
      <xdr:nvCxnSpPr>
        <xdr:cNvPr id="2075" name="PTObj_DBranchHLine_1_516">
          <a:extLst>
            <a:ext uri="{FF2B5EF4-FFF2-40B4-BE49-F238E27FC236}">
              <a16:creationId xmlns:a16="http://schemas.microsoft.com/office/drawing/2014/main" id="{0440A24F-8343-471F-87B6-9FA4EF8A9D3B}"/>
            </a:ext>
          </a:extLst>
        </xdr:cNvPr>
        <xdr:cNvCxnSpPr/>
      </xdr:nvCxnSpPr>
      <xdr:spPr>
        <a:xfrm>
          <a:off x="15782734" y="188727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1040</xdr:row>
      <xdr:rowOff>142242</xdr:rowOff>
    </xdr:from>
    <xdr:to>
      <xdr:col>8</xdr:col>
      <xdr:colOff>209359</xdr:colOff>
      <xdr:row>1042</xdr:row>
      <xdr:rowOff>151135</xdr:rowOff>
    </xdr:to>
    <xdr:cxnSp macro="_xll.PtreeEvent_ObjectClick">
      <xdr:nvCxnSpPr>
        <xdr:cNvPr id="2074" name="PTObj_DBranchDLine_1_516">
          <a:extLst>
            <a:ext uri="{FF2B5EF4-FFF2-40B4-BE49-F238E27FC236}">
              <a16:creationId xmlns:a16="http://schemas.microsoft.com/office/drawing/2014/main" id="{C69E76A1-CA8B-449E-94A1-28C0B9AA8BD7}"/>
            </a:ext>
          </a:extLst>
        </xdr:cNvPr>
        <xdr:cNvCxnSpPr/>
      </xdr:nvCxnSpPr>
      <xdr:spPr>
        <a:xfrm>
          <a:off x="15630334" y="1883562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1038</xdr:row>
      <xdr:rowOff>143508</xdr:rowOff>
    </xdr:from>
    <xdr:to>
      <xdr:col>11</xdr:col>
      <xdr:colOff>1385063</xdr:colOff>
      <xdr:row>1038</xdr:row>
      <xdr:rowOff>143508</xdr:rowOff>
    </xdr:to>
    <xdr:cxnSp macro="_xll.PtreeEvent_ObjectClick">
      <xdr:nvCxnSpPr>
        <xdr:cNvPr id="2071" name="PTObj_DBranchHLine_1_514">
          <a:extLst>
            <a:ext uri="{FF2B5EF4-FFF2-40B4-BE49-F238E27FC236}">
              <a16:creationId xmlns:a16="http://schemas.microsoft.com/office/drawing/2014/main" id="{EDD36297-2D86-42C3-AF7B-2658948DE930}"/>
            </a:ext>
          </a:extLst>
        </xdr:cNvPr>
        <xdr:cNvCxnSpPr/>
      </xdr:nvCxnSpPr>
      <xdr:spPr>
        <a:xfrm>
          <a:off x="20056601" y="187995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1036</xdr:row>
      <xdr:rowOff>137468</xdr:rowOff>
    </xdr:from>
    <xdr:to>
      <xdr:col>11</xdr:col>
      <xdr:colOff>196976</xdr:colOff>
      <xdr:row>1038</xdr:row>
      <xdr:rowOff>143508</xdr:rowOff>
    </xdr:to>
    <xdr:cxnSp macro="_xll.PtreeEvent_ObjectClick">
      <xdr:nvCxnSpPr>
        <xdr:cNvPr id="2070" name="PTObj_DBranchDLine_1_514">
          <a:extLst>
            <a:ext uri="{FF2B5EF4-FFF2-40B4-BE49-F238E27FC236}">
              <a16:creationId xmlns:a16="http://schemas.microsoft.com/office/drawing/2014/main" id="{EDF2EB1A-9DE5-408E-A5DB-65160EA18D51}"/>
            </a:ext>
          </a:extLst>
        </xdr:cNvPr>
        <xdr:cNvCxnSpPr/>
      </xdr:nvCxnSpPr>
      <xdr:spPr>
        <a:xfrm>
          <a:off x="19904201" y="1876275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1036</xdr:row>
      <xdr:rowOff>139700</xdr:rowOff>
    </xdr:from>
    <xdr:to>
      <xdr:col>10</xdr:col>
      <xdr:colOff>1392681</xdr:colOff>
      <xdr:row>1036</xdr:row>
      <xdr:rowOff>139700</xdr:rowOff>
    </xdr:to>
    <xdr:cxnSp macro="_xll.PtreeEvent_ObjectClick">
      <xdr:nvCxnSpPr>
        <xdr:cNvPr id="2067" name="PTObj_DBranchHLine_1_513">
          <a:extLst>
            <a:ext uri="{FF2B5EF4-FFF2-40B4-BE49-F238E27FC236}">
              <a16:creationId xmlns:a16="http://schemas.microsoft.com/office/drawing/2014/main" id="{1C79EEB2-1408-4A91-BB50-6071274029D2}"/>
            </a:ext>
          </a:extLst>
        </xdr:cNvPr>
        <xdr:cNvCxnSpPr/>
      </xdr:nvCxnSpPr>
      <xdr:spPr>
        <a:xfrm>
          <a:off x="18628804" y="187629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1034</xdr:row>
      <xdr:rowOff>135582</xdr:rowOff>
    </xdr:from>
    <xdr:to>
      <xdr:col>10</xdr:col>
      <xdr:colOff>197929</xdr:colOff>
      <xdr:row>1036</xdr:row>
      <xdr:rowOff>139700</xdr:rowOff>
    </xdr:to>
    <xdr:cxnSp macro="_xll.PtreeEvent_ObjectClick">
      <xdr:nvCxnSpPr>
        <xdr:cNvPr id="2066" name="PTObj_DBranchDLine_1_513">
          <a:extLst>
            <a:ext uri="{FF2B5EF4-FFF2-40B4-BE49-F238E27FC236}">
              <a16:creationId xmlns:a16="http://schemas.microsoft.com/office/drawing/2014/main" id="{F342138F-CFCE-48EC-864F-78CCF6ACF8A1}"/>
            </a:ext>
          </a:extLst>
        </xdr:cNvPr>
        <xdr:cNvCxnSpPr/>
      </xdr:nvCxnSpPr>
      <xdr:spPr>
        <a:xfrm>
          <a:off x="18476404" y="1872637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1034</xdr:row>
      <xdr:rowOff>135892</xdr:rowOff>
    </xdr:from>
    <xdr:to>
      <xdr:col>9</xdr:col>
      <xdr:colOff>1388870</xdr:colOff>
      <xdr:row>1034</xdr:row>
      <xdr:rowOff>135892</xdr:rowOff>
    </xdr:to>
    <xdr:cxnSp macro="_xll.PtreeEvent_ObjectClick">
      <xdr:nvCxnSpPr>
        <xdr:cNvPr id="2063" name="PTObj_DBranchHLine_1_512">
          <a:extLst>
            <a:ext uri="{FF2B5EF4-FFF2-40B4-BE49-F238E27FC236}">
              <a16:creationId xmlns:a16="http://schemas.microsoft.com/office/drawing/2014/main" id="{79D1B724-BE8B-4661-BAD2-E9129BED89CE}"/>
            </a:ext>
          </a:extLst>
        </xdr:cNvPr>
        <xdr:cNvCxnSpPr/>
      </xdr:nvCxnSpPr>
      <xdr:spPr>
        <a:xfrm>
          <a:off x="17206720" y="187264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1032</xdr:row>
      <xdr:rowOff>129865</xdr:rowOff>
    </xdr:from>
    <xdr:to>
      <xdr:col>9</xdr:col>
      <xdr:colOff>204595</xdr:colOff>
      <xdr:row>1034</xdr:row>
      <xdr:rowOff>135892</xdr:rowOff>
    </xdr:to>
    <xdr:cxnSp macro="_xll.PtreeEvent_ObjectClick">
      <xdr:nvCxnSpPr>
        <xdr:cNvPr id="2062" name="PTObj_DBranchDLine_1_512">
          <a:extLst>
            <a:ext uri="{FF2B5EF4-FFF2-40B4-BE49-F238E27FC236}">
              <a16:creationId xmlns:a16="http://schemas.microsoft.com/office/drawing/2014/main" id="{8FEB07E9-F9E4-400A-91B6-DE6EA8608773}"/>
            </a:ext>
          </a:extLst>
        </xdr:cNvPr>
        <xdr:cNvCxnSpPr/>
      </xdr:nvCxnSpPr>
      <xdr:spPr>
        <a:xfrm>
          <a:off x="17054320" y="1868960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1032</xdr:row>
      <xdr:rowOff>132085</xdr:rowOff>
    </xdr:from>
    <xdr:to>
      <xdr:col>8</xdr:col>
      <xdr:colOff>1392681</xdr:colOff>
      <xdr:row>1032</xdr:row>
      <xdr:rowOff>132085</xdr:rowOff>
    </xdr:to>
    <xdr:cxnSp macro="_xll.PtreeEvent_ObjectClick">
      <xdr:nvCxnSpPr>
        <xdr:cNvPr id="2059" name="PTObj_DBranchHLine_1_511">
          <a:extLst>
            <a:ext uri="{FF2B5EF4-FFF2-40B4-BE49-F238E27FC236}">
              <a16:creationId xmlns:a16="http://schemas.microsoft.com/office/drawing/2014/main" id="{6752903A-5035-409A-B174-51D2D340EF97}"/>
            </a:ext>
          </a:extLst>
        </xdr:cNvPr>
        <xdr:cNvCxnSpPr/>
      </xdr:nvCxnSpPr>
      <xdr:spPr>
        <a:xfrm>
          <a:off x="15782734" y="186898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1032</xdr:row>
      <xdr:rowOff>132085</xdr:rowOff>
    </xdr:from>
    <xdr:to>
      <xdr:col>8</xdr:col>
      <xdr:colOff>209359</xdr:colOff>
      <xdr:row>1040</xdr:row>
      <xdr:rowOff>142242</xdr:rowOff>
    </xdr:to>
    <xdr:cxnSp macro="_xll.PtreeEvent_ObjectClick">
      <xdr:nvCxnSpPr>
        <xdr:cNvPr id="2058" name="PTObj_DBranchDLine_1_511">
          <a:extLst>
            <a:ext uri="{FF2B5EF4-FFF2-40B4-BE49-F238E27FC236}">
              <a16:creationId xmlns:a16="http://schemas.microsoft.com/office/drawing/2014/main" id="{7E2B2804-7CA6-4792-832F-8483CF7F330F}"/>
            </a:ext>
          </a:extLst>
        </xdr:cNvPr>
        <xdr:cNvCxnSpPr/>
      </xdr:nvCxnSpPr>
      <xdr:spPr>
        <a:xfrm flipV="1">
          <a:off x="15630334" y="1868982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1040</xdr:row>
      <xdr:rowOff>147315</xdr:rowOff>
    </xdr:from>
    <xdr:to>
      <xdr:col>7</xdr:col>
      <xdr:colOff>1398397</xdr:colOff>
      <xdr:row>1040</xdr:row>
      <xdr:rowOff>147315</xdr:rowOff>
    </xdr:to>
    <xdr:cxnSp macro="_xll.PtreeEvent_ObjectClick">
      <xdr:nvCxnSpPr>
        <xdr:cNvPr id="2055" name="PTObj_DBranchHLine_1_515">
          <a:extLst>
            <a:ext uri="{FF2B5EF4-FFF2-40B4-BE49-F238E27FC236}">
              <a16:creationId xmlns:a16="http://schemas.microsoft.com/office/drawing/2014/main" id="{522217C6-DA90-42F6-AE28-842A736DADAE}"/>
            </a:ext>
          </a:extLst>
        </xdr:cNvPr>
        <xdr:cNvCxnSpPr/>
      </xdr:nvCxnSpPr>
      <xdr:spPr>
        <a:xfrm>
          <a:off x="14362557" y="1883613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1030</xdr:row>
      <xdr:rowOff>123192</xdr:rowOff>
    </xdr:from>
    <xdr:to>
      <xdr:col>7</xdr:col>
      <xdr:colOff>217932</xdr:colOff>
      <xdr:row>1040</xdr:row>
      <xdr:rowOff>147315</xdr:rowOff>
    </xdr:to>
    <xdr:cxnSp macro="_xll.PtreeEvent_ObjectClick">
      <xdr:nvCxnSpPr>
        <xdr:cNvPr id="2054" name="PTObj_DBranchDLine_1_515">
          <a:extLst>
            <a:ext uri="{FF2B5EF4-FFF2-40B4-BE49-F238E27FC236}">
              <a16:creationId xmlns:a16="http://schemas.microsoft.com/office/drawing/2014/main" id="{AA1D09ED-4167-49A3-93C7-0FDB855DED4D}"/>
            </a:ext>
          </a:extLst>
        </xdr:cNvPr>
        <xdr:cNvCxnSpPr/>
      </xdr:nvCxnSpPr>
      <xdr:spPr>
        <a:xfrm>
          <a:off x="14210157" y="186527442"/>
          <a:ext cx="152400" cy="18338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1028</xdr:row>
      <xdr:rowOff>124458</xdr:rowOff>
    </xdr:from>
    <xdr:to>
      <xdr:col>11</xdr:col>
      <xdr:colOff>1392682</xdr:colOff>
      <xdr:row>1028</xdr:row>
      <xdr:rowOff>124458</xdr:rowOff>
    </xdr:to>
    <xdr:cxnSp macro="_xll.PtreeEvent_ObjectClick">
      <xdr:nvCxnSpPr>
        <xdr:cNvPr id="2051" name="PTObj_DBranchHLine_1_509">
          <a:extLst>
            <a:ext uri="{FF2B5EF4-FFF2-40B4-BE49-F238E27FC236}">
              <a16:creationId xmlns:a16="http://schemas.microsoft.com/office/drawing/2014/main" id="{67B6A0FB-32A9-4849-98FF-6AFBAD5AC5C4}"/>
            </a:ext>
          </a:extLst>
        </xdr:cNvPr>
        <xdr:cNvCxnSpPr/>
      </xdr:nvCxnSpPr>
      <xdr:spPr>
        <a:xfrm>
          <a:off x="20056601" y="1861667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1026</xdr:row>
      <xdr:rowOff>107950</xdr:rowOff>
    </xdr:from>
    <xdr:to>
      <xdr:col>11</xdr:col>
      <xdr:colOff>196976</xdr:colOff>
      <xdr:row>1028</xdr:row>
      <xdr:rowOff>124458</xdr:rowOff>
    </xdr:to>
    <xdr:cxnSp macro="_xll.PtreeEvent_ObjectClick">
      <xdr:nvCxnSpPr>
        <xdr:cNvPr id="2050" name="PTObj_DBranchDLine_1_509">
          <a:extLst>
            <a:ext uri="{FF2B5EF4-FFF2-40B4-BE49-F238E27FC236}">
              <a16:creationId xmlns:a16="http://schemas.microsoft.com/office/drawing/2014/main" id="{62BF4339-00C4-47A8-A2D3-7887F87C4A15}"/>
            </a:ext>
          </a:extLst>
        </xdr:cNvPr>
        <xdr:cNvCxnSpPr/>
      </xdr:nvCxnSpPr>
      <xdr:spPr>
        <a:xfrm>
          <a:off x="19904201" y="1857883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1026</xdr:row>
      <xdr:rowOff>120650</xdr:rowOff>
    </xdr:from>
    <xdr:to>
      <xdr:col>10</xdr:col>
      <xdr:colOff>1392681</xdr:colOff>
      <xdr:row>1026</xdr:row>
      <xdr:rowOff>120650</xdr:rowOff>
    </xdr:to>
    <xdr:cxnSp macro="_xll.PtreeEvent_ObjectClick">
      <xdr:nvCxnSpPr>
        <xdr:cNvPr id="2047" name="PTObj_DBranchHLine_1_508">
          <a:extLst>
            <a:ext uri="{FF2B5EF4-FFF2-40B4-BE49-F238E27FC236}">
              <a16:creationId xmlns:a16="http://schemas.microsoft.com/office/drawing/2014/main" id="{6D40A51D-6FD6-4904-9D37-E99BA3811DB0}"/>
            </a:ext>
          </a:extLst>
        </xdr:cNvPr>
        <xdr:cNvCxnSpPr/>
      </xdr:nvCxnSpPr>
      <xdr:spPr>
        <a:xfrm>
          <a:off x="18628804" y="185801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1024</xdr:row>
      <xdr:rowOff>105085</xdr:rowOff>
    </xdr:from>
    <xdr:to>
      <xdr:col>10</xdr:col>
      <xdr:colOff>197929</xdr:colOff>
      <xdr:row>1026</xdr:row>
      <xdr:rowOff>120650</xdr:rowOff>
    </xdr:to>
    <xdr:cxnSp macro="_xll.PtreeEvent_ObjectClick">
      <xdr:nvCxnSpPr>
        <xdr:cNvPr id="2046" name="PTObj_DBranchDLine_1_508">
          <a:extLst>
            <a:ext uri="{FF2B5EF4-FFF2-40B4-BE49-F238E27FC236}">
              <a16:creationId xmlns:a16="http://schemas.microsoft.com/office/drawing/2014/main" id="{64818D39-C0E5-42A0-9596-41ABEF395F5C}"/>
            </a:ext>
          </a:extLst>
        </xdr:cNvPr>
        <xdr:cNvCxnSpPr/>
      </xdr:nvCxnSpPr>
      <xdr:spPr>
        <a:xfrm>
          <a:off x="18476404" y="1854234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1024</xdr:row>
      <xdr:rowOff>116842</xdr:rowOff>
    </xdr:from>
    <xdr:to>
      <xdr:col>9</xdr:col>
      <xdr:colOff>1388870</xdr:colOff>
      <xdr:row>1024</xdr:row>
      <xdr:rowOff>116842</xdr:rowOff>
    </xdr:to>
    <xdr:cxnSp macro="_xll.PtreeEvent_ObjectClick">
      <xdr:nvCxnSpPr>
        <xdr:cNvPr id="2043" name="PTObj_DBranchHLine_1_507">
          <a:extLst>
            <a:ext uri="{FF2B5EF4-FFF2-40B4-BE49-F238E27FC236}">
              <a16:creationId xmlns:a16="http://schemas.microsoft.com/office/drawing/2014/main" id="{B0BCF380-21BF-45C6-9305-BD3D98564E94}"/>
            </a:ext>
          </a:extLst>
        </xdr:cNvPr>
        <xdr:cNvCxnSpPr/>
      </xdr:nvCxnSpPr>
      <xdr:spPr>
        <a:xfrm>
          <a:off x="17206720" y="185435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1022</xdr:row>
      <xdr:rowOff>104142</xdr:rowOff>
    </xdr:from>
    <xdr:to>
      <xdr:col>9</xdr:col>
      <xdr:colOff>204595</xdr:colOff>
      <xdr:row>1024</xdr:row>
      <xdr:rowOff>116842</xdr:rowOff>
    </xdr:to>
    <xdr:cxnSp macro="_xll.PtreeEvent_ObjectClick">
      <xdr:nvCxnSpPr>
        <xdr:cNvPr id="2042" name="PTObj_DBranchDLine_1_507">
          <a:extLst>
            <a:ext uri="{FF2B5EF4-FFF2-40B4-BE49-F238E27FC236}">
              <a16:creationId xmlns:a16="http://schemas.microsoft.com/office/drawing/2014/main" id="{A0ECC32C-B1A5-4F0B-8986-300681A4AFA0}"/>
            </a:ext>
          </a:extLst>
        </xdr:cNvPr>
        <xdr:cNvCxnSpPr/>
      </xdr:nvCxnSpPr>
      <xdr:spPr>
        <a:xfrm>
          <a:off x="17054320" y="185060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1022</xdr:row>
      <xdr:rowOff>113035</xdr:rowOff>
    </xdr:from>
    <xdr:to>
      <xdr:col>8</xdr:col>
      <xdr:colOff>1392681</xdr:colOff>
      <xdr:row>1022</xdr:row>
      <xdr:rowOff>113035</xdr:rowOff>
    </xdr:to>
    <xdr:cxnSp macro="_xll.PtreeEvent_ObjectClick">
      <xdr:nvCxnSpPr>
        <xdr:cNvPr id="2039" name="PTObj_DBranchHLine_1_506">
          <a:extLst>
            <a:ext uri="{FF2B5EF4-FFF2-40B4-BE49-F238E27FC236}">
              <a16:creationId xmlns:a16="http://schemas.microsoft.com/office/drawing/2014/main" id="{A3C9A90F-B92B-4427-A026-0CEC3FACEC59}"/>
            </a:ext>
          </a:extLst>
        </xdr:cNvPr>
        <xdr:cNvCxnSpPr/>
      </xdr:nvCxnSpPr>
      <xdr:spPr>
        <a:xfrm>
          <a:off x="15782734" y="185069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1020</xdr:row>
      <xdr:rowOff>104142</xdr:rowOff>
    </xdr:from>
    <xdr:to>
      <xdr:col>8</xdr:col>
      <xdr:colOff>209359</xdr:colOff>
      <xdr:row>1022</xdr:row>
      <xdr:rowOff>113035</xdr:rowOff>
    </xdr:to>
    <xdr:cxnSp macro="_xll.PtreeEvent_ObjectClick">
      <xdr:nvCxnSpPr>
        <xdr:cNvPr id="2038" name="PTObj_DBranchDLine_1_506">
          <a:extLst>
            <a:ext uri="{FF2B5EF4-FFF2-40B4-BE49-F238E27FC236}">
              <a16:creationId xmlns:a16="http://schemas.microsoft.com/office/drawing/2014/main" id="{0FC80939-198D-48FD-951B-8AAA5571EB58}"/>
            </a:ext>
          </a:extLst>
        </xdr:cNvPr>
        <xdr:cNvCxnSpPr/>
      </xdr:nvCxnSpPr>
      <xdr:spPr>
        <a:xfrm>
          <a:off x="15630334" y="1846986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1018</xdr:row>
      <xdr:rowOff>105408</xdr:rowOff>
    </xdr:from>
    <xdr:to>
      <xdr:col>11</xdr:col>
      <xdr:colOff>1385063</xdr:colOff>
      <xdr:row>1018</xdr:row>
      <xdr:rowOff>105408</xdr:rowOff>
    </xdr:to>
    <xdr:cxnSp macro="_xll.PtreeEvent_ObjectClick">
      <xdr:nvCxnSpPr>
        <xdr:cNvPr id="2035" name="PTObj_DBranchHLine_1_504">
          <a:extLst>
            <a:ext uri="{FF2B5EF4-FFF2-40B4-BE49-F238E27FC236}">
              <a16:creationId xmlns:a16="http://schemas.microsoft.com/office/drawing/2014/main" id="{A574D58B-9EB0-4B6E-A28A-13C965582AFB}"/>
            </a:ext>
          </a:extLst>
        </xdr:cNvPr>
        <xdr:cNvCxnSpPr/>
      </xdr:nvCxnSpPr>
      <xdr:spPr>
        <a:xfrm>
          <a:off x="20056601" y="184337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1016</xdr:row>
      <xdr:rowOff>99368</xdr:rowOff>
    </xdr:from>
    <xdr:to>
      <xdr:col>11</xdr:col>
      <xdr:colOff>196976</xdr:colOff>
      <xdr:row>1018</xdr:row>
      <xdr:rowOff>105408</xdr:rowOff>
    </xdr:to>
    <xdr:cxnSp macro="_xll.PtreeEvent_ObjectClick">
      <xdr:nvCxnSpPr>
        <xdr:cNvPr id="2034" name="PTObj_DBranchDLine_1_504">
          <a:extLst>
            <a:ext uri="{FF2B5EF4-FFF2-40B4-BE49-F238E27FC236}">
              <a16:creationId xmlns:a16="http://schemas.microsoft.com/office/drawing/2014/main" id="{3F010491-064C-49ED-8E03-9C85D201A758}"/>
            </a:ext>
          </a:extLst>
        </xdr:cNvPr>
        <xdr:cNvCxnSpPr/>
      </xdr:nvCxnSpPr>
      <xdr:spPr>
        <a:xfrm>
          <a:off x="19904201" y="1839699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1016</xdr:row>
      <xdr:rowOff>101600</xdr:rowOff>
    </xdr:from>
    <xdr:to>
      <xdr:col>10</xdr:col>
      <xdr:colOff>1392681</xdr:colOff>
      <xdr:row>1016</xdr:row>
      <xdr:rowOff>101600</xdr:rowOff>
    </xdr:to>
    <xdr:cxnSp macro="_xll.PtreeEvent_ObjectClick">
      <xdr:nvCxnSpPr>
        <xdr:cNvPr id="2031" name="PTObj_DBranchHLine_1_503">
          <a:extLst>
            <a:ext uri="{FF2B5EF4-FFF2-40B4-BE49-F238E27FC236}">
              <a16:creationId xmlns:a16="http://schemas.microsoft.com/office/drawing/2014/main" id="{190F3DCF-F3ED-45F5-8C70-AF708AEDB676}"/>
            </a:ext>
          </a:extLst>
        </xdr:cNvPr>
        <xdr:cNvCxnSpPr/>
      </xdr:nvCxnSpPr>
      <xdr:spPr>
        <a:xfrm>
          <a:off x="18628804" y="183972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1014</xdr:row>
      <xdr:rowOff>97482</xdr:rowOff>
    </xdr:from>
    <xdr:to>
      <xdr:col>10</xdr:col>
      <xdr:colOff>197929</xdr:colOff>
      <xdr:row>1016</xdr:row>
      <xdr:rowOff>101600</xdr:rowOff>
    </xdr:to>
    <xdr:cxnSp macro="_xll.PtreeEvent_ObjectClick">
      <xdr:nvCxnSpPr>
        <xdr:cNvPr id="2030" name="PTObj_DBranchDLine_1_503">
          <a:extLst>
            <a:ext uri="{FF2B5EF4-FFF2-40B4-BE49-F238E27FC236}">
              <a16:creationId xmlns:a16="http://schemas.microsoft.com/office/drawing/2014/main" id="{6AF79B42-529B-4696-BE8F-C4EBD365BBD3}"/>
            </a:ext>
          </a:extLst>
        </xdr:cNvPr>
        <xdr:cNvCxnSpPr/>
      </xdr:nvCxnSpPr>
      <xdr:spPr>
        <a:xfrm>
          <a:off x="18476404" y="1836061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1014</xdr:row>
      <xdr:rowOff>97792</xdr:rowOff>
    </xdr:from>
    <xdr:to>
      <xdr:col>9</xdr:col>
      <xdr:colOff>1388870</xdr:colOff>
      <xdr:row>1014</xdr:row>
      <xdr:rowOff>97792</xdr:rowOff>
    </xdr:to>
    <xdr:cxnSp macro="_xll.PtreeEvent_ObjectClick">
      <xdr:nvCxnSpPr>
        <xdr:cNvPr id="2027" name="PTObj_DBranchHLine_1_502">
          <a:extLst>
            <a:ext uri="{FF2B5EF4-FFF2-40B4-BE49-F238E27FC236}">
              <a16:creationId xmlns:a16="http://schemas.microsoft.com/office/drawing/2014/main" id="{B7607E1E-0AED-4AE4-BC06-C54D5CA73E33}"/>
            </a:ext>
          </a:extLst>
        </xdr:cNvPr>
        <xdr:cNvCxnSpPr/>
      </xdr:nvCxnSpPr>
      <xdr:spPr>
        <a:xfrm>
          <a:off x="17206720" y="183606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1012</xdr:row>
      <xdr:rowOff>91765</xdr:rowOff>
    </xdr:from>
    <xdr:to>
      <xdr:col>9</xdr:col>
      <xdr:colOff>204595</xdr:colOff>
      <xdr:row>1014</xdr:row>
      <xdr:rowOff>97792</xdr:rowOff>
    </xdr:to>
    <xdr:cxnSp macro="_xll.PtreeEvent_ObjectClick">
      <xdr:nvCxnSpPr>
        <xdr:cNvPr id="2026" name="PTObj_DBranchDLine_1_502">
          <a:extLst>
            <a:ext uri="{FF2B5EF4-FFF2-40B4-BE49-F238E27FC236}">
              <a16:creationId xmlns:a16="http://schemas.microsoft.com/office/drawing/2014/main" id="{48F1FDBF-5EBE-48ED-98A7-E042465B534D}"/>
            </a:ext>
          </a:extLst>
        </xdr:cNvPr>
        <xdr:cNvCxnSpPr/>
      </xdr:nvCxnSpPr>
      <xdr:spPr>
        <a:xfrm>
          <a:off x="17054320" y="1832384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1012</xdr:row>
      <xdr:rowOff>93985</xdr:rowOff>
    </xdr:from>
    <xdr:to>
      <xdr:col>8</xdr:col>
      <xdr:colOff>1392681</xdr:colOff>
      <xdr:row>1012</xdr:row>
      <xdr:rowOff>93985</xdr:rowOff>
    </xdr:to>
    <xdr:cxnSp macro="_xll.PtreeEvent_ObjectClick">
      <xdr:nvCxnSpPr>
        <xdr:cNvPr id="2023" name="PTObj_DBranchHLine_1_501">
          <a:extLst>
            <a:ext uri="{FF2B5EF4-FFF2-40B4-BE49-F238E27FC236}">
              <a16:creationId xmlns:a16="http://schemas.microsoft.com/office/drawing/2014/main" id="{CCDEA9A1-9649-4B1B-8710-371B04D5D5C0}"/>
            </a:ext>
          </a:extLst>
        </xdr:cNvPr>
        <xdr:cNvCxnSpPr/>
      </xdr:nvCxnSpPr>
      <xdr:spPr>
        <a:xfrm>
          <a:off x="15782734" y="183240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1012</xdr:row>
      <xdr:rowOff>93985</xdr:rowOff>
    </xdr:from>
    <xdr:to>
      <xdr:col>8</xdr:col>
      <xdr:colOff>209359</xdr:colOff>
      <xdr:row>1020</xdr:row>
      <xdr:rowOff>104142</xdr:rowOff>
    </xdr:to>
    <xdr:cxnSp macro="_xll.PtreeEvent_ObjectClick">
      <xdr:nvCxnSpPr>
        <xdr:cNvPr id="2022" name="PTObj_DBranchDLine_1_501">
          <a:extLst>
            <a:ext uri="{FF2B5EF4-FFF2-40B4-BE49-F238E27FC236}">
              <a16:creationId xmlns:a16="http://schemas.microsoft.com/office/drawing/2014/main" id="{06344685-DF33-45DB-8464-148579E13265}"/>
            </a:ext>
          </a:extLst>
        </xdr:cNvPr>
        <xdr:cNvCxnSpPr/>
      </xdr:nvCxnSpPr>
      <xdr:spPr>
        <a:xfrm flipV="1">
          <a:off x="15630334" y="1832406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1020</xdr:row>
      <xdr:rowOff>109215</xdr:rowOff>
    </xdr:from>
    <xdr:to>
      <xdr:col>7</xdr:col>
      <xdr:colOff>1398397</xdr:colOff>
      <xdr:row>1020</xdr:row>
      <xdr:rowOff>109215</xdr:rowOff>
    </xdr:to>
    <xdr:cxnSp macro="_xll.PtreeEvent_ObjectClick">
      <xdr:nvCxnSpPr>
        <xdr:cNvPr id="2019" name="PTObj_DBranchHLine_1_505">
          <a:extLst>
            <a:ext uri="{FF2B5EF4-FFF2-40B4-BE49-F238E27FC236}">
              <a16:creationId xmlns:a16="http://schemas.microsoft.com/office/drawing/2014/main" id="{6651F993-5637-4803-99DE-4A221FCCDC18}"/>
            </a:ext>
          </a:extLst>
        </xdr:cNvPr>
        <xdr:cNvCxnSpPr/>
      </xdr:nvCxnSpPr>
      <xdr:spPr>
        <a:xfrm>
          <a:off x="14360652" y="1847037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1020</xdr:row>
      <xdr:rowOff>109215</xdr:rowOff>
    </xdr:from>
    <xdr:to>
      <xdr:col>7</xdr:col>
      <xdr:colOff>216027</xdr:colOff>
      <xdr:row>1030</xdr:row>
      <xdr:rowOff>123192</xdr:rowOff>
    </xdr:to>
    <xdr:cxnSp macro="_xll.PtreeEvent_ObjectClick">
      <xdr:nvCxnSpPr>
        <xdr:cNvPr id="2018" name="PTObj_DBranchDLine_1_505">
          <a:extLst>
            <a:ext uri="{FF2B5EF4-FFF2-40B4-BE49-F238E27FC236}">
              <a16:creationId xmlns:a16="http://schemas.microsoft.com/office/drawing/2014/main" id="{47291C1B-2507-40BB-836E-AB2692219785}"/>
            </a:ext>
          </a:extLst>
        </xdr:cNvPr>
        <xdr:cNvCxnSpPr/>
      </xdr:nvCxnSpPr>
      <xdr:spPr>
        <a:xfrm flipV="1">
          <a:off x="14208252" y="1847037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1030</xdr:row>
      <xdr:rowOff>128265</xdr:rowOff>
    </xdr:from>
    <xdr:to>
      <xdr:col>6</xdr:col>
      <xdr:colOff>1402207</xdr:colOff>
      <xdr:row>1030</xdr:row>
      <xdr:rowOff>128265</xdr:rowOff>
    </xdr:to>
    <xdr:cxnSp macro="_xll.PtreeEvent_ObjectClick">
      <xdr:nvCxnSpPr>
        <xdr:cNvPr id="2015" name="PTObj_DBranchHLine_1_510">
          <a:extLst>
            <a:ext uri="{FF2B5EF4-FFF2-40B4-BE49-F238E27FC236}">
              <a16:creationId xmlns:a16="http://schemas.microsoft.com/office/drawing/2014/main" id="{5EE1A2DD-C7B3-4671-8404-0B51F1F1B63D}"/>
            </a:ext>
          </a:extLst>
        </xdr:cNvPr>
        <xdr:cNvCxnSpPr/>
      </xdr:nvCxnSpPr>
      <xdr:spPr>
        <a:xfrm>
          <a:off x="12936665" y="186532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1010</xdr:row>
      <xdr:rowOff>84150</xdr:rowOff>
    </xdr:from>
    <xdr:to>
      <xdr:col>6</xdr:col>
      <xdr:colOff>220790</xdr:colOff>
      <xdr:row>1030</xdr:row>
      <xdr:rowOff>128265</xdr:rowOff>
    </xdr:to>
    <xdr:cxnSp macro="_xll.PtreeEvent_ObjectClick">
      <xdr:nvCxnSpPr>
        <xdr:cNvPr id="2014" name="PTObj_DBranchDLine_1_510">
          <a:extLst>
            <a:ext uri="{FF2B5EF4-FFF2-40B4-BE49-F238E27FC236}">
              <a16:creationId xmlns:a16="http://schemas.microsoft.com/office/drawing/2014/main" id="{43384D17-9967-402D-A0AE-CB3229FEDC7B}"/>
            </a:ext>
          </a:extLst>
        </xdr:cNvPr>
        <xdr:cNvCxnSpPr/>
      </xdr:nvCxnSpPr>
      <xdr:spPr>
        <a:xfrm>
          <a:off x="12784265" y="182868900"/>
          <a:ext cx="152400" cy="36636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1008</xdr:row>
      <xdr:rowOff>86358</xdr:rowOff>
    </xdr:from>
    <xdr:to>
      <xdr:col>11</xdr:col>
      <xdr:colOff>1385063</xdr:colOff>
      <xdr:row>1008</xdr:row>
      <xdr:rowOff>86358</xdr:rowOff>
    </xdr:to>
    <xdr:cxnSp macro="_xll.PtreeEvent_ObjectClick">
      <xdr:nvCxnSpPr>
        <xdr:cNvPr id="2011" name="PTObj_DBranchHLine_1_499">
          <a:extLst>
            <a:ext uri="{FF2B5EF4-FFF2-40B4-BE49-F238E27FC236}">
              <a16:creationId xmlns:a16="http://schemas.microsoft.com/office/drawing/2014/main" id="{8404AF98-1D9F-495A-B339-2E8E619A7935}"/>
            </a:ext>
          </a:extLst>
        </xdr:cNvPr>
        <xdr:cNvCxnSpPr/>
      </xdr:nvCxnSpPr>
      <xdr:spPr>
        <a:xfrm>
          <a:off x="20056601" y="182509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1006</xdr:row>
      <xdr:rowOff>73658</xdr:rowOff>
    </xdr:from>
    <xdr:to>
      <xdr:col>11</xdr:col>
      <xdr:colOff>196976</xdr:colOff>
      <xdr:row>1008</xdr:row>
      <xdr:rowOff>86358</xdr:rowOff>
    </xdr:to>
    <xdr:cxnSp macro="_xll.PtreeEvent_ObjectClick">
      <xdr:nvCxnSpPr>
        <xdr:cNvPr id="2010" name="PTObj_DBranchDLine_1_499">
          <a:extLst>
            <a:ext uri="{FF2B5EF4-FFF2-40B4-BE49-F238E27FC236}">
              <a16:creationId xmlns:a16="http://schemas.microsoft.com/office/drawing/2014/main" id="{E0A808F2-3F0E-4697-AF45-A9628738F725}"/>
            </a:ext>
          </a:extLst>
        </xdr:cNvPr>
        <xdr:cNvCxnSpPr/>
      </xdr:nvCxnSpPr>
      <xdr:spPr>
        <a:xfrm>
          <a:off x="19904201" y="1821345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1006</xdr:row>
      <xdr:rowOff>82550</xdr:rowOff>
    </xdr:from>
    <xdr:to>
      <xdr:col>10</xdr:col>
      <xdr:colOff>1392681</xdr:colOff>
      <xdr:row>1006</xdr:row>
      <xdr:rowOff>82550</xdr:rowOff>
    </xdr:to>
    <xdr:cxnSp macro="_xll.PtreeEvent_ObjectClick">
      <xdr:nvCxnSpPr>
        <xdr:cNvPr id="2007" name="PTObj_DBranchHLine_1_498">
          <a:extLst>
            <a:ext uri="{FF2B5EF4-FFF2-40B4-BE49-F238E27FC236}">
              <a16:creationId xmlns:a16="http://schemas.microsoft.com/office/drawing/2014/main" id="{9A210575-71F4-4289-9A3C-EC4773F1864A}"/>
            </a:ext>
          </a:extLst>
        </xdr:cNvPr>
        <xdr:cNvCxnSpPr/>
      </xdr:nvCxnSpPr>
      <xdr:spPr>
        <a:xfrm>
          <a:off x="18628804" y="182143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1004</xdr:row>
      <xdr:rowOff>77477</xdr:rowOff>
    </xdr:from>
    <xdr:to>
      <xdr:col>10</xdr:col>
      <xdr:colOff>197929</xdr:colOff>
      <xdr:row>1006</xdr:row>
      <xdr:rowOff>82550</xdr:rowOff>
    </xdr:to>
    <xdr:cxnSp macro="_xll.PtreeEvent_ObjectClick">
      <xdr:nvCxnSpPr>
        <xdr:cNvPr id="2006" name="PTObj_DBranchDLine_1_498">
          <a:extLst>
            <a:ext uri="{FF2B5EF4-FFF2-40B4-BE49-F238E27FC236}">
              <a16:creationId xmlns:a16="http://schemas.microsoft.com/office/drawing/2014/main" id="{5B19B41C-702E-4822-B565-20CE656A2A37}"/>
            </a:ext>
          </a:extLst>
        </xdr:cNvPr>
        <xdr:cNvCxnSpPr/>
      </xdr:nvCxnSpPr>
      <xdr:spPr>
        <a:xfrm>
          <a:off x="18476404" y="1817763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1004</xdr:row>
      <xdr:rowOff>78742</xdr:rowOff>
    </xdr:from>
    <xdr:to>
      <xdr:col>9</xdr:col>
      <xdr:colOff>1388870</xdr:colOff>
      <xdr:row>1004</xdr:row>
      <xdr:rowOff>78742</xdr:rowOff>
    </xdr:to>
    <xdr:cxnSp macro="_xll.PtreeEvent_ObjectClick">
      <xdr:nvCxnSpPr>
        <xdr:cNvPr id="2003" name="PTObj_DBranchHLine_1_497">
          <a:extLst>
            <a:ext uri="{FF2B5EF4-FFF2-40B4-BE49-F238E27FC236}">
              <a16:creationId xmlns:a16="http://schemas.microsoft.com/office/drawing/2014/main" id="{7953B142-83B3-45ED-A0A8-4BF87347FAE5}"/>
            </a:ext>
          </a:extLst>
        </xdr:cNvPr>
        <xdr:cNvCxnSpPr/>
      </xdr:nvCxnSpPr>
      <xdr:spPr>
        <a:xfrm>
          <a:off x="17206720" y="181777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1002</xdr:row>
      <xdr:rowOff>73658</xdr:rowOff>
    </xdr:from>
    <xdr:to>
      <xdr:col>9</xdr:col>
      <xdr:colOff>204595</xdr:colOff>
      <xdr:row>1004</xdr:row>
      <xdr:rowOff>78742</xdr:rowOff>
    </xdr:to>
    <xdr:cxnSp macro="_xll.PtreeEvent_ObjectClick">
      <xdr:nvCxnSpPr>
        <xdr:cNvPr id="2002" name="PTObj_DBranchDLine_1_497">
          <a:extLst>
            <a:ext uri="{FF2B5EF4-FFF2-40B4-BE49-F238E27FC236}">
              <a16:creationId xmlns:a16="http://schemas.microsoft.com/office/drawing/2014/main" id="{90403CF2-E897-4E08-B45E-9E2049811CAB}"/>
            </a:ext>
          </a:extLst>
        </xdr:cNvPr>
        <xdr:cNvCxnSpPr/>
      </xdr:nvCxnSpPr>
      <xdr:spPr>
        <a:xfrm>
          <a:off x="17054320" y="1814106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1002</xdr:row>
      <xdr:rowOff>74935</xdr:rowOff>
    </xdr:from>
    <xdr:to>
      <xdr:col>8</xdr:col>
      <xdr:colOff>1392681</xdr:colOff>
      <xdr:row>1002</xdr:row>
      <xdr:rowOff>74935</xdr:rowOff>
    </xdr:to>
    <xdr:cxnSp macro="_xll.PtreeEvent_ObjectClick">
      <xdr:nvCxnSpPr>
        <xdr:cNvPr id="1999" name="PTObj_DBranchHLine_1_496">
          <a:extLst>
            <a:ext uri="{FF2B5EF4-FFF2-40B4-BE49-F238E27FC236}">
              <a16:creationId xmlns:a16="http://schemas.microsoft.com/office/drawing/2014/main" id="{8C54B05C-C154-4C2A-B567-C13A0358A6F2}"/>
            </a:ext>
          </a:extLst>
        </xdr:cNvPr>
        <xdr:cNvCxnSpPr/>
      </xdr:nvCxnSpPr>
      <xdr:spPr>
        <a:xfrm>
          <a:off x="15782734" y="181411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1000</xdr:row>
      <xdr:rowOff>71772</xdr:rowOff>
    </xdr:from>
    <xdr:to>
      <xdr:col>8</xdr:col>
      <xdr:colOff>209359</xdr:colOff>
      <xdr:row>1002</xdr:row>
      <xdr:rowOff>74935</xdr:rowOff>
    </xdr:to>
    <xdr:cxnSp macro="_xll.PtreeEvent_ObjectClick">
      <xdr:nvCxnSpPr>
        <xdr:cNvPr id="1998" name="PTObj_DBranchDLine_1_496">
          <a:extLst>
            <a:ext uri="{FF2B5EF4-FFF2-40B4-BE49-F238E27FC236}">
              <a16:creationId xmlns:a16="http://schemas.microsoft.com/office/drawing/2014/main" id="{FE26FDF8-78DE-42A9-8142-5EA41EB50904}"/>
            </a:ext>
          </a:extLst>
        </xdr:cNvPr>
        <xdr:cNvCxnSpPr/>
      </xdr:nvCxnSpPr>
      <xdr:spPr>
        <a:xfrm>
          <a:off x="15630334" y="1810467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998</xdr:row>
      <xdr:rowOff>67308</xdr:rowOff>
    </xdr:from>
    <xdr:to>
      <xdr:col>11</xdr:col>
      <xdr:colOff>1384111</xdr:colOff>
      <xdr:row>998</xdr:row>
      <xdr:rowOff>67308</xdr:rowOff>
    </xdr:to>
    <xdr:cxnSp macro="_xll.PtreeEvent_ObjectClick">
      <xdr:nvCxnSpPr>
        <xdr:cNvPr id="1995" name="PTObj_DBranchHLine_1_494">
          <a:extLst>
            <a:ext uri="{FF2B5EF4-FFF2-40B4-BE49-F238E27FC236}">
              <a16:creationId xmlns:a16="http://schemas.microsoft.com/office/drawing/2014/main" id="{A25B1F41-5CD3-4590-A5C0-051503FFDD24}"/>
            </a:ext>
          </a:extLst>
        </xdr:cNvPr>
        <xdr:cNvCxnSpPr/>
      </xdr:nvCxnSpPr>
      <xdr:spPr>
        <a:xfrm>
          <a:off x="20056601" y="1806803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996</xdr:row>
      <xdr:rowOff>58415</xdr:rowOff>
    </xdr:from>
    <xdr:to>
      <xdr:col>11</xdr:col>
      <xdr:colOff>196976</xdr:colOff>
      <xdr:row>998</xdr:row>
      <xdr:rowOff>67308</xdr:rowOff>
    </xdr:to>
    <xdr:cxnSp macro="_xll.PtreeEvent_ObjectClick">
      <xdr:nvCxnSpPr>
        <xdr:cNvPr id="1994" name="PTObj_DBranchDLine_1_494">
          <a:extLst>
            <a:ext uri="{FF2B5EF4-FFF2-40B4-BE49-F238E27FC236}">
              <a16:creationId xmlns:a16="http://schemas.microsoft.com/office/drawing/2014/main" id="{9690ED3E-9C56-4395-B3CF-0AFC0AD1F940}"/>
            </a:ext>
          </a:extLst>
        </xdr:cNvPr>
        <xdr:cNvCxnSpPr/>
      </xdr:nvCxnSpPr>
      <xdr:spPr>
        <a:xfrm>
          <a:off x="19904201" y="1803095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996</xdr:row>
      <xdr:rowOff>63500</xdr:rowOff>
    </xdr:from>
    <xdr:to>
      <xdr:col>10</xdr:col>
      <xdr:colOff>1392681</xdr:colOff>
      <xdr:row>996</xdr:row>
      <xdr:rowOff>63500</xdr:rowOff>
    </xdr:to>
    <xdr:cxnSp macro="_xll.PtreeEvent_ObjectClick">
      <xdr:nvCxnSpPr>
        <xdr:cNvPr id="1991" name="PTObj_DBranchHLine_1_493">
          <a:extLst>
            <a:ext uri="{FF2B5EF4-FFF2-40B4-BE49-F238E27FC236}">
              <a16:creationId xmlns:a16="http://schemas.microsoft.com/office/drawing/2014/main" id="{8DFB4E29-E02F-4DE1-858B-7C9EA810225D}"/>
            </a:ext>
          </a:extLst>
        </xdr:cNvPr>
        <xdr:cNvCxnSpPr/>
      </xdr:nvCxnSpPr>
      <xdr:spPr>
        <a:xfrm>
          <a:off x="18628804" y="180314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994</xdr:row>
      <xdr:rowOff>54620</xdr:rowOff>
    </xdr:from>
    <xdr:to>
      <xdr:col>10</xdr:col>
      <xdr:colOff>197929</xdr:colOff>
      <xdr:row>996</xdr:row>
      <xdr:rowOff>63500</xdr:rowOff>
    </xdr:to>
    <xdr:cxnSp macro="_xll.PtreeEvent_ObjectClick">
      <xdr:nvCxnSpPr>
        <xdr:cNvPr id="1990" name="PTObj_DBranchDLine_1_493">
          <a:extLst>
            <a:ext uri="{FF2B5EF4-FFF2-40B4-BE49-F238E27FC236}">
              <a16:creationId xmlns:a16="http://schemas.microsoft.com/office/drawing/2014/main" id="{F67E0F13-0D34-49BE-B411-E4507195060B}"/>
            </a:ext>
          </a:extLst>
        </xdr:cNvPr>
        <xdr:cNvCxnSpPr/>
      </xdr:nvCxnSpPr>
      <xdr:spPr>
        <a:xfrm>
          <a:off x="18476404" y="1799437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994</xdr:row>
      <xdr:rowOff>59692</xdr:rowOff>
    </xdr:from>
    <xdr:to>
      <xdr:col>9</xdr:col>
      <xdr:colOff>1388870</xdr:colOff>
      <xdr:row>994</xdr:row>
      <xdr:rowOff>59692</xdr:rowOff>
    </xdr:to>
    <xdr:cxnSp macro="_xll.PtreeEvent_ObjectClick">
      <xdr:nvCxnSpPr>
        <xdr:cNvPr id="1987" name="PTObj_DBranchHLine_1_492">
          <a:extLst>
            <a:ext uri="{FF2B5EF4-FFF2-40B4-BE49-F238E27FC236}">
              <a16:creationId xmlns:a16="http://schemas.microsoft.com/office/drawing/2014/main" id="{CE468482-D279-4497-8C11-6CB7F105681E}"/>
            </a:ext>
          </a:extLst>
        </xdr:cNvPr>
        <xdr:cNvCxnSpPr/>
      </xdr:nvCxnSpPr>
      <xdr:spPr>
        <a:xfrm>
          <a:off x="17206720" y="179948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992</xdr:row>
      <xdr:rowOff>47005</xdr:rowOff>
    </xdr:from>
    <xdr:to>
      <xdr:col>9</xdr:col>
      <xdr:colOff>204595</xdr:colOff>
      <xdr:row>994</xdr:row>
      <xdr:rowOff>59692</xdr:rowOff>
    </xdr:to>
    <xdr:cxnSp macro="_xll.PtreeEvent_ObjectClick">
      <xdr:nvCxnSpPr>
        <xdr:cNvPr id="1986" name="PTObj_DBranchDLine_1_492">
          <a:extLst>
            <a:ext uri="{FF2B5EF4-FFF2-40B4-BE49-F238E27FC236}">
              <a16:creationId xmlns:a16="http://schemas.microsoft.com/office/drawing/2014/main" id="{550000CF-74E2-4081-AF45-142C9650EC79}"/>
            </a:ext>
          </a:extLst>
        </xdr:cNvPr>
        <xdr:cNvCxnSpPr/>
      </xdr:nvCxnSpPr>
      <xdr:spPr>
        <a:xfrm>
          <a:off x="17054320" y="1795742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992</xdr:row>
      <xdr:rowOff>55885</xdr:rowOff>
    </xdr:from>
    <xdr:to>
      <xdr:col>8</xdr:col>
      <xdr:colOff>1392681</xdr:colOff>
      <xdr:row>992</xdr:row>
      <xdr:rowOff>55885</xdr:rowOff>
    </xdr:to>
    <xdr:cxnSp macro="_xll.PtreeEvent_ObjectClick">
      <xdr:nvCxnSpPr>
        <xdr:cNvPr id="1983" name="PTObj_DBranchHLine_1_491">
          <a:extLst>
            <a:ext uri="{FF2B5EF4-FFF2-40B4-BE49-F238E27FC236}">
              <a16:creationId xmlns:a16="http://schemas.microsoft.com/office/drawing/2014/main" id="{4450D51B-3BFD-4C03-81BC-E20CEEB05964}"/>
            </a:ext>
          </a:extLst>
        </xdr:cNvPr>
        <xdr:cNvCxnSpPr/>
      </xdr:nvCxnSpPr>
      <xdr:spPr>
        <a:xfrm>
          <a:off x="15782734" y="179583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992</xdr:row>
      <xdr:rowOff>55885</xdr:rowOff>
    </xdr:from>
    <xdr:to>
      <xdr:col>8</xdr:col>
      <xdr:colOff>209359</xdr:colOff>
      <xdr:row>1000</xdr:row>
      <xdr:rowOff>71772</xdr:rowOff>
    </xdr:to>
    <xdr:cxnSp macro="_xll.PtreeEvent_ObjectClick">
      <xdr:nvCxnSpPr>
        <xdr:cNvPr id="1982" name="PTObj_DBranchDLine_1_491">
          <a:extLst>
            <a:ext uri="{FF2B5EF4-FFF2-40B4-BE49-F238E27FC236}">
              <a16:creationId xmlns:a16="http://schemas.microsoft.com/office/drawing/2014/main" id="{6157C770-6B90-4680-974F-79FB07334DC3}"/>
            </a:ext>
          </a:extLst>
        </xdr:cNvPr>
        <xdr:cNvCxnSpPr/>
      </xdr:nvCxnSpPr>
      <xdr:spPr>
        <a:xfrm flipV="1">
          <a:off x="15630334" y="1795830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1000</xdr:row>
      <xdr:rowOff>71115</xdr:rowOff>
    </xdr:from>
    <xdr:to>
      <xdr:col>7</xdr:col>
      <xdr:colOff>1398397</xdr:colOff>
      <xdr:row>1000</xdr:row>
      <xdr:rowOff>71115</xdr:rowOff>
    </xdr:to>
    <xdr:cxnSp macro="_xll.PtreeEvent_ObjectClick">
      <xdr:nvCxnSpPr>
        <xdr:cNvPr id="1979" name="PTObj_DBranchHLine_1_495">
          <a:extLst>
            <a:ext uri="{FF2B5EF4-FFF2-40B4-BE49-F238E27FC236}">
              <a16:creationId xmlns:a16="http://schemas.microsoft.com/office/drawing/2014/main" id="{98237518-FDB9-4432-B30E-67406FD89865}"/>
            </a:ext>
          </a:extLst>
        </xdr:cNvPr>
        <xdr:cNvCxnSpPr/>
      </xdr:nvCxnSpPr>
      <xdr:spPr>
        <a:xfrm>
          <a:off x="14362557" y="1810461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990</xdr:row>
      <xdr:rowOff>40332</xdr:rowOff>
    </xdr:from>
    <xdr:to>
      <xdr:col>7</xdr:col>
      <xdr:colOff>217932</xdr:colOff>
      <xdr:row>1000</xdr:row>
      <xdr:rowOff>71115</xdr:rowOff>
    </xdr:to>
    <xdr:cxnSp macro="_xll.PtreeEvent_ObjectClick">
      <xdr:nvCxnSpPr>
        <xdr:cNvPr id="1978" name="PTObj_DBranchDLine_1_495">
          <a:extLst>
            <a:ext uri="{FF2B5EF4-FFF2-40B4-BE49-F238E27FC236}">
              <a16:creationId xmlns:a16="http://schemas.microsoft.com/office/drawing/2014/main" id="{D7AD6F76-1094-4F3D-8F6B-45CC09057F35}"/>
            </a:ext>
          </a:extLst>
        </xdr:cNvPr>
        <xdr:cNvCxnSpPr/>
      </xdr:nvCxnSpPr>
      <xdr:spPr>
        <a:xfrm>
          <a:off x="14210157" y="1792055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988</xdr:row>
      <xdr:rowOff>48258</xdr:rowOff>
    </xdr:from>
    <xdr:to>
      <xdr:col>11</xdr:col>
      <xdr:colOff>1385063</xdr:colOff>
      <xdr:row>988</xdr:row>
      <xdr:rowOff>48258</xdr:rowOff>
    </xdr:to>
    <xdr:cxnSp macro="_xll.PtreeEvent_ObjectClick">
      <xdr:nvCxnSpPr>
        <xdr:cNvPr id="1975" name="PTObj_DBranchHLine_1_489">
          <a:extLst>
            <a:ext uri="{FF2B5EF4-FFF2-40B4-BE49-F238E27FC236}">
              <a16:creationId xmlns:a16="http://schemas.microsoft.com/office/drawing/2014/main" id="{70C27A0A-0E68-43D4-BF5B-A858F05EB270}"/>
            </a:ext>
          </a:extLst>
        </xdr:cNvPr>
        <xdr:cNvCxnSpPr/>
      </xdr:nvCxnSpPr>
      <xdr:spPr>
        <a:xfrm>
          <a:off x="20056601" y="178851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986</xdr:row>
      <xdr:rowOff>35558</xdr:rowOff>
    </xdr:from>
    <xdr:to>
      <xdr:col>11</xdr:col>
      <xdr:colOff>196976</xdr:colOff>
      <xdr:row>988</xdr:row>
      <xdr:rowOff>48258</xdr:rowOff>
    </xdr:to>
    <xdr:cxnSp macro="_xll.PtreeEvent_ObjectClick">
      <xdr:nvCxnSpPr>
        <xdr:cNvPr id="1974" name="PTObj_DBranchDLine_1_489">
          <a:extLst>
            <a:ext uri="{FF2B5EF4-FFF2-40B4-BE49-F238E27FC236}">
              <a16:creationId xmlns:a16="http://schemas.microsoft.com/office/drawing/2014/main" id="{B5E0A5B4-7DC8-40E0-8E50-CF3A0D0232E1}"/>
            </a:ext>
          </a:extLst>
        </xdr:cNvPr>
        <xdr:cNvCxnSpPr/>
      </xdr:nvCxnSpPr>
      <xdr:spPr>
        <a:xfrm>
          <a:off x="19904201" y="1784769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986</xdr:row>
      <xdr:rowOff>44450</xdr:rowOff>
    </xdr:from>
    <xdr:to>
      <xdr:col>10</xdr:col>
      <xdr:colOff>1392681</xdr:colOff>
      <xdr:row>986</xdr:row>
      <xdr:rowOff>44450</xdr:rowOff>
    </xdr:to>
    <xdr:cxnSp macro="_xll.PtreeEvent_ObjectClick">
      <xdr:nvCxnSpPr>
        <xdr:cNvPr id="1971" name="PTObj_DBranchHLine_1_488">
          <a:extLst>
            <a:ext uri="{FF2B5EF4-FFF2-40B4-BE49-F238E27FC236}">
              <a16:creationId xmlns:a16="http://schemas.microsoft.com/office/drawing/2014/main" id="{EB088FC1-C5D0-4E79-A383-A55824C473AD}"/>
            </a:ext>
          </a:extLst>
        </xdr:cNvPr>
        <xdr:cNvCxnSpPr/>
      </xdr:nvCxnSpPr>
      <xdr:spPr>
        <a:xfrm>
          <a:off x="18628804" y="178485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984</xdr:row>
      <xdr:rowOff>39377</xdr:rowOff>
    </xdr:from>
    <xdr:to>
      <xdr:col>10</xdr:col>
      <xdr:colOff>197929</xdr:colOff>
      <xdr:row>986</xdr:row>
      <xdr:rowOff>44450</xdr:rowOff>
    </xdr:to>
    <xdr:cxnSp macro="_xll.PtreeEvent_ObjectClick">
      <xdr:nvCxnSpPr>
        <xdr:cNvPr id="1970" name="PTObj_DBranchDLine_1_488">
          <a:extLst>
            <a:ext uri="{FF2B5EF4-FFF2-40B4-BE49-F238E27FC236}">
              <a16:creationId xmlns:a16="http://schemas.microsoft.com/office/drawing/2014/main" id="{68768264-AB39-43B7-B3B1-BD74FD808827}"/>
            </a:ext>
          </a:extLst>
        </xdr:cNvPr>
        <xdr:cNvCxnSpPr/>
      </xdr:nvCxnSpPr>
      <xdr:spPr>
        <a:xfrm>
          <a:off x="18476404" y="1781187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984</xdr:row>
      <xdr:rowOff>40642</xdr:rowOff>
    </xdr:from>
    <xdr:to>
      <xdr:col>9</xdr:col>
      <xdr:colOff>1388870</xdr:colOff>
      <xdr:row>984</xdr:row>
      <xdr:rowOff>40642</xdr:rowOff>
    </xdr:to>
    <xdr:cxnSp macro="_xll.PtreeEvent_ObjectClick">
      <xdr:nvCxnSpPr>
        <xdr:cNvPr id="1967" name="PTObj_DBranchHLine_1_487">
          <a:extLst>
            <a:ext uri="{FF2B5EF4-FFF2-40B4-BE49-F238E27FC236}">
              <a16:creationId xmlns:a16="http://schemas.microsoft.com/office/drawing/2014/main" id="{D5DDAEC2-BE44-46E4-887D-47E9DBF706C7}"/>
            </a:ext>
          </a:extLst>
        </xdr:cNvPr>
        <xdr:cNvCxnSpPr/>
      </xdr:nvCxnSpPr>
      <xdr:spPr>
        <a:xfrm>
          <a:off x="17206720" y="178120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982</xdr:row>
      <xdr:rowOff>35558</xdr:rowOff>
    </xdr:from>
    <xdr:to>
      <xdr:col>9</xdr:col>
      <xdr:colOff>204595</xdr:colOff>
      <xdr:row>984</xdr:row>
      <xdr:rowOff>40642</xdr:rowOff>
    </xdr:to>
    <xdr:cxnSp macro="_xll.PtreeEvent_ObjectClick">
      <xdr:nvCxnSpPr>
        <xdr:cNvPr id="1966" name="PTObj_DBranchDLine_1_487">
          <a:extLst>
            <a:ext uri="{FF2B5EF4-FFF2-40B4-BE49-F238E27FC236}">
              <a16:creationId xmlns:a16="http://schemas.microsoft.com/office/drawing/2014/main" id="{9F7E8C67-15E8-4B89-B11C-E756F707EF57}"/>
            </a:ext>
          </a:extLst>
        </xdr:cNvPr>
        <xdr:cNvCxnSpPr/>
      </xdr:nvCxnSpPr>
      <xdr:spPr>
        <a:xfrm>
          <a:off x="17054320" y="1777530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982</xdr:row>
      <xdr:rowOff>36835</xdr:rowOff>
    </xdr:from>
    <xdr:to>
      <xdr:col>8</xdr:col>
      <xdr:colOff>1392681</xdr:colOff>
      <xdr:row>982</xdr:row>
      <xdr:rowOff>36835</xdr:rowOff>
    </xdr:to>
    <xdr:cxnSp macro="_xll.PtreeEvent_ObjectClick">
      <xdr:nvCxnSpPr>
        <xdr:cNvPr id="1963" name="PTObj_DBranchHLine_1_486">
          <a:extLst>
            <a:ext uri="{FF2B5EF4-FFF2-40B4-BE49-F238E27FC236}">
              <a16:creationId xmlns:a16="http://schemas.microsoft.com/office/drawing/2014/main" id="{3D244CE4-D0E4-4A08-B625-90AE6DED99A6}"/>
            </a:ext>
          </a:extLst>
        </xdr:cNvPr>
        <xdr:cNvCxnSpPr/>
      </xdr:nvCxnSpPr>
      <xdr:spPr>
        <a:xfrm>
          <a:off x="15782734" y="177754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980</xdr:row>
      <xdr:rowOff>33672</xdr:rowOff>
    </xdr:from>
    <xdr:to>
      <xdr:col>8</xdr:col>
      <xdr:colOff>209359</xdr:colOff>
      <xdr:row>982</xdr:row>
      <xdr:rowOff>36835</xdr:rowOff>
    </xdr:to>
    <xdr:cxnSp macro="_xll.PtreeEvent_ObjectClick">
      <xdr:nvCxnSpPr>
        <xdr:cNvPr id="1962" name="PTObj_DBranchDLine_1_486">
          <a:extLst>
            <a:ext uri="{FF2B5EF4-FFF2-40B4-BE49-F238E27FC236}">
              <a16:creationId xmlns:a16="http://schemas.microsoft.com/office/drawing/2014/main" id="{C08AC620-F810-4537-97D5-8EA395B50251}"/>
            </a:ext>
          </a:extLst>
        </xdr:cNvPr>
        <xdr:cNvCxnSpPr/>
      </xdr:nvCxnSpPr>
      <xdr:spPr>
        <a:xfrm>
          <a:off x="15630334" y="1773891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978</xdr:row>
      <xdr:rowOff>29208</xdr:rowOff>
    </xdr:from>
    <xdr:to>
      <xdr:col>11</xdr:col>
      <xdr:colOff>1384111</xdr:colOff>
      <xdr:row>978</xdr:row>
      <xdr:rowOff>29208</xdr:rowOff>
    </xdr:to>
    <xdr:cxnSp macro="_xll.PtreeEvent_ObjectClick">
      <xdr:nvCxnSpPr>
        <xdr:cNvPr id="1959" name="PTObj_DBranchHLine_1_484">
          <a:extLst>
            <a:ext uri="{FF2B5EF4-FFF2-40B4-BE49-F238E27FC236}">
              <a16:creationId xmlns:a16="http://schemas.microsoft.com/office/drawing/2014/main" id="{318D40D3-535D-4807-8847-09CF8CCE1121}"/>
            </a:ext>
          </a:extLst>
        </xdr:cNvPr>
        <xdr:cNvCxnSpPr/>
      </xdr:nvCxnSpPr>
      <xdr:spPr>
        <a:xfrm>
          <a:off x="20056601" y="1770227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976</xdr:row>
      <xdr:rowOff>20315</xdr:rowOff>
    </xdr:from>
    <xdr:to>
      <xdr:col>11</xdr:col>
      <xdr:colOff>196976</xdr:colOff>
      <xdr:row>978</xdr:row>
      <xdr:rowOff>29208</xdr:rowOff>
    </xdr:to>
    <xdr:cxnSp macro="_xll.PtreeEvent_ObjectClick">
      <xdr:nvCxnSpPr>
        <xdr:cNvPr id="1958" name="PTObj_DBranchDLine_1_484">
          <a:extLst>
            <a:ext uri="{FF2B5EF4-FFF2-40B4-BE49-F238E27FC236}">
              <a16:creationId xmlns:a16="http://schemas.microsoft.com/office/drawing/2014/main" id="{AFAA4087-2BFB-40F5-869F-E44A161AE574}"/>
            </a:ext>
          </a:extLst>
        </xdr:cNvPr>
        <xdr:cNvCxnSpPr/>
      </xdr:nvCxnSpPr>
      <xdr:spPr>
        <a:xfrm>
          <a:off x="19904201" y="1766519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976</xdr:row>
      <xdr:rowOff>25400</xdr:rowOff>
    </xdr:from>
    <xdr:to>
      <xdr:col>10</xdr:col>
      <xdr:colOff>1392681</xdr:colOff>
      <xdr:row>976</xdr:row>
      <xdr:rowOff>25400</xdr:rowOff>
    </xdr:to>
    <xdr:cxnSp macro="_xll.PtreeEvent_ObjectClick">
      <xdr:nvCxnSpPr>
        <xdr:cNvPr id="1955" name="PTObj_DBranchHLine_1_483">
          <a:extLst>
            <a:ext uri="{FF2B5EF4-FFF2-40B4-BE49-F238E27FC236}">
              <a16:creationId xmlns:a16="http://schemas.microsoft.com/office/drawing/2014/main" id="{079BEA6E-A326-427B-AE72-F79193042C7E}"/>
            </a:ext>
          </a:extLst>
        </xdr:cNvPr>
        <xdr:cNvCxnSpPr/>
      </xdr:nvCxnSpPr>
      <xdr:spPr>
        <a:xfrm>
          <a:off x="18628804" y="176657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974</xdr:row>
      <xdr:rowOff>16520</xdr:rowOff>
    </xdr:from>
    <xdr:to>
      <xdr:col>10</xdr:col>
      <xdr:colOff>197929</xdr:colOff>
      <xdr:row>976</xdr:row>
      <xdr:rowOff>25400</xdr:rowOff>
    </xdr:to>
    <xdr:cxnSp macro="_xll.PtreeEvent_ObjectClick">
      <xdr:nvCxnSpPr>
        <xdr:cNvPr id="1954" name="PTObj_DBranchDLine_1_483">
          <a:extLst>
            <a:ext uri="{FF2B5EF4-FFF2-40B4-BE49-F238E27FC236}">
              <a16:creationId xmlns:a16="http://schemas.microsoft.com/office/drawing/2014/main" id="{F28DBADC-C0DF-4AC0-8FA7-291253C831D9}"/>
            </a:ext>
          </a:extLst>
        </xdr:cNvPr>
        <xdr:cNvCxnSpPr/>
      </xdr:nvCxnSpPr>
      <xdr:spPr>
        <a:xfrm>
          <a:off x="18476404" y="1762861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974</xdr:row>
      <xdr:rowOff>21592</xdr:rowOff>
    </xdr:from>
    <xdr:to>
      <xdr:col>9</xdr:col>
      <xdr:colOff>1388870</xdr:colOff>
      <xdr:row>974</xdr:row>
      <xdr:rowOff>21592</xdr:rowOff>
    </xdr:to>
    <xdr:cxnSp macro="_xll.PtreeEvent_ObjectClick">
      <xdr:nvCxnSpPr>
        <xdr:cNvPr id="1951" name="PTObj_DBranchHLine_1_482">
          <a:extLst>
            <a:ext uri="{FF2B5EF4-FFF2-40B4-BE49-F238E27FC236}">
              <a16:creationId xmlns:a16="http://schemas.microsoft.com/office/drawing/2014/main" id="{6C4265A9-7424-482D-851D-BFA0F2A7AD00}"/>
            </a:ext>
          </a:extLst>
        </xdr:cNvPr>
        <xdr:cNvCxnSpPr/>
      </xdr:nvCxnSpPr>
      <xdr:spPr>
        <a:xfrm>
          <a:off x="17206720" y="176291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972</xdr:row>
      <xdr:rowOff>8905</xdr:rowOff>
    </xdr:from>
    <xdr:to>
      <xdr:col>9</xdr:col>
      <xdr:colOff>204595</xdr:colOff>
      <xdr:row>974</xdr:row>
      <xdr:rowOff>21592</xdr:rowOff>
    </xdr:to>
    <xdr:cxnSp macro="_xll.PtreeEvent_ObjectClick">
      <xdr:nvCxnSpPr>
        <xdr:cNvPr id="1950" name="PTObj_DBranchDLine_1_482">
          <a:extLst>
            <a:ext uri="{FF2B5EF4-FFF2-40B4-BE49-F238E27FC236}">
              <a16:creationId xmlns:a16="http://schemas.microsoft.com/office/drawing/2014/main" id="{2BCFDD12-8F85-4C5C-B6FE-D16D02212638}"/>
            </a:ext>
          </a:extLst>
        </xdr:cNvPr>
        <xdr:cNvCxnSpPr/>
      </xdr:nvCxnSpPr>
      <xdr:spPr>
        <a:xfrm>
          <a:off x="17054320" y="1759166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972</xdr:row>
      <xdr:rowOff>17785</xdr:rowOff>
    </xdr:from>
    <xdr:to>
      <xdr:col>8</xdr:col>
      <xdr:colOff>1392681</xdr:colOff>
      <xdr:row>972</xdr:row>
      <xdr:rowOff>17785</xdr:rowOff>
    </xdr:to>
    <xdr:cxnSp macro="_xll.PtreeEvent_ObjectClick">
      <xdr:nvCxnSpPr>
        <xdr:cNvPr id="1947" name="PTObj_DBranchHLine_1_481">
          <a:extLst>
            <a:ext uri="{FF2B5EF4-FFF2-40B4-BE49-F238E27FC236}">
              <a16:creationId xmlns:a16="http://schemas.microsoft.com/office/drawing/2014/main" id="{77296813-AF67-42E7-9F51-BC176A5EDFCE}"/>
            </a:ext>
          </a:extLst>
        </xdr:cNvPr>
        <xdr:cNvCxnSpPr/>
      </xdr:nvCxnSpPr>
      <xdr:spPr>
        <a:xfrm>
          <a:off x="15782734" y="175925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972</xdr:row>
      <xdr:rowOff>17785</xdr:rowOff>
    </xdr:from>
    <xdr:to>
      <xdr:col>8</xdr:col>
      <xdr:colOff>209359</xdr:colOff>
      <xdr:row>980</xdr:row>
      <xdr:rowOff>33672</xdr:rowOff>
    </xdr:to>
    <xdr:cxnSp macro="_xll.PtreeEvent_ObjectClick">
      <xdr:nvCxnSpPr>
        <xdr:cNvPr id="1946" name="PTObj_DBranchDLine_1_481">
          <a:extLst>
            <a:ext uri="{FF2B5EF4-FFF2-40B4-BE49-F238E27FC236}">
              <a16:creationId xmlns:a16="http://schemas.microsoft.com/office/drawing/2014/main" id="{E0F962C0-E4D4-4144-9F0D-EC08D8029B67}"/>
            </a:ext>
          </a:extLst>
        </xdr:cNvPr>
        <xdr:cNvCxnSpPr/>
      </xdr:nvCxnSpPr>
      <xdr:spPr>
        <a:xfrm flipV="1">
          <a:off x="15630334" y="1759254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980</xdr:row>
      <xdr:rowOff>33015</xdr:rowOff>
    </xdr:from>
    <xdr:to>
      <xdr:col>7</xdr:col>
      <xdr:colOff>1398397</xdr:colOff>
      <xdr:row>980</xdr:row>
      <xdr:rowOff>33015</xdr:rowOff>
    </xdr:to>
    <xdr:cxnSp macro="_xll.PtreeEvent_ObjectClick">
      <xdr:nvCxnSpPr>
        <xdr:cNvPr id="1943" name="PTObj_DBranchHLine_1_485">
          <a:extLst>
            <a:ext uri="{FF2B5EF4-FFF2-40B4-BE49-F238E27FC236}">
              <a16:creationId xmlns:a16="http://schemas.microsoft.com/office/drawing/2014/main" id="{58997BC2-341E-4E4D-A83F-F6F5FAF291BE}"/>
            </a:ext>
          </a:extLst>
        </xdr:cNvPr>
        <xdr:cNvCxnSpPr/>
      </xdr:nvCxnSpPr>
      <xdr:spPr>
        <a:xfrm>
          <a:off x="14360652" y="177388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980</xdr:row>
      <xdr:rowOff>33015</xdr:rowOff>
    </xdr:from>
    <xdr:to>
      <xdr:col>7</xdr:col>
      <xdr:colOff>216027</xdr:colOff>
      <xdr:row>990</xdr:row>
      <xdr:rowOff>42242</xdr:rowOff>
    </xdr:to>
    <xdr:cxnSp macro="_xll.PtreeEvent_ObjectClick">
      <xdr:nvCxnSpPr>
        <xdr:cNvPr id="1942" name="PTObj_DBranchDLine_1_485">
          <a:extLst>
            <a:ext uri="{FF2B5EF4-FFF2-40B4-BE49-F238E27FC236}">
              <a16:creationId xmlns:a16="http://schemas.microsoft.com/office/drawing/2014/main" id="{64F4F2B2-4995-4CCD-8E75-F85E4CC843AA}"/>
            </a:ext>
          </a:extLst>
        </xdr:cNvPr>
        <xdr:cNvCxnSpPr/>
      </xdr:nvCxnSpPr>
      <xdr:spPr>
        <a:xfrm flipV="1">
          <a:off x="14208252" y="1773885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990</xdr:row>
      <xdr:rowOff>52065</xdr:rowOff>
    </xdr:from>
    <xdr:to>
      <xdr:col>6</xdr:col>
      <xdr:colOff>1402207</xdr:colOff>
      <xdr:row>990</xdr:row>
      <xdr:rowOff>52065</xdr:rowOff>
    </xdr:to>
    <xdr:cxnSp macro="_xll.PtreeEvent_ObjectClick">
      <xdr:nvCxnSpPr>
        <xdr:cNvPr id="1939" name="PTObj_DBranchHLine_1_490">
          <a:extLst>
            <a:ext uri="{FF2B5EF4-FFF2-40B4-BE49-F238E27FC236}">
              <a16:creationId xmlns:a16="http://schemas.microsoft.com/office/drawing/2014/main" id="{17719DB6-C33A-4223-8A2C-14C2E97DCA95}"/>
            </a:ext>
          </a:extLst>
        </xdr:cNvPr>
        <xdr:cNvCxnSpPr/>
      </xdr:nvCxnSpPr>
      <xdr:spPr>
        <a:xfrm>
          <a:off x="12938569" y="1792173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990</xdr:row>
      <xdr:rowOff>52065</xdr:rowOff>
    </xdr:from>
    <xdr:to>
      <xdr:col>6</xdr:col>
      <xdr:colOff>222694</xdr:colOff>
      <xdr:row>1010</xdr:row>
      <xdr:rowOff>84150</xdr:rowOff>
    </xdr:to>
    <xdr:cxnSp macro="_xll.PtreeEvent_ObjectClick">
      <xdr:nvCxnSpPr>
        <xdr:cNvPr id="1938" name="PTObj_DBranchDLine_1_490">
          <a:extLst>
            <a:ext uri="{FF2B5EF4-FFF2-40B4-BE49-F238E27FC236}">
              <a16:creationId xmlns:a16="http://schemas.microsoft.com/office/drawing/2014/main" id="{7EFC0BCE-C3FB-44EF-A3C1-F93E6C75FC7E}"/>
            </a:ext>
          </a:extLst>
        </xdr:cNvPr>
        <xdr:cNvCxnSpPr/>
      </xdr:nvCxnSpPr>
      <xdr:spPr>
        <a:xfrm flipV="1">
          <a:off x="12786169" y="179217315"/>
          <a:ext cx="152400" cy="365158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1010</xdr:row>
      <xdr:rowOff>90165</xdr:rowOff>
    </xdr:from>
    <xdr:to>
      <xdr:col>5</xdr:col>
      <xdr:colOff>1407922</xdr:colOff>
      <xdr:row>1010</xdr:row>
      <xdr:rowOff>90165</xdr:rowOff>
    </xdr:to>
    <xdr:cxnSp macro="_xll.PtreeEvent_ObjectClick">
      <xdr:nvCxnSpPr>
        <xdr:cNvPr id="1935" name="PTObj_DBranchHLine_1_500">
          <a:extLst>
            <a:ext uri="{FF2B5EF4-FFF2-40B4-BE49-F238E27FC236}">
              <a16:creationId xmlns:a16="http://schemas.microsoft.com/office/drawing/2014/main" id="{84FE1505-DCF1-4602-B508-D22303F927DB}"/>
            </a:ext>
          </a:extLst>
        </xdr:cNvPr>
        <xdr:cNvCxnSpPr/>
      </xdr:nvCxnSpPr>
      <xdr:spPr>
        <a:xfrm>
          <a:off x="11510772" y="1828749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1010</xdr:row>
      <xdr:rowOff>90165</xdr:rowOff>
    </xdr:from>
    <xdr:to>
      <xdr:col>5</xdr:col>
      <xdr:colOff>223647</xdr:colOff>
      <xdr:row>1050</xdr:row>
      <xdr:rowOff>161292</xdr:rowOff>
    </xdr:to>
    <xdr:cxnSp macro="_xll.PtreeEvent_ObjectClick">
      <xdr:nvCxnSpPr>
        <xdr:cNvPr id="1934" name="PTObj_DBranchDLine_1_500">
          <a:extLst>
            <a:ext uri="{FF2B5EF4-FFF2-40B4-BE49-F238E27FC236}">
              <a16:creationId xmlns:a16="http://schemas.microsoft.com/office/drawing/2014/main" id="{7AC08D94-3CDE-4780-8951-4016B80A0B62}"/>
            </a:ext>
          </a:extLst>
        </xdr:cNvPr>
        <xdr:cNvCxnSpPr/>
      </xdr:nvCxnSpPr>
      <xdr:spPr>
        <a:xfrm flipV="1">
          <a:off x="11358372" y="182874915"/>
          <a:ext cx="152400" cy="73101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226505</xdr:colOff>
      <xdr:row>1050</xdr:row>
      <xdr:rowOff>166365</xdr:rowOff>
    </xdr:from>
    <xdr:to>
      <xdr:col>4</xdr:col>
      <xdr:colOff>1411732</xdr:colOff>
      <xdr:row>1050</xdr:row>
      <xdr:rowOff>166365</xdr:rowOff>
    </xdr:to>
    <xdr:cxnSp macro="_xll.PtreeEvent_ObjectClick">
      <xdr:nvCxnSpPr>
        <xdr:cNvPr id="1931" name="PTObj_DBranchHLine_1_520">
          <a:extLst>
            <a:ext uri="{FF2B5EF4-FFF2-40B4-BE49-F238E27FC236}">
              <a16:creationId xmlns:a16="http://schemas.microsoft.com/office/drawing/2014/main" id="{9B0F07DE-4554-4962-945E-3697CED307EA}"/>
            </a:ext>
          </a:extLst>
        </xdr:cNvPr>
        <xdr:cNvCxnSpPr/>
      </xdr:nvCxnSpPr>
      <xdr:spPr>
        <a:xfrm>
          <a:off x="10084880" y="1901901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74105</xdr:colOff>
      <xdr:row>1050</xdr:row>
      <xdr:rowOff>166365</xdr:rowOff>
    </xdr:from>
    <xdr:to>
      <xdr:col>4</xdr:col>
      <xdr:colOff>226505</xdr:colOff>
      <xdr:row>1131</xdr:row>
      <xdr:rowOff>136537</xdr:rowOff>
    </xdr:to>
    <xdr:cxnSp macro="_xll.PtreeEvent_ObjectClick">
      <xdr:nvCxnSpPr>
        <xdr:cNvPr id="1930" name="PTObj_DBranchDLine_1_520">
          <a:extLst>
            <a:ext uri="{FF2B5EF4-FFF2-40B4-BE49-F238E27FC236}">
              <a16:creationId xmlns:a16="http://schemas.microsoft.com/office/drawing/2014/main" id="{3BE6C3F7-D7D1-4F63-820B-DFB4801EE879}"/>
            </a:ext>
          </a:extLst>
        </xdr:cNvPr>
        <xdr:cNvCxnSpPr/>
      </xdr:nvCxnSpPr>
      <xdr:spPr>
        <a:xfrm flipV="1">
          <a:off x="9932480" y="190190115"/>
          <a:ext cx="152400" cy="1462914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228409</xdr:colOff>
      <xdr:row>1131</xdr:row>
      <xdr:rowOff>137790</xdr:rowOff>
    </xdr:from>
    <xdr:to>
      <xdr:col>3</xdr:col>
      <xdr:colOff>1417447</xdr:colOff>
      <xdr:row>1131</xdr:row>
      <xdr:rowOff>137790</xdr:rowOff>
    </xdr:to>
    <xdr:cxnSp macro="_xll.PtreeEvent_ObjectClick">
      <xdr:nvCxnSpPr>
        <xdr:cNvPr id="1927" name="PTObj_DBranchHLine_1_560">
          <a:extLst>
            <a:ext uri="{FF2B5EF4-FFF2-40B4-BE49-F238E27FC236}">
              <a16:creationId xmlns:a16="http://schemas.microsoft.com/office/drawing/2014/main" id="{095282F2-82FE-49A6-A516-B8A007639B33}"/>
            </a:ext>
          </a:extLst>
        </xdr:cNvPr>
        <xdr:cNvCxnSpPr/>
      </xdr:nvCxnSpPr>
      <xdr:spPr>
        <a:xfrm>
          <a:off x="8658034" y="204820515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76009</xdr:colOff>
      <xdr:row>970</xdr:row>
      <xdr:rowOff>4142</xdr:rowOff>
    </xdr:from>
    <xdr:to>
      <xdr:col>3</xdr:col>
      <xdr:colOff>228409</xdr:colOff>
      <xdr:row>1131</xdr:row>
      <xdr:rowOff>137790</xdr:rowOff>
    </xdr:to>
    <xdr:cxnSp macro="_xll.PtreeEvent_ObjectClick">
      <xdr:nvCxnSpPr>
        <xdr:cNvPr id="1926" name="PTObj_DBranchDLine_1_560">
          <a:extLst>
            <a:ext uri="{FF2B5EF4-FFF2-40B4-BE49-F238E27FC236}">
              <a16:creationId xmlns:a16="http://schemas.microsoft.com/office/drawing/2014/main" id="{5BA874D1-D6F5-4D7A-A6C8-62A76964B6FE}"/>
            </a:ext>
          </a:extLst>
        </xdr:cNvPr>
        <xdr:cNvCxnSpPr/>
      </xdr:nvCxnSpPr>
      <xdr:spPr>
        <a:xfrm>
          <a:off x="8505634" y="175549892"/>
          <a:ext cx="152400" cy="292706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968</xdr:row>
      <xdr:rowOff>10158</xdr:rowOff>
    </xdr:from>
    <xdr:to>
      <xdr:col>11</xdr:col>
      <xdr:colOff>1385063</xdr:colOff>
      <xdr:row>968</xdr:row>
      <xdr:rowOff>10158</xdr:rowOff>
    </xdr:to>
    <xdr:cxnSp macro="_xll.PtreeEvent_ObjectClick">
      <xdr:nvCxnSpPr>
        <xdr:cNvPr id="1923" name="PTObj_DBranchHLine_1_479">
          <a:extLst>
            <a:ext uri="{FF2B5EF4-FFF2-40B4-BE49-F238E27FC236}">
              <a16:creationId xmlns:a16="http://schemas.microsoft.com/office/drawing/2014/main" id="{EC5865D4-AB2B-48A6-A3F1-9D66D9B28E8C}"/>
            </a:ext>
          </a:extLst>
        </xdr:cNvPr>
        <xdr:cNvCxnSpPr/>
      </xdr:nvCxnSpPr>
      <xdr:spPr>
        <a:xfrm>
          <a:off x="20056601" y="175193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965</xdr:row>
      <xdr:rowOff>178433</xdr:rowOff>
    </xdr:from>
    <xdr:to>
      <xdr:col>11</xdr:col>
      <xdr:colOff>196976</xdr:colOff>
      <xdr:row>968</xdr:row>
      <xdr:rowOff>10158</xdr:rowOff>
    </xdr:to>
    <xdr:cxnSp macro="_xll.PtreeEvent_ObjectClick">
      <xdr:nvCxnSpPr>
        <xdr:cNvPr id="1922" name="PTObj_DBranchDLine_1_479">
          <a:extLst>
            <a:ext uri="{FF2B5EF4-FFF2-40B4-BE49-F238E27FC236}">
              <a16:creationId xmlns:a16="http://schemas.microsoft.com/office/drawing/2014/main" id="{6E03AB15-D555-435D-AC3C-4432AFC0C0D7}"/>
            </a:ext>
          </a:extLst>
        </xdr:cNvPr>
        <xdr:cNvCxnSpPr/>
      </xdr:nvCxnSpPr>
      <xdr:spPr>
        <a:xfrm>
          <a:off x="19904201" y="1748193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966</xdr:row>
      <xdr:rowOff>6350</xdr:rowOff>
    </xdr:from>
    <xdr:to>
      <xdr:col>10</xdr:col>
      <xdr:colOff>1392681</xdr:colOff>
      <xdr:row>966</xdr:row>
      <xdr:rowOff>6350</xdr:rowOff>
    </xdr:to>
    <xdr:cxnSp macro="_xll.PtreeEvent_ObjectClick">
      <xdr:nvCxnSpPr>
        <xdr:cNvPr id="1919" name="PTObj_DBranchHLine_1_478">
          <a:extLst>
            <a:ext uri="{FF2B5EF4-FFF2-40B4-BE49-F238E27FC236}">
              <a16:creationId xmlns:a16="http://schemas.microsoft.com/office/drawing/2014/main" id="{46E5EA47-AF99-4215-BFF6-01CF40BAA091}"/>
            </a:ext>
          </a:extLst>
        </xdr:cNvPr>
        <xdr:cNvCxnSpPr/>
      </xdr:nvCxnSpPr>
      <xdr:spPr>
        <a:xfrm>
          <a:off x="18628804" y="174828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964</xdr:row>
      <xdr:rowOff>1277</xdr:rowOff>
    </xdr:from>
    <xdr:to>
      <xdr:col>10</xdr:col>
      <xdr:colOff>197929</xdr:colOff>
      <xdr:row>966</xdr:row>
      <xdr:rowOff>6350</xdr:rowOff>
    </xdr:to>
    <xdr:cxnSp macro="_xll.PtreeEvent_ObjectClick">
      <xdr:nvCxnSpPr>
        <xdr:cNvPr id="1918" name="PTObj_DBranchDLine_1_478">
          <a:extLst>
            <a:ext uri="{FF2B5EF4-FFF2-40B4-BE49-F238E27FC236}">
              <a16:creationId xmlns:a16="http://schemas.microsoft.com/office/drawing/2014/main" id="{4F4547B9-0833-46BB-A7F9-3F92BCEA75B3}"/>
            </a:ext>
          </a:extLst>
        </xdr:cNvPr>
        <xdr:cNvCxnSpPr/>
      </xdr:nvCxnSpPr>
      <xdr:spPr>
        <a:xfrm>
          <a:off x="18476404" y="1744611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964</xdr:row>
      <xdr:rowOff>2542</xdr:rowOff>
    </xdr:from>
    <xdr:to>
      <xdr:col>9</xdr:col>
      <xdr:colOff>1388870</xdr:colOff>
      <xdr:row>964</xdr:row>
      <xdr:rowOff>2542</xdr:rowOff>
    </xdr:to>
    <xdr:cxnSp macro="_xll.PtreeEvent_ObjectClick">
      <xdr:nvCxnSpPr>
        <xdr:cNvPr id="1915" name="PTObj_DBranchHLine_1_477">
          <a:extLst>
            <a:ext uri="{FF2B5EF4-FFF2-40B4-BE49-F238E27FC236}">
              <a16:creationId xmlns:a16="http://schemas.microsoft.com/office/drawing/2014/main" id="{34D75A81-7A46-4B11-B584-B7C04CEFD299}"/>
            </a:ext>
          </a:extLst>
        </xdr:cNvPr>
        <xdr:cNvCxnSpPr/>
      </xdr:nvCxnSpPr>
      <xdr:spPr>
        <a:xfrm>
          <a:off x="17206720" y="174462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961</xdr:row>
      <xdr:rowOff>178433</xdr:rowOff>
    </xdr:from>
    <xdr:to>
      <xdr:col>9</xdr:col>
      <xdr:colOff>204595</xdr:colOff>
      <xdr:row>964</xdr:row>
      <xdr:rowOff>2542</xdr:rowOff>
    </xdr:to>
    <xdr:cxnSp macro="_xll.PtreeEvent_ObjectClick">
      <xdr:nvCxnSpPr>
        <xdr:cNvPr id="1914" name="PTObj_DBranchDLine_1_477">
          <a:extLst>
            <a:ext uri="{FF2B5EF4-FFF2-40B4-BE49-F238E27FC236}">
              <a16:creationId xmlns:a16="http://schemas.microsoft.com/office/drawing/2014/main" id="{8D120AC0-D8AD-4E3A-ADA9-69331DA5E536}"/>
            </a:ext>
          </a:extLst>
        </xdr:cNvPr>
        <xdr:cNvCxnSpPr/>
      </xdr:nvCxnSpPr>
      <xdr:spPr>
        <a:xfrm>
          <a:off x="17054320" y="1740954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961</xdr:row>
      <xdr:rowOff>179710</xdr:rowOff>
    </xdr:from>
    <xdr:to>
      <xdr:col>8</xdr:col>
      <xdr:colOff>1392681</xdr:colOff>
      <xdr:row>961</xdr:row>
      <xdr:rowOff>179710</xdr:rowOff>
    </xdr:to>
    <xdr:cxnSp macro="_xll.PtreeEvent_ObjectClick">
      <xdr:nvCxnSpPr>
        <xdr:cNvPr id="1911" name="PTObj_DBranchHLine_1_476">
          <a:extLst>
            <a:ext uri="{FF2B5EF4-FFF2-40B4-BE49-F238E27FC236}">
              <a16:creationId xmlns:a16="http://schemas.microsoft.com/office/drawing/2014/main" id="{025A3C5B-AB0C-46EA-BDB3-1B8FD6E2FAC2}"/>
            </a:ext>
          </a:extLst>
        </xdr:cNvPr>
        <xdr:cNvCxnSpPr/>
      </xdr:nvCxnSpPr>
      <xdr:spPr>
        <a:xfrm>
          <a:off x="15782734" y="174096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959</xdr:row>
      <xdr:rowOff>176547</xdr:rowOff>
    </xdr:from>
    <xdr:to>
      <xdr:col>8</xdr:col>
      <xdr:colOff>209359</xdr:colOff>
      <xdr:row>961</xdr:row>
      <xdr:rowOff>179710</xdr:rowOff>
    </xdr:to>
    <xdr:cxnSp macro="_xll.PtreeEvent_ObjectClick">
      <xdr:nvCxnSpPr>
        <xdr:cNvPr id="1910" name="PTObj_DBranchDLine_1_476">
          <a:extLst>
            <a:ext uri="{FF2B5EF4-FFF2-40B4-BE49-F238E27FC236}">
              <a16:creationId xmlns:a16="http://schemas.microsoft.com/office/drawing/2014/main" id="{AF2720AF-C49C-4B12-AD98-4CD87D0DEC79}"/>
            </a:ext>
          </a:extLst>
        </xdr:cNvPr>
        <xdr:cNvCxnSpPr/>
      </xdr:nvCxnSpPr>
      <xdr:spPr>
        <a:xfrm>
          <a:off x="15630334" y="1737315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957</xdr:row>
      <xdr:rowOff>172083</xdr:rowOff>
    </xdr:from>
    <xdr:to>
      <xdr:col>11</xdr:col>
      <xdr:colOff>1384111</xdr:colOff>
      <xdr:row>957</xdr:row>
      <xdr:rowOff>172083</xdr:rowOff>
    </xdr:to>
    <xdr:cxnSp macro="_xll.PtreeEvent_ObjectClick">
      <xdr:nvCxnSpPr>
        <xdr:cNvPr id="1907" name="PTObj_DBranchHLine_1_474">
          <a:extLst>
            <a:ext uri="{FF2B5EF4-FFF2-40B4-BE49-F238E27FC236}">
              <a16:creationId xmlns:a16="http://schemas.microsoft.com/office/drawing/2014/main" id="{C32DCBF2-49B0-4183-8F27-BA9F16B31E88}"/>
            </a:ext>
          </a:extLst>
        </xdr:cNvPr>
        <xdr:cNvCxnSpPr/>
      </xdr:nvCxnSpPr>
      <xdr:spPr>
        <a:xfrm>
          <a:off x="20056601" y="1733651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955</xdr:row>
      <xdr:rowOff>163190</xdr:rowOff>
    </xdr:from>
    <xdr:to>
      <xdr:col>11</xdr:col>
      <xdr:colOff>196976</xdr:colOff>
      <xdr:row>957</xdr:row>
      <xdr:rowOff>172083</xdr:rowOff>
    </xdr:to>
    <xdr:cxnSp macro="_xll.PtreeEvent_ObjectClick">
      <xdr:nvCxnSpPr>
        <xdr:cNvPr id="1906" name="PTObj_DBranchDLine_1_474">
          <a:extLst>
            <a:ext uri="{FF2B5EF4-FFF2-40B4-BE49-F238E27FC236}">
              <a16:creationId xmlns:a16="http://schemas.microsoft.com/office/drawing/2014/main" id="{CB0C5A79-0DF4-457C-9EA2-A6877985C878}"/>
            </a:ext>
          </a:extLst>
        </xdr:cNvPr>
        <xdr:cNvCxnSpPr/>
      </xdr:nvCxnSpPr>
      <xdr:spPr>
        <a:xfrm>
          <a:off x="19904201" y="1729943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955</xdr:row>
      <xdr:rowOff>168275</xdr:rowOff>
    </xdr:from>
    <xdr:to>
      <xdr:col>10</xdr:col>
      <xdr:colOff>1392681</xdr:colOff>
      <xdr:row>955</xdr:row>
      <xdr:rowOff>168275</xdr:rowOff>
    </xdr:to>
    <xdr:cxnSp macro="_xll.PtreeEvent_ObjectClick">
      <xdr:nvCxnSpPr>
        <xdr:cNvPr id="1903" name="PTObj_DBranchHLine_1_473">
          <a:extLst>
            <a:ext uri="{FF2B5EF4-FFF2-40B4-BE49-F238E27FC236}">
              <a16:creationId xmlns:a16="http://schemas.microsoft.com/office/drawing/2014/main" id="{08FA68CE-D091-4807-B15B-235E1A44997F}"/>
            </a:ext>
          </a:extLst>
        </xdr:cNvPr>
        <xdr:cNvCxnSpPr/>
      </xdr:nvCxnSpPr>
      <xdr:spPr>
        <a:xfrm>
          <a:off x="18628804" y="172999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953</xdr:row>
      <xdr:rowOff>159395</xdr:rowOff>
    </xdr:from>
    <xdr:to>
      <xdr:col>10</xdr:col>
      <xdr:colOff>197929</xdr:colOff>
      <xdr:row>955</xdr:row>
      <xdr:rowOff>168275</xdr:rowOff>
    </xdr:to>
    <xdr:cxnSp macro="_xll.PtreeEvent_ObjectClick">
      <xdr:nvCxnSpPr>
        <xdr:cNvPr id="1902" name="PTObj_DBranchDLine_1_473">
          <a:extLst>
            <a:ext uri="{FF2B5EF4-FFF2-40B4-BE49-F238E27FC236}">
              <a16:creationId xmlns:a16="http://schemas.microsoft.com/office/drawing/2014/main" id="{49144EB5-5534-4015-BA6F-EB0F6B681030}"/>
            </a:ext>
          </a:extLst>
        </xdr:cNvPr>
        <xdr:cNvCxnSpPr/>
      </xdr:nvCxnSpPr>
      <xdr:spPr>
        <a:xfrm>
          <a:off x="18476404" y="172628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953</xdr:row>
      <xdr:rowOff>164467</xdr:rowOff>
    </xdr:from>
    <xdr:to>
      <xdr:col>9</xdr:col>
      <xdr:colOff>1388870</xdr:colOff>
      <xdr:row>953</xdr:row>
      <xdr:rowOff>164467</xdr:rowOff>
    </xdr:to>
    <xdr:cxnSp macro="_xll.PtreeEvent_ObjectClick">
      <xdr:nvCxnSpPr>
        <xdr:cNvPr id="1899" name="PTObj_DBranchHLine_1_472">
          <a:extLst>
            <a:ext uri="{FF2B5EF4-FFF2-40B4-BE49-F238E27FC236}">
              <a16:creationId xmlns:a16="http://schemas.microsoft.com/office/drawing/2014/main" id="{1A83863F-9F37-4FE3-922B-B50F22E07B59}"/>
            </a:ext>
          </a:extLst>
        </xdr:cNvPr>
        <xdr:cNvCxnSpPr/>
      </xdr:nvCxnSpPr>
      <xdr:spPr>
        <a:xfrm>
          <a:off x="17206720" y="172633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951</xdr:row>
      <xdr:rowOff>151780</xdr:rowOff>
    </xdr:from>
    <xdr:to>
      <xdr:col>9</xdr:col>
      <xdr:colOff>204595</xdr:colOff>
      <xdr:row>953</xdr:row>
      <xdr:rowOff>164467</xdr:rowOff>
    </xdr:to>
    <xdr:cxnSp macro="_xll.PtreeEvent_ObjectClick">
      <xdr:nvCxnSpPr>
        <xdr:cNvPr id="1898" name="PTObj_DBranchDLine_1_472">
          <a:extLst>
            <a:ext uri="{FF2B5EF4-FFF2-40B4-BE49-F238E27FC236}">
              <a16:creationId xmlns:a16="http://schemas.microsoft.com/office/drawing/2014/main" id="{1E71D3E2-93FA-4E82-BD14-F1F592CA4650}"/>
            </a:ext>
          </a:extLst>
        </xdr:cNvPr>
        <xdr:cNvCxnSpPr/>
      </xdr:nvCxnSpPr>
      <xdr:spPr>
        <a:xfrm>
          <a:off x="17054320" y="1722590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951</xdr:row>
      <xdr:rowOff>160660</xdr:rowOff>
    </xdr:from>
    <xdr:to>
      <xdr:col>8</xdr:col>
      <xdr:colOff>1392681</xdr:colOff>
      <xdr:row>951</xdr:row>
      <xdr:rowOff>160660</xdr:rowOff>
    </xdr:to>
    <xdr:cxnSp macro="_xll.PtreeEvent_ObjectClick">
      <xdr:nvCxnSpPr>
        <xdr:cNvPr id="1895" name="PTObj_DBranchHLine_1_471">
          <a:extLst>
            <a:ext uri="{FF2B5EF4-FFF2-40B4-BE49-F238E27FC236}">
              <a16:creationId xmlns:a16="http://schemas.microsoft.com/office/drawing/2014/main" id="{4FB11747-A8F2-4600-AAD8-1C326043AE96}"/>
            </a:ext>
          </a:extLst>
        </xdr:cNvPr>
        <xdr:cNvCxnSpPr/>
      </xdr:nvCxnSpPr>
      <xdr:spPr>
        <a:xfrm>
          <a:off x="15782734" y="172267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951</xdr:row>
      <xdr:rowOff>160660</xdr:rowOff>
    </xdr:from>
    <xdr:to>
      <xdr:col>8</xdr:col>
      <xdr:colOff>209359</xdr:colOff>
      <xdr:row>959</xdr:row>
      <xdr:rowOff>176547</xdr:rowOff>
    </xdr:to>
    <xdr:cxnSp macro="_xll.PtreeEvent_ObjectClick">
      <xdr:nvCxnSpPr>
        <xdr:cNvPr id="1894" name="PTObj_DBranchDLine_1_471">
          <a:extLst>
            <a:ext uri="{FF2B5EF4-FFF2-40B4-BE49-F238E27FC236}">
              <a16:creationId xmlns:a16="http://schemas.microsoft.com/office/drawing/2014/main" id="{63AF59E2-DBEF-47F0-AD9E-3251202EB372}"/>
            </a:ext>
          </a:extLst>
        </xdr:cNvPr>
        <xdr:cNvCxnSpPr/>
      </xdr:nvCxnSpPr>
      <xdr:spPr>
        <a:xfrm flipV="1">
          <a:off x="15630334" y="1722678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959</xdr:row>
      <xdr:rowOff>175890</xdr:rowOff>
    </xdr:from>
    <xdr:to>
      <xdr:col>7</xdr:col>
      <xdr:colOff>1398397</xdr:colOff>
      <xdr:row>959</xdr:row>
      <xdr:rowOff>175890</xdr:rowOff>
    </xdr:to>
    <xdr:cxnSp macro="_xll.PtreeEvent_ObjectClick">
      <xdr:nvCxnSpPr>
        <xdr:cNvPr id="1891" name="PTObj_DBranchHLine_1_475">
          <a:extLst>
            <a:ext uri="{FF2B5EF4-FFF2-40B4-BE49-F238E27FC236}">
              <a16:creationId xmlns:a16="http://schemas.microsoft.com/office/drawing/2014/main" id="{48BB3CBD-F791-4229-8C98-C4FBE1E42391}"/>
            </a:ext>
          </a:extLst>
        </xdr:cNvPr>
        <xdr:cNvCxnSpPr/>
      </xdr:nvCxnSpPr>
      <xdr:spPr>
        <a:xfrm>
          <a:off x="14362557" y="1737309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949</xdr:row>
      <xdr:rowOff>145107</xdr:rowOff>
    </xdr:from>
    <xdr:to>
      <xdr:col>7</xdr:col>
      <xdr:colOff>217932</xdr:colOff>
      <xdr:row>959</xdr:row>
      <xdr:rowOff>175890</xdr:rowOff>
    </xdr:to>
    <xdr:cxnSp macro="_xll.PtreeEvent_ObjectClick">
      <xdr:nvCxnSpPr>
        <xdr:cNvPr id="1890" name="PTObj_DBranchDLine_1_475">
          <a:extLst>
            <a:ext uri="{FF2B5EF4-FFF2-40B4-BE49-F238E27FC236}">
              <a16:creationId xmlns:a16="http://schemas.microsoft.com/office/drawing/2014/main" id="{AD4B5DF6-6BF9-4FF7-B3F2-5CEEB3D1370E}"/>
            </a:ext>
          </a:extLst>
        </xdr:cNvPr>
        <xdr:cNvCxnSpPr/>
      </xdr:nvCxnSpPr>
      <xdr:spPr>
        <a:xfrm>
          <a:off x="14210157" y="1718903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947</xdr:row>
      <xdr:rowOff>153033</xdr:rowOff>
    </xdr:from>
    <xdr:to>
      <xdr:col>11</xdr:col>
      <xdr:colOff>1385063</xdr:colOff>
      <xdr:row>947</xdr:row>
      <xdr:rowOff>153033</xdr:rowOff>
    </xdr:to>
    <xdr:cxnSp macro="_xll.PtreeEvent_ObjectClick">
      <xdr:nvCxnSpPr>
        <xdr:cNvPr id="1887" name="PTObj_DBranchHLine_1_469">
          <a:extLst>
            <a:ext uri="{FF2B5EF4-FFF2-40B4-BE49-F238E27FC236}">
              <a16:creationId xmlns:a16="http://schemas.microsoft.com/office/drawing/2014/main" id="{B5E3F92A-51F2-4D7A-8F20-4335F81D8D06}"/>
            </a:ext>
          </a:extLst>
        </xdr:cNvPr>
        <xdr:cNvCxnSpPr/>
      </xdr:nvCxnSpPr>
      <xdr:spPr>
        <a:xfrm>
          <a:off x="20056601" y="171536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945</xdr:row>
      <xdr:rowOff>140333</xdr:rowOff>
    </xdr:from>
    <xdr:to>
      <xdr:col>11</xdr:col>
      <xdr:colOff>196976</xdr:colOff>
      <xdr:row>947</xdr:row>
      <xdr:rowOff>153033</xdr:rowOff>
    </xdr:to>
    <xdr:cxnSp macro="_xll.PtreeEvent_ObjectClick">
      <xdr:nvCxnSpPr>
        <xdr:cNvPr id="1886" name="PTObj_DBranchDLine_1_469">
          <a:extLst>
            <a:ext uri="{FF2B5EF4-FFF2-40B4-BE49-F238E27FC236}">
              <a16:creationId xmlns:a16="http://schemas.microsoft.com/office/drawing/2014/main" id="{278CA55C-67AF-4EB6-AD2E-0F7F1E6DDAE8}"/>
            </a:ext>
          </a:extLst>
        </xdr:cNvPr>
        <xdr:cNvCxnSpPr/>
      </xdr:nvCxnSpPr>
      <xdr:spPr>
        <a:xfrm>
          <a:off x="19904201" y="1711617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945</xdr:row>
      <xdr:rowOff>149225</xdr:rowOff>
    </xdr:from>
    <xdr:to>
      <xdr:col>10</xdr:col>
      <xdr:colOff>1392681</xdr:colOff>
      <xdr:row>945</xdr:row>
      <xdr:rowOff>149225</xdr:rowOff>
    </xdr:to>
    <xdr:cxnSp macro="_xll.PtreeEvent_ObjectClick">
      <xdr:nvCxnSpPr>
        <xdr:cNvPr id="1883" name="PTObj_DBranchHLine_1_468">
          <a:extLst>
            <a:ext uri="{FF2B5EF4-FFF2-40B4-BE49-F238E27FC236}">
              <a16:creationId xmlns:a16="http://schemas.microsoft.com/office/drawing/2014/main" id="{C8ECAEA1-A3C7-4A58-81E9-3804389D70DF}"/>
            </a:ext>
          </a:extLst>
        </xdr:cNvPr>
        <xdr:cNvCxnSpPr/>
      </xdr:nvCxnSpPr>
      <xdr:spPr>
        <a:xfrm>
          <a:off x="18628804" y="171170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943</xdr:row>
      <xdr:rowOff>144152</xdr:rowOff>
    </xdr:from>
    <xdr:to>
      <xdr:col>10</xdr:col>
      <xdr:colOff>197929</xdr:colOff>
      <xdr:row>945</xdr:row>
      <xdr:rowOff>149225</xdr:rowOff>
    </xdr:to>
    <xdr:cxnSp macro="_xll.PtreeEvent_ObjectClick">
      <xdr:nvCxnSpPr>
        <xdr:cNvPr id="1882" name="PTObj_DBranchDLine_1_468">
          <a:extLst>
            <a:ext uri="{FF2B5EF4-FFF2-40B4-BE49-F238E27FC236}">
              <a16:creationId xmlns:a16="http://schemas.microsoft.com/office/drawing/2014/main" id="{9CD1CBFD-E1E9-472E-BEBB-3325A6503183}"/>
            </a:ext>
          </a:extLst>
        </xdr:cNvPr>
        <xdr:cNvCxnSpPr/>
      </xdr:nvCxnSpPr>
      <xdr:spPr>
        <a:xfrm>
          <a:off x="18476404" y="1708035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943</xdr:row>
      <xdr:rowOff>145417</xdr:rowOff>
    </xdr:from>
    <xdr:to>
      <xdr:col>9</xdr:col>
      <xdr:colOff>1388870</xdr:colOff>
      <xdr:row>943</xdr:row>
      <xdr:rowOff>145417</xdr:rowOff>
    </xdr:to>
    <xdr:cxnSp macro="_xll.PtreeEvent_ObjectClick">
      <xdr:nvCxnSpPr>
        <xdr:cNvPr id="1879" name="PTObj_DBranchHLine_1_467">
          <a:extLst>
            <a:ext uri="{FF2B5EF4-FFF2-40B4-BE49-F238E27FC236}">
              <a16:creationId xmlns:a16="http://schemas.microsoft.com/office/drawing/2014/main" id="{51AFD68B-9706-4001-9EDE-911F1900948A}"/>
            </a:ext>
          </a:extLst>
        </xdr:cNvPr>
        <xdr:cNvCxnSpPr/>
      </xdr:nvCxnSpPr>
      <xdr:spPr>
        <a:xfrm>
          <a:off x="17206720" y="170804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941</xdr:row>
      <xdr:rowOff>140333</xdr:rowOff>
    </xdr:from>
    <xdr:to>
      <xdr:col>9</xdr:col>
      <xdr:colOff>204595</xdr:colOff>
      <xdr:row>943</xdr:row>
      <xdr:rowOff>145417</xdr:rowOff>
    </xdr:to>
    <xdr:cxnSp macro="_xll.PtreeEvent_ObjectClick">
      <xdr:nvCxnSpPr>
        <xdr:cNvPr id="1878" name="PTObj_DBranchDLine_1_467">
          <a:extLst>
            <a:ext uri="{FF2B5EF4-FFF2-40B4-BE49-F238E27FC236}">
              <a16:creationId xmlns:a16="http://schemas.microsoft.com/office/drawing/2014/main" id="{0ADF72CC-CDDE-43C2-99E9-A4FAA40831B8}"/>
            </a:ext>
          </a:extLst>
        </xdr:cNvPr>
        <xdr:cNvCxnSpPr/>
      </xdr:nvCxnSpPr>
      <xdr:spPr>
        <a:xfrm>
          <a:off x="17054320" y="1704378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941</xdr:row>
      <xdr:rowOff>141610</xdr:rowOff>
    </xdr:from>
    <xdr:to>
      <xdr:col>8</xdr:col>
      <xdr:colOff>1392681</xdr:colOff>
      <xdr:row>941</xdr:row>
      <xdr:rowOff>141610</xdr:rowOff>
    </xdr:to>
    <xdr:cxnSp macro="_xll.PtreeEvent_ObjectClick">
      <xdr:nvCxnSpPr>
        <xdr:cNvPr id="1875" name="PTObj_DBranchHLine_1_466">
          <a:extLst>
            <a:ext uri="{FF2B5EF4-FFF2-40B4-BE49-F238E27FC236}">
              <a16:creationId xmlns:a16="http://schemas.microsoft.com/office/drawing/2014/main" id="{0591844B-2FC8-4D7D-B19F-3CF114F3C7D0}"/>
            </a:ext>
          </a:extLst>
        </xdr:cNvPr>
        <xdr:cNvCxnSpPr/>
      </xdr:nvCxnSpPr>
      <xdr:spPr>
        <a:xfrm>
          <a:off x="15782734" y="170439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939</xdr:row>
      <xdr:rowOff>138447</xdr:rowOff>
    </xdr:from>
    <xdr:to>
      <xdr:col>8</xdr:col>
      <xdr:colOff>209359</xdr:colOff>
      <xdr:row>941</xdr:row>
      <xdr:rowOff>141610</xdr:rowOff>
    </xdr:to>
    <xdr:cxnSp macro="_xll.PtreeEvent_ObjectClick">
      <xdr:nvCxnSpPr>
        <xdr:cNvPr id="1874" name="PTObj_DBranchDLine_1_466">
          <a:extLst>
            <a:ext uri="{FF2B5EF4-FFF2-40B4-BE49-F238E27FC236}">
              <a16:creationId xmlns:a16="http://schemas.microsoft.com/office/drawing/2014/main" id="{F6F2FE90-FF01-43D6-B88B-AFE302C6D750}"/>
            </a:ext>
          </a:extLst>
        </xdr:cNvPr>
        <xdr:cNvCxnSpPr/>
      </xdr:nvCxnSpPr>
      <xdr:spPr>
        <a:xfrm>
          <a:off x="15630334" y="1700739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937</xdr:row>
      <xdr:rowOff>133983</xdr:rowOff>
    </xdr:from>
    <xdr:to>
      <xdr:col>11</xdr:col>
      <xdr:colOff>1384111</xdr:colOff>
      <xdr:row>937</xdr:row>
      <xdr:rowOff>133983</xdr:rowOff>
    </xdr:to>
    <xdr:cxnSp macro="_xll.PtreeEvent_ObjectClick">
      <xdr:nvCxnSpPr>
        <xdr:cNvPr id="1871" name="PTObj_DBranchHLine_1_464">
          <a:extLst>
            <a:ext uri="{FF2B5EF4-FFF2-40B4-BE49-F238E27FC236}">
              <a16:creationId xmlns:a16="http://schemas.microsoft.com/office/drawing/2014/main" id="{1E4196DF-C901-48E6-A4CB-AC9C9631EBA5}"/>
            </a:ext>
          </a:extLst>
        </xdr:cNvPr>
        <xdr:cNvCxnSpPr/>
      </xdr:nvCxnSpPr>
      <xdr:spPr>
        <a:xfrm>
          <a:off x="20056601" y="1697075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935</xdr:row>
      <xdr:rowOff>125090</xdr:rowOff>
    </xdr:from>
    <xdr:to>
      <xdr:col>11</xdr:col>
      <xdr:colOff>196976</xdr:colOff>
      <xdr:row>937</xdr:row>
      <xdr:rowOff>133983</xdr:rowOff>
    </xdr:to>
    <xdr:cxnSp macro="_xll.PtreeEvent_ObjectClick">
      <xdr:nvCxnSpPr>
        <xdr:cNvPr id="1870" name="PTObj_DBranchDLine_1_464">
          <a:extLst>
            <a:ext uri="{FF2B5EF4-FFF2-40B4-BE49-F238E27FC236}">
              <a16:creationId xmlns:a16="http://schemas.microsoft.com/office/drawing/2014/main" id="{75D941CD-EAE3-4C21-BB51-0CE3E05D07AE}"/>
            </a:ext>
          </a:extLst>
        </xdr:cNvPr>
        <xdr:cNvCxnSpPr/>
      </xdr:nvCxnSpPr>
      <xdr:spPr>
        <a:xfrm>
          <a:off x="19904201" y="1693367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935</xdr:row>
      <xdr:rowOff>130175</xdr:rowOff>
    </xdr:from>
    <xdr:to>
      <xdr:col>10</xdr:col>
      <xdr:colOff>1392681</xdr:colOff>
      <xdr:row>935</xdr:row>
      <xdr:rowOff>130175</xdr:rowOff>
    </xdr:to>
    <xdr:cxnSp macro="_xll.PtreeEvent_ObjectClick">
      <xdr:nvCxnSpPr>
        <xdr:cNvPr id="1867" name="PTObj_DBranchHLine_1_463">
          <a:extLst>
            <a:ext uri="{FF2B5EF4-FFF2-40B4-BE49-F238E27FC236}">
              <a16:creationId xmlns:a16="http://schemas.microsoft.com/office/drawing/2014/main" id="{A61BB30E-7523-4A12-A3FA-A374E7D29249}"/>
            </a:ext>
          </a:extLst>
        </xdr:cNvPr>
        <xdr:cNvCxnSpPr/>
      </xdr:nvCxnSpPr>
      <xdr:spPr>
        <a:xfrm>
          <a:off x="18628804" y="169341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933</xdr:row>
      <xdr:rowOff>121295</xdr:rowOff>
    </xdr:from>
    <xdr:to>
      <xdr:col>10</xdr:col>
      <xdr:colOff>197929</xdr:colOff>
      <xdr:row>935</xdr:row>
      <xdr:rowOff>130175</xdr:rowOff>
    </xdr:to>
    <xdr:cxnSp macro="_xll.PtreeEvent_ObjectClick">
      <xdr:nvCxnSpPr>
        <xdr:cNvPr id="1866" name="PTObj_DBranchDLine_1_463">
          <a:extLst>
            <a:ext uri="{FF2B5EF4-FFF2-40B4-BE49-F238E27FC236}">
              <a16:creationId xmlns:a16="http://schemas.microsoft.com/office/drawing/2014/main" id="{38230E19-7548-4844-AEAF-843B345F30EF}"/>
            </a:ext>
          </a:extLst>
        </xdr:cNvPr>
        <xdr:cNvCxnSpPr/>
      </xdr:nvCxnSpPr>
      <xdr:spPr>
        <a:xfrm>
          <a:off x="18476404" y="168970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933</xdr:row>
      <xdr:rowOff>126367</xdr:rowOff>
    </xdr:from>
    <xdr:to>
      <xdr:col>9</xdr:col>
      <xdr:colOff>1388870</xdr:colOff>
      <xdr:row>933</xdr:row>
      <xdr:rowOff>126367</xdr:rowOff>
    </xdr:to>
    <xdr:cxnSp macro="_xll.PtreeEvent_ObjectClick">
      <xdr:nvCxnSpPr>
        <xdr:cNvPr id="1863" name="PTObj_DBranchHLine_1_462">
          <a:extLst>
            <a:ext uri="{FF2B5EF4-FFF2-40B4-BE49-F238E27FC236}">
              <a16:creationId xmlns:a16="http://schemas.microsoft.com/office/drawing/2014/main" id="{37784743-0B44-4693-89D3-B51E992A8A72}"/>
            </a:ext>
          </a:extLst>
        </xdr:cNvPr>
        <xdr:cNvCxnSpPr/>
      </xdr:nvCxnSpPr>
      <xdr:spPr>
        <a:xfrm>
          <a:off x="17206720" y="168976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931</xdr:row>
      <xdr:rowOff>113680</xdr:rowOff>
    </xdr:from>
    <xdr:to>
      <xdr:col>9</xdr:col>
      <xdr:colOff>204595</xdr:colOff>
      <xdr:row>933</xdr:row>
      <xdr:rowOff>126367</xdr:rowOff>
    </xdr:to>
    <xdr:cxnSp macro="_xll.PtreeEvent_ObjectClick">
      <xdr:nvCxnSpPr>
        <xdr:cNvPr id="1862" name="PTObj_DBranchDLine_1_462">
          <a:extLst>
            <a:ext uri="{FF2B5EF4-FFF2-40B4-BE49-F238E27FC236}">
              <a16:creationId xmlns:a16="http://schemas.microsoft.com/office/drawing/2014/main" id="{801971A9-266F-4157-82E5-0FCCA7A4F1FC}"/>
            </a:ext>
          </a:extLst>
        </xdr:cNvPr>
        <xdr:cNvCxnSpPr/>
      </xdr:nvCxnSpPr>
      <xdr:spPr>
        <a:xfrm>
          <a:off x="17054320" y="1686014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931</xdr:row>
      <xdr:rowOff>122560</xdr:rowOff>
    </xdr:from>
    <xdr:to>
      <xdr:col>8</xdr:col>
      <xdr:colOff>1392681</xdr:colOff>
      <xdr:row>931</xdr:row>
      <xdr:rowOff>122560</xdr:rowOff>
    </xdr:to>
    <xdr:cxnSp macro="_xll.PtreeEvent_ObjectClick">
      <xdr:nvCxnSpPr>
        <xdr:cNvPr id="1859" name="PTObj_DBranchHLine_1_461">
          <a:extLst>
            <a:ext uri="{FF2B5EF4-FFF2-40B4-BE49-F238E27FC236}">
              <a16:creationId xmlns:a16="http://schemas.microsoft.com/office/drawing/2014/main" id="{CA901205-EB8F-4568-AA49-9B559C9F489A}"/>
            </a:ext>
          </a:extLst>
        </xdr:cNvPr>
        <xdr:cNvCxnSpPr/>
      </xdr:nvCxnSpPr>
      <xdr:spPr>
        <a:xfrm>
          <a:off x="15782734" y="168610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931</xdr:row>
      <xdr:rowOff>122560</xdr:rowOff>
    </xdr:from>
    <xdr:to>
      <xdr:col>8</xdr:col>
      <xdr:colOff>209359</xdr:colOff>
      <xdr:row>939</xdr:row>
      <xdr:rowOff>138447</xdr:rowOff>
    </xdr:to>
    <xdr:cxnSp macro="_xll.PtreeEvent_ObjectClick">
      <xdr:nvCxnSpPr>
        <xdr:cNvPr id="1858" name="PTObj_DBranchDLine_1_461">
          <a:extLst>
            <a:ext uri="{FF2B5EF4-FFF2-40B4-BE49-F238E27FC236}">
              <a16:creationId xmlns:a16="http://schemas.microsoft.com/office/drawing/2014/main" id="{35E77A64-20D3-4130-879C-1C91F678E287}"/>
            </a:ext>
          </a:extLst>
        </xdr:cNvPr>
        <xdr:cNvCxnSpPr/>
      </xdr:nvCxnSpPr>
      <xdr:spPr>
        <a:xfrm flipV="1">
          <a:off x="15630334" y="1686102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939</xdr:row>
      <xdr:rowOff>137790</xdr:rowOff>
    </xdr:from>
    <xdr:to>
      <xdr:col>7</xdr:col>
      <xdr:colOff>1398397</xdr:colOff>
      <xdr:row>939</xdr:row>
      <xdr:rowOff>137790</xdr:rowOff>
    </xdr:to>
    <xdr:cxnSp macro="_xll.PtreeEvent_ObjectClick">
      <xdr:nvCxnSpPr>
        <xdr:cNvPr id="1855" name="PTObj_DBranchHLine_1_465">
          <a:extLst>
            <a:ext uri="{FF2B5EF4-FFF2-40B4-BE49-F238E27FC236}">
              <a16:creationId xmlns:a16="http://schemas.microsoft.com/office/drawing/2014/main" id="{C658216E-ABDF-47BA-BA17-605BD98ED70C}"/>
            </a:ext>
          </a:extLst>
        </xdr:cNvPr>
        <xdr:cNvCxnSpPr/>
      </xdr:nvCxnSpPr>
      <xdr:spPr>
        <a:xfrm>
          <a:off x="14360652" y="1700733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939</xdr:row>
      <xdr:rowOff>137790</xdr:rowOff>
    </xdr:from>
    <xdr:to>
      <xdr:col>7</xdr:col>
      <xdr:colOff>216027</xdr:colOff>
      <xdr:row>949</xdr:row>
      <xdr:rowOff>147017</xdr:rowOff>
    </xdr:to>
    <xdr:cxnSp macro="_xll.PtreeEvent_ObjectClick">
      <xdr:nvCxnSpPr>
        <xdr:cNvPr id="1854" name="PTObj_DBranchDLine_1_465">
          <a:extLst>
            <a:ext uri="{FF2B5EF4-FFF2-40B4-BE49-F238E27FC236}">
              <a16:creationId xmlns:a16="http://schemas.microsoft.com/office/drawing/2014/main" id="{FB332085-B28F-4552-9FAF-5296F48CFF4F}"/>
            </a:ext>
          </a:extLst>
        </xdr:cNvPr>
        <xdr:cNvCxnSpPr/>
      </xdr:nvCxnSpPr>
      <xdr:spPr>
        <a:xfrm flipV="1">
          <a:off x="14208252" y="1700733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949</xdr:row>
      <xdr:rowOff>156840</xdr:rowOff>
    </xdr:from>
    <xdr:to>
      <xdr:col>6</xdr:col>
      <xdr:colOff>1402207</xdr:colOff>
      <xdr:row>949</xdr:row>
      <xdr:rowOff>156840</xdr:rowOff>
    </xdr:to>
    <xdr:cxnSp macro="_xll.PtreeEvent_ObjectClick">
      <xdr:nvCxnSpPr>
        <xdr:cNvPr id="1851" name="PTObj_DBranchHLine_1_470">
          <a:extLst>
            <a:ext uri="{FF2B5EF4-FFF2-40B4-BE49-F238E27FC236}">
              <a16:creationId xmlns:a16="http://schemas.microsoft.com/office/drawing/2014/main" id="{1BCF306D-4524-4D46-9223-2B8AA361EF6E}"/>
            </a:ext>
          </a:extLst>
        </xdr:cNvPr>
        <xdr:cNvCxnSpPr/>
      </xdr:nvCxnSpPr>
      <xdr:spPr>
        <a:xfrm>
          <a:off x="12936665" y="1719021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929</xdr:row>
      <xdr:rowOff>107007</xdr:rowOff>
    </xdr:from>
    <xdr:to>
      <xdr:col>6</xdr:col>
      <xdr:colOff>220790</xdr:colOff>
      <xdr:row>949</xdr:row>
      <xdr:rowOff>156840</xdr:rowOff>
    </xdr:to>
    <xdr:cxnSp macro="_xll.PtreeEvent_ObjectClick">
      <xdr:nvCxnSpPr>
        <xdr:cNvPr id="1850" name="PTObj_DBranchDLine_1_470">
          <a:extLst>
            <a:ext uri="{FF2B5EF4-FFF2-40B4-BE49-F238E27FC236}">
              <a16:creationId xmlns:a16="http://schemas.microsoft.com/office/drawing/2014/main" id="{0C2818AF-F338-46D4-92E8-23D3723C0BFB}"/>
            </a:ext>
          </a:extLst>
        </xdr:cNvPr>
        <xdr:cNvCxnSpPr/>
      </xdr:nvCxnSpPr>
      <xdr:spPr>
        <a:xfrm>
          <a:off x="12784265" y="168232782"/>
          <a:ext cx="152400" cy="36693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927</xdr:row>
      <xdr:rowOff>114933</xdr:rowOff>
    </xdr:from>
    <xdr:to>
      <xdr:col>11</xdr:col>
      <xdr:colOff>1385063</xdr:colOff>
      <xdr:row>927</xdr:row>
      <xdr:rowOff>114933</xdr:rowOff>
    </xdr:to>
    <xdr:cxnSp macro="_xll.PtreeEvent_ObjectClick">
      <xdr:nvCxnSpPr>
        <xdr:cNvPr id="1847" name="PTObj_DBranchHLine_1_459">
          <a:extLst>
            <a:ext uri="{FF2B5EF4-FFF2-40B4-BE49-F238E27FC236}">
              <a16:creationId xmlns:a16="http://schemas.microsoft.com/office/drawing/2014/main" id="{CCA1D8A4-4872-48C3-B60B-C3D811C5E913}"/>
            </a:ext>
          </a:extLst>
        </xdr:cNvPr>
        <xdr:cNvCxnSpPr/>
      </xdr:nvCxnSpPr>
      <xdr:spPr>
        <a:xfrm>
          <a:off x="20056601" y="167878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925</xdr:row>
      <xdr:rowOff>102233</xdr:rowOff>
    </xdr:from>
    <xdr:to>
      <xdr:col>11</xdr:col>
      <xdr:colOff>196976</xdr:colOff>
      <xdr:row>927</xdr:row>
      <xdr:rowOff>114933</xdr:rowOff>
    </xdr:to>
    <xdr:cxnSp macro="_xll.PtreeEvent_ObjectClick">
      <xdr:nvCxnSpPr>
        <xdr:cNvPr id="1846" name="PTObj_DBranchDLine_1_459">
          <a:extLst>
            <a:ext uri="{FF2B5EF4-FFF2-40B4-BE49-F238E27FC236}">
              <a16:creationId xmlns:a16="http://schemas.microsoft.com/office/drawing/2014/main" id="{65AEB524-EFD0-42C8-BFD8-414119CC5C82}"/>
            </a:ext>
          </a:extLst>
        </xdr:cNvPr>
        <xdr:cNvCxnSpPr/>
      </xdr:nvCxnSpPr>
      <xdr:spPr>
        <a:xfrm>
          <a:off x="19904201" y="1675041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925</xdr:row>
      <xdr:rowOff>111125</xdr:rowOff>
    </xdr:from>
    <xdr:to>
      <xdr:col>10</xdr:col>
      <xdr:colOff>1392681</xdr:colOff>
      <xdr:row>925</xdr:row>
      <xdr:rowOff>111125</xdr:rowOff>
    </xdr:to>
    <xdr:cxnSp macro="_xll.PtreeEvent_ObjectClick">
      <xdr:nvCxnSpPr>
        <xdr:cNvPr id="1843" name="PTObj_DBranchHLine_1_458">
          <a:extLst>
            <a:ext uri="{FF2B5EF4-FFF2-40B4-BE49-F238E27FC236}">
              <a16:creationId xmlns:a16="http://schemas.microsoft.com/office/drawing/2014/main" id="{CB642E01-6A9D-4BB0-843B-3CDA0ED9FAEC}"/>
            </a:ext>
          </a:extLst>
        </xdr:cNvPr>
        <xdr:cNvCxnSpPr/>
      </xdr:nvCxnSpPr>
      <xdr:spPr>
        <a:xfrm>
          <a:off x="18628804" y="167513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923</xdr:row>
      <xdr:rowOff>106052</xdr:rowOff>
    </xdr:from>
    <xdr:to>
      <xdr:col>10</xdr:col>
      <xdr:colOff>197929</xdr:colOff>
      <xdr:row>925</xdr:row>
      <xdr:rowOff>111125</xdr:rowOff>
    </xdr:to>
    <xdr:cxnSp macro="_xll.PtreeEvent_ObjectClick">
      <xdr:nvCxnSpPr>
        <xdr:cNvPr id="1842" name="PTObj_DBranchDLine_1_458">
          <a:extLst>
            <a:ext uri="{FF2B5EF4-FFF2-40B4-BE49-F238E27FC236}">
              <a16:creationId xmlns:a16="http://schemas.microsoft.com/office/drawing/2014/main" id="{D6B9D730-24C7-4896-9014-DA670645B771}"/>
            </a:ext>
          </a:extLst>
        </xdr:cNvPr>
        <xdr:cNvCxnSpPr/>
      </xdr:nvCxnSpPr>
      <xdr:spPr>
        <a:xfrm>
          <a:off x="18476404" y="1671459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923</xdr:row>
      <xdr:rowOff>107317</xdr:rowOff>
    </xdr:from>
    <xdr:to>
      <xdr:col>9</xdr:col>
      <xdr:colOff>1388870</xdr:colOff>
      <xdr:row>923</xdr:row>
      <xdr:rowOff>107317</xdr:rowOff>
    </xdr:to>
    <xdr:cxnSp macro="_xll.PtreeEvent_ObjectClick">
      <xdr:nvCxnSpPr>
        <xdr:cNvPr id="1839" name="PTObj_DBranchHLine_1_457">
          <a:extLst>
            <a:ext uri="{FF2B5EF4-FFF2-40B4-BE49-F238E27FC236}">
              <a16:creationId xmlns:a16="http://schemas.microsoft.com/office/drawing/2014/main" id="{CED2EBC5-A26E-4675-8F6C-A22E5EEBFC84}"/>
            </a:ext>
          </a:extLst>
        </xdr:cNvPr>
        <xdr:cNvCxnSpPr/>
      </xdr:nvCxnSpPr>
      <xdr:spPr>
        <a:xfrm>
          <a:off x="17206720" y="167147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921</xdr:row>
      <xdr:rowOff>102233</xdr:rowOff>
    </xdr:from>
    <xdr:to>
      <xdr:col>9</xdr:col>
      <xdr:colOff>204595</xdr:colOff>
      <xdr:row>923</xdr:row>
      <xdr:rowOff>107317</xdr:rowOff>
    </xdr:to>
    <xdr:cxnSp macro="_xll.PtreeEvent_ObjectClick">
      <xdr:nvCxnSpPr>
        <xdr:cNvPr id="1838" name="PTObj_DBranchDLine_1_457">
          <a:extLst>
            <a:ext uri="{FF2B5EF4-FFF2-40B4-BE49-F238E27FC236}">
              <a16:creationId xmlns:a16="http://schemas.microsoft.com/office/drawing/2014/main" id="{9A68BC9D-84C3-4C2B-866C-9483F4DDEA20}"/>
            </a:ext>
          </a:extLst>
        </xdr:cNvPr>
        <xdr:cNvCxnSpPr/>
      </xdr:nvCxnSpPr>
      <xdr:spPr>
        <a:xfrm>
          <a:off x="17054320" y="1667802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921</xdr:row>
      <xdr:rowOff>103510</xdr:rowOff>
    </xdr:from>
    <xdr:to>
      <xdr:col>8</xdr:col>
      <xdr:colOff>1392681</xdr:colOff>
      <xdr:row>921</xdr:row>
      <xdr:rowOff>103510</xdr:rowOff>
    </xdr:to>
    <xdr:cxnSp macro="_xll.PtreeEvent_ObjectClick">
      <xdr:nvCxnSpPr>
        <xdr:cNvPr id="1835" name="PTObj_DBranchHLine_1_456">
          <a:extLst>
            <a:ext uri="{FF2B5EF4-FFF2-40B4-BE49-F238E27FC236}">
              <a16:creationId xmlns:a16="http://schemas.microsoft.com/office/drawing/2014/main" id="{20D764F4-6C68-4486-AF31-4DFDCD92D6A8}"/>
            </a:ext>
          </a:extLst>
        </xdr:cNvPr>
        <xdr:cNvCxnSpPr/>
      </xdr:nvCxnSpPr>
      <xdr:spPr>
        <a:xfrm>
          <a:off x="15782734" y="166781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919</xdr:row>
      <xdr:rowOff>100347</xdr:rowOff>
    </xdr:from>
    <xdr:to>
      <xdr:col>8</xdr:col>
      <xdr:colOff>209359</xdr:colOff>
      <xdr:row>921</xdr:row>
      <xdr:rowOff>103510</xdr:rowOff>
    </xdr:to>
    <xdr:cxnSp macro="_xll.PtreeEvent_ObjectClick">
      <xdr:nvCxnSpPr>
        <xdr:cNvPr id="1834" name="PTObj_DBranchDLine_1_456">
          <a:extLst>
            <a:ext uri="{FF2B5EF4-FFF2-40B4-BE49-F238E27FC236}">
              <a16:creationId xmlns:a16="http://schemas.microsoft.com/office/drawing/2014/main" id="{EB769FC1-C3F5-41B6-A6EF-1BE4689A04D2}"/>
            </a:ext>
          </a:extLst>
        </xdr:cNvPr>
        <xdr:cNvCxnSpPr/>
      </xdr:nvCxnSpPr>
      <xdr:spPr>
        <a:xfrm>
          <a:off x="15630334" y="1664163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917</xdr:row>
      <xdr:rowOff>95883</xdr:rowOff>
    </xdr:from>
    <xdr:to>
      <xdr:col>11</xdr:col>
      <xdr:colOff>1384111</xdr:colOff>
      <xdr:row>917</xdr:row>
      <xdr:rowOff>95883</xdr:rowOff>
    </xdr:to>
    <xdr:cxnSp macro="_xll.PtreeEvent_ObjectClick">
      <xdr:nvCxnSpPr>
        <xdr:cNvPr id="1831" name="PTObj_DBranchHLine_1_454">
          <a:extLst>
            <a:ext uri="{FF2B5EF4-FFF2-40B4-BE49-F238E27FC236}">
              <a16:creationId xmlns:a16="http://schemas.microsoft.com/office/drawing/2014/main" id="{8B716C6C-6D1C-4BE9-BDE8-5F5F23586E79}"/>
            </a:ext>
          </a:extLst>
        </xdr:cNvPr>
        <xdr:cNvCxnSpPr/>
      </xdr:nvCxnSpPr>
      <xdr:spPr>
        <a:xfrm>
          <a:off x="20056601" y="1660499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915</xdr:row>
      <xdr:rowOff>86990</xdr:rowOff>
    </xdr:from>
    <xdr:to>
      <xdr:col>11</xdr:col>
      <xdr:colOff>196976</xdr:colOff>
      <xdr:row>917</xdr:row>
      <xdr:rowOff>95883</xdr:rowOff>
    </xdr:to>
    <xdr:cxnSp macro="_xll.PtreeEvent_ObjectClick">
      <xdr:nvCxnSpPr>
        <xdr:cNvPr id="1830" name="PTObj_DBranchDLine_1_454">
          <a:extLst>
            <a:ext uri="{FF2B5EF4-FFF2-40B4-BE49-F238E27FC236}">
              <a16:creationId xmlns:a16="http://schemas.microsoft.com/office/drawing/2014/main" id="{92C8AF5F-E5CC-416C-9BAA-A31E6DB6BC35}"/>
            </a:ext>
          </a:extLst>
        </xdr:cNvPr>
        <xdr:cNvCxnSpPr/>
      </xdr:nvCxnSpPr>
      <xdr:spPr>
        <a:xfrm>
          <a:off x="19904201" y="1656791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915</xdr:row>
      <xdr:rowOff>92075</xdr:rowOff>
    </xdr:from>
    <xdr:to>
      <xdr:col>10</xdr:col>
      <xdr:colOff>1392681</xdr:colOff>
      <xdr:row>915</xdr:row>
      <xdr:rowOff>92075</xdr:rowOff>
    </xdr:to>
    <xdr:cxnSp macro="_xll.PtreeEvent_ObjectClick">
      <xdr:nvCxnSpPr>
        <xdr:cNvPr id="1827" name="PTObj_DBranchHLine_1_453">
          <a:extLst>
            <a:ext uri="{FF2B5EF4-FFF2-40B4-BE49-F238E27FC236}">
              <a16:creationId xmlns:a16="http://schemas.microsoft.com/office/drawing/2014/main" id="{3701CAC0-3673-4003-A49B-C829A28E433D}"/>
            </a:ext>
          </a:extLst>
        </xdr:cNvPr>
        <xdr:cNvCxnSpPr/>
      </xdr:nvCxnSpPr>
      <xdr:spPr>
        <a:xfrm>
          <a:off x="18628804" y="165684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913</xdr:row>
      <xdr:rowOff>76510</xdr:rowOff>
    </xdr:from>
    <xdr:to>
      <xdr:col>10</xdr:col>
      <xdr:colOff>197929</xdr:colOff>
      <xdr:row>915</xdr:row>
      <xdr:rowOff>92075</xdr:rowOff>
    </xdr:to>
    <xdr:cxnSp macro="_xll.PtreeEvent_ObjectClick">
      <xdr:nvCxnSpPr>
        <xdr:cNvPr id="1826" name="PTObj_DBranchDLine_1_453">
          <a:extLst>
            <a:ext uri="{FF2B5EF4-FFF2-40B4-BE49-F238E27FC236}">
              <a16:creationId xmlns:a16="http://schemas.microsoft.com/office/drawing/2014/main" id="{D07B7968-F105-4B72-AE95-E03743D873E6}"/>
            </a:ext>
          </a:extLst>
        </xdr:cNvPr>
        <xdr:cNvCxnSpPr/>
      </xdr:nvCxnSpPr>
      <xdr:spPr>
        <a:xfrm>
          <a:off x="18476404" y="1653066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913</xdr:row>
      <xdr:rowOff>88267</xdr:rowOff>
    </xdr:from>
    <xdr:to>
      <xdr:col>9</xdr:col>
      <xdr:colOff>1388870</xdr:colOff>
      <xdr:row>913</xdr:row>
      <xdr:rowOff>88267</xdr:rowOff>
    </xdr:to>
    <xdr:cxnSp macro="_xll.PtreeEvent_ObjectClick">
      <xdr:nvCxnSpPr>
        <xdr:cNvPr id="1823" name="PTObj_DBranchHLine_1_452">
          <a:extLst>
            <a:ext uri="{FF2B5EF4-FFF2-40B4-BE49-F238E27FC236}">
              <a16:creationId xmlns:a16="http://schemas.microsoft.com/office/drawing/2014/main" id="{9FA52379-5203-4238-AE3A-526F6630E9D5}"/>
            </a:ext>
          </a:extLst>
        </xdr:cNvPr>
        <xdr:cNvCxnSpPr/>
      </xdr:nvCxnSpPr>
      <xdr:spPr>
        <a:xfrm>
          <a:off x="17206720" y="165318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911</xdr:row>
      <xdr:rowOff>75567</xdr:rowOff>
    </xdr:from>
    <xdr:to>
      <xdr:col>9</xdr:col>
      <xdr:colOff>204595</xdr:colOff>
      <xdr:row>913</xdr:row>
      <xdr:rowOff>88267</xdr:rowOff>
    </xdr:to>
    <xdr:cxnSp macro="_xll.PtreeEvent_ObjectClick">
      <xdr:nvCxnSpPr>
        <xdr:cNvPr id="1822" name="PTObj_DBranchDLine_1_452">
          <a:extLst>
            <a:ext uri="{FF2B5EF4-FFF2-40B4-BE49-F238E27FC236}">
              <a16:creationId xmlns:a16="http://schemas.microsoft.com/office/drawing/2014/main" id="{682BEEF6-269A-49D6-8C58-75BB1C9BC96C}"/>
            </a:ext>
          </a:extLst>
        </xdr:cNvPr>
        <xdr:cNvCxnSpPr/>
      </xdr:nvCxnSpPr>
      <xdr:spPr>
        <a:xfrm>
          <a:off x="17054320" y="1649437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911</xdr:row>
      <xdr:rowOff>84460</xdr:rowOff>
    </xdr:from>
    <xdr:to>
      <xdr:col>8</xdr:col>
      <xdr:colOff>1392681</xdr:colOff>
      <xdr:row>911</xdr:row>
      <xdr:rowOff>84460</xdr:rowOff>
    </xdr:to>
    <xdr:cxnSp macro="_xll.PtreeEvent_ObjectClick">
      <xdr:nvCxnSpPr>
        <xdr:cNvPr id="1819" name="PTObj_DBranchHLine_1_451">
          <a:extLst>
            <a:ext uri="{FF2B5EF4-FFF2-40B4-BE49-F238E27FC236}">
              <a16:creationId xmlns:a16="http://schemas.microsoft.com/office/drawing/2014/main" id="{D9E7B10F-D0AA-4396-A69B-DEEB04924FCD}"/>
            </a:ext>
          </a:extLst>
        </xdr:cNvPr>
        <xdr:cNvCxnSpPr/>
      </xdr:nvCxnSpPr>
      <xdr:spPr>
        <a:xfrm>
          <a:off x="15782734" y="164952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911</xdr:row>
      <xdr:rowOff>84460</xdr:rowOff>
    </xdr:from>
    <xdr:to>
      <xdr:col>8</xdr:col>
      <xdr:colOff>209359</xdr:colOff>
      <xdr:row>919</xdr:row>
      <xdr:rowOff>100347</xdr:rowOff>
    </xdr:to>
    <xdr:cxnSp macro="_xll.PtreeEvent_ObjectClick">
      <xdr:nvCxnSpPr>
        <xdr:cNvPr id="1818" name="PTObj_DBranchDLine_1_451">
          <a:extLst>
            <a:ext uri="{FF2B5EF4-FFF2-40B4-BE49-F238E27FC236}">
              <a16:creationId xmlns:a16="http://schemas.microsoft.com/office/drawing/2014/main" id="{4457D85D-A510-40A6-9E1F-D11C90AC0B8B}"/>
            </a:ext>
          </a:extLst>
        </xdr:cNvPr>
        <xdr:cNvCxnSpPr/>
      </xdr:nvCxnSpPr>
      <xdr:spPr>
        <a:xfrm flipV="1">
          <a:off x="15630334" y="1649526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919</xdr:row>
      <xdr:rowOff>99690</xdr:rowOff>
    </xdr:from>
    <xdr:to>
      <xdr:col>7</xdr:col>
      <xdr:colOff>1398397</xdr:colOff>
      <xdr:row>919</xdr:row>
      <xdr:rowOff>99690</xdr:rowOff>
    </xdr:to>
    <xdr:cxnSp macro="_xll.PtreeEvent_ObjectClick">
      <xdr:nvCxnSpPr>
        <xdr:cNvPr id="1815" name="PTObj_DBranchHLine_1_455">
          <a:extLst>
            <a:ext uri="{FF2B5EF4-FFF2-40B4-BE49-F238E27FC236}">
              <a16:creationId xmlns:a16="http://schemas.microsoft.com/office/drawing/2014/main" id="{B6F759AA-E1EA-4D8C-BBE6-27AA304657A9}"/>
            </a:ext>
          </a:extLst>
        </xdr:cNvPr>
        <xdr:cNvCxnSpPr/>
      </xdr:nvCxnSpPr>
      <xdr:spPr>
        <a:xfrm>
          <a:off x="14362557" y="1664157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909</xdr:row>
      <xdr:rowOff>77477</xdr:rowOff>
    </xdr:from>
    <xdr:to>
      <xdr:col>7</xdr:col>
      <xdr:colOff>217932</xdr:colOff>
      <xdr:row>919</xdr:row>
      <xdr:rowOff>99690</xdr:rowOff>
    </xdr:to>
    <xdr:cxnSp macro="_xll.PtreeEvent_ObjectClick">
      <xdr:nvCxnSpPr>
        <xdr:cNvPr id="1814" name="PTObj_DBranchDLine_1_455">
          <a:extLst>
            <a:ext uri="{FF2B5EF4-FFF2-40B4-BE49-F238E27FC236}">
              <a16:creationId xmlns:a16="http://schemas.microsoft.com/office/drawing/2014/main" id="{37D27E29-B792-496E-96C9-DCC69612DD6B}"/>
            </a:ext>
          </a:extLst>
        </xdr:cNvPr>
        <xdr:cNvCxnSpPr/>
      </xdr:nvCxnSpPr>
      <xdr:spPr>
        <a:xfrm>
          <a:off x="14210157" y="164583752"/>
          <a:ext cx="152400" cy="183196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907</xdr:row>
      <xdr:rowOff>76833</xdr:rowOff>
    </xdr:from>
    <xdr:to>
      <xdr:col>11</xdr:col>
      <xdr:colOff>1385063</xdr:colOff>
      <xdr:row>907</xdr:row>
      <xdr:rowOff>76833</xdr:rowOff>
    </xdr:to>
    <xdr:cxnSp macro="_xll.PtreeEvent_ObjectClick">
      <xdr:nvCxnSpPr>
        <xdr:cNvPr id="1811" name="PTObj_DBranchHLine_1_449">
          <a:extLst>
            <a:ext uri="{FF2B5EF4-FFF2-40B4-BE49-F238E27FC236}">
              <a16:creationId xmlns:a16="http://schemas.microsoft.com/office/drawing/2014/main" id="{D7F7222B-BCEE-44D6-8BFD-4E695134D119}"/>
            </a:ext>
          </a:extLst>
        </xdr:cNvPr>
        <xdr:cNvCxnSpPr/>
      </xdr:nvCxnSpPr>
      <xdr:spPr>
        <a:xfrm>
          <a:off x="20056601" y="164221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905</xdr:row>
      <xdr:rowOff>70793</xdr:rowOff>
    </xdr:from>
    <xdr:to>
      <xdr:col>11</xdr:col>
      <xdr:colOff>196976</xdr:colOff>
      <xdr:row>907</xdr:row>
      <xdr:rowOff>76833</xdr:rowOff>
    </xdr:to>
    <xdr:cxnSp macro="_xll.PtreeEvent_ObjectClick">
      <xdr:nvCxnSpPr>
        <xdr:cNvPr id="1810" name="PTObj_DBranchDLine_1_449">
          <a:extLst>
            <a:ext uri="{FF2B5EF4-FFF2-40B4-BE49-F238E27FC236}">
              <a16:creationId xmlns:a16="http://schemas.microsoft.com/office/drawing/2014/main" id="{9A5F721F-C91D-4178-9E36-9D7A741A79FF}"/>
            </a:ext>
          </a:extLst>
        </xdr:cNvPr>
        <xdr:cNvCxnSpPr/>
      </xdr:nvCxnSpPr>
      <xdr:spPr>
        <a:xfrm>
          <a:off x="19904201" y="1638531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905</xdr:row>
      <xdr:rowOff>73025</xdr:rowOff>
    </xdr:from>
    <xdr:to>
      <xdr:col>10</xdr:col>
      <xdr:colOff>1392681</xdr:colOff>
      <xdr:row>905</xdr:row>
      <xdr:rowOff>73025</xdr:rowOff>
    </xdr:to>
    <xdr:cxnSp macro="_xll.PtreeEvent_ObjectClick">
      <xdr:nvCxnSpPr>
        <xdr:cNvPr id="1807" name="PTObj_DBranchHLine_1_448">
          <a:extLst>
            <a:ext uri="{FF2B5EF4-FFF2-40B4-BE49-F238E27FC236}">
              <a16:creationId xmlns:a16="http://schemas.microsoft.com/office/drawing/2014/main" id="{4FCF4815-03D3-4BF4-8426-822BF59FA286}"/>
            </a:ext>
          </a:extLst>
        </xdr:cNvPr>
        <xdr:cNvCxnSpPr/>
      </xdr:nvCxnSpPr>
      <xdr:spPr>
        <a:xfrm>
          <a:off x="18628804" y="163855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903</xdr:row>
      <xdr:rowOff>68907</xdr:rowOff>
    </xdr:from>
    <xdr:to>
      <xdr:col>10</xdr:col>
      <xdr:colOff>197929</xdr:colOff>
      <xdr:row>905</xdr:row>
      <xdr:rowOff>73025</xdr:rowOff>
    </xdr:to>
    <xdr:cxnSp macro="_xll.PtreeEvent_ObjectClick">
      <xdr:nvCxnSpPr>
        <xdr:cNvPr id="1806" name="PTObj_DBranchDLine_1_448">
          <a:extLst>
            <a:ext uri="{FF2B5EF4-FFF2-40B4-BE49-F238E27FC236}">
              <a16:creationId xmlns:a16="http://schemas.microsoft.com/office/drawing/2014/main" id="{943AB315-A281-4735-B8B1-BD7DABDD064C}"/>
            </a:ext>
          </a:extLst>
        </xdr:cNvPr>
        <xdr:cNvCxnSpPr/>
      </xdr:nvCxnSpPr>
      <xdr:spPr>
        <a:xfrm>
          <a:off x="18476404" y="1634893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903</xdr:row>
      <xdr:rowOff>69217</xdr:rowOff>
    </xdr:from>
    <xdr:to>
      <xdr:col>9</xdr:col>
      <xdr:colOff>1388870</xdr:colOff>
      <xdr:row>903</xdr:row>
      <xdr:rowOff>69217</xdr:rowOff>
    </xdr:to>
    <xdr:cxnSp macro="_xll.PtreeEvent_ObjectClick">
      <xdr:nvCxnSpPr>
        <xdr:cNvPr id="1803" name="PTObj_DBranchHLine_1_447">
          <a:extLst>
            <a:ext uri="{FF2B5EF4-FFF2-40B4-BE49-F238E27FC236}">
              <a16:creationId xmlns:a16="http://schemas.microsoft.com/office/drawing/2014/main" id="{D9FF01FA-6B9B-41FC-ADDA-414653F22959}"/>
            </a:ext>
          </a:extLst>
        </xdr:cNvPr>
        <xdr:cNvCxnSpPr/>
      </xdr:nvCxnSpPr>
      <xdr:spPr>
        <a:xfrm>
          <a:off x="17206720" y="163489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901</xdr:row>
      <xdr:rowOff>63190</xdr:rowOff>
    </xdr:from>
    <xdr:to>
      <xdr:col>9</xdr:col>
      <xdr:colOff>204595</xdr:colOff>
      <xdr:row>903</xdr:row>
      <xdr:rowOff>69217</xdr:rowOff>
    </xdr:to>
    <xdr:cxnSp macro="_xll.PtreeEvent_ObjectClick">
      <xdr:nvCxnSpPr>
        <xdr:cNvPr id="1802" name="PTObj_DBranchDLine_1_447">
          <a:extLst>
            <a:ext uri="{FF2B5EF4-FFF2-40B4-BE49-F238E27FC236}">
              <a16:creationId xmlns:a16="http://schemas.microsoft.com/office/drawing/2014/main" id="{C7F07488-92FD-4CC8-A7C1-1DC45C5E9A9E}"/>
            </a:ext>
          </a:extLst>
        </xdr:cNvPr>
        <xdr:cNvCxnSpPr/>
      </xdr:nvCxnSpPr>
      <xdr:spPr>
        <a:xfrm>
          <a:off x="17054320" y="1631216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901</xdr:row>
      <xdr:rowOff>65410</xdr:rowOff>
    </xdr:from>
    <xdr:to>
      <xdr:col>8</xdr:col>
      <xdr:colOff>1392681</xdr:colOff>
      <xdr:row>901</xdr:row>
      <xdr:rowOff>65410</xdr:rowOff>
    </xdr:to>
    <xdr:cxnSp macro="_xll.PtreeEvent_ObjectClick">
      <xdr:nvCxnSpPr>
        <xdr:cNvPr id="1799" name="PTObj_DBranchHLine_1_446">
          <a:extLst>
            <a:ext uri="{FF2B5EF4-FFF2-40B4-BE49-F238E27FC236}">
              <a16:creationId xmlns:a16="http://schemas.microsoft.com/office/drawing/2014/main" id="{113000EB-B662-43DA-9530-A9D8FA87638A}"/>
            </a:ext>
          </a:extLst>
        </xdr:cNvPr>
        <xdr:cNvCxnSpPr/>
      </xdr:nvCxnSpPr>
      <xdr:spPr>
        <a:xfrm>
          <a:off x="15782734" y="163123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899</xdr:row>
      <xdr:rowOff>56517</xdr:rowOff>
    </xdr:from>
    <xdr:to>
      <xdr:col>8</xdr:col>
      <xdr:colOff>209359</xdr:colOff>
      <xdr:row>901</xdr:row>
      <xdr:rowOff>65410</xdr:rowOff>
    </xdr:to>
    <xdr:cxnSp macro="_xll.PtreeEvent_ObjectClick">
      <xdr:nvCxnSpPr>
        <xdr:cNvPr id="1798" name="PTObj_DBranchDLine_1_446">
          <a:extLst>
            <a:ext uri="{FF2B5EF4-FFF2-40B4-BE49-F238E27FC236}">
              <a16:creationId xmlns:a16="http://schemas.microsoft.com/office/drawing/2014/main" id="{19EFF7F1-7EE5-49F2-ABC3-CED6BD24A134}"/>
            </a:ext>
          </a:extLst>
        </xdr:cNvPr>
        <xdr:cNvCxnSpPr/>
      </xdr:nvCxnSpPr>
      <xdr:spPr>
        <a:xfrm>
          <a:off x="15630334" y="1627530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897</xdr:row>
      <xdr:rowOff>57783</xdr:rowOff>
    </xdr:from>
    <xdr:to>
      <xdr:col>11</xdr:col>
      <xdr:colOff>1392682</xdr:colOff>
      <xdr:row>897</xdr:row>
      <xdr:rowOff>57783</xdr:rowOff>
    </xdr:to>
    <xdr:cxnSp macro="_xll.PtreeEvent_ObjectClick">
      <xdr:nvCxnSpPr>
        <xdr:cNvPr id="1795" name="PTObj_DBranchHLine_1_444">
          <a:extLst>
            <a:ext uri="{FF2B5EF4-FFF2-40B4-BE49-F238E27FC236}">
              <a16:creationId xmlns:a16="http://schemas.microsoft.com/office/drawing/2014/main" id="{F64ACFCC-17AD-4F06-8A84-8F0BEDC25985}"/>
            </a:ext>
          </a:extLst>
        </xdr:cNvPr>
        <xdr:cNvCxnSpPr/>
      </xdr:nvCxnSpPr>
      <xdr:spPr>
        <a:xfrm>
          <a:off x="20056601" y="1623923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895</xdr:row>
      <xdr:rowOff>41275</xdr:rowOff>
    </xdr:from>
    <xdr:to>
      <xdr:col>11</xdr:col>
      <xdr:colOff>196976</xdr:colOff>
      <xdr:row>897</xdr:row>
      <xdr:rowOff>57783</xdr:rowOff>
    </xdr:to>
    <xdr:cxnSp macro="_xll.PtreeEvent_ObjectClick">
      <xdr:nvCxnSpPr>
        <xdr:cNvPr id="1794" name="PTObj_DBranchDLine_1_444">
          <a:extLst>
            <a:ext uri="{FF2B5EF4-FFF2-40B4-BE49-F238E27FC236}">
              <a16:creationId xmlns:a16="http://schemas.microsoft.com/office/drawing/2014/main" id="{6A695EC4-807B-4682-A88D-B64CC268B922}"/>
            </a:ext>
          </a:extLst>
        </xdr:cNvPr>
        <xdr:cNvCxnSpPr/>
      </xdr:nvCxnSpPr>
      <xdr:spPr>
        <a:xfrm>
          <a:off x="19904201" y="1620139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895</xdr:row>
      <xdr:rowOff>53975</xdr:rowOff>
    </xdr:from>
    <xdr:to>
      <xdr:col>10</xdr:col>
      <xdr:colOff>1392681</xdr:colOff>
      <xdr:row>895</xdr:row>
      <xdr:rowOff>53975</xdr:rowOff>
    </xdr:to>
    <xdr:cxnSp macro="_xll.PtreeEvent_ObjectClick">
      <xdr:nvCxnSpPr>
        <xdr:cNvPr id="1791" name="PTObj_DBranchHLine_1_443">
          <a:extLst>
            <a:ext uri="{FF2B5EF4-FFF2-40B4-BE49-F238E27FC236}">
              <a16:creationId xmlns:a16="http://schemas.microsoft.com/office/drawing/2014/main" id="{994C876C-A378-42D7-A0D8-E973ABDD4A56}"/>
            </a:ext>
          </a:extLst>
        </xdr:cNvPr>
        <xdr:cNvCxnSpPr/>
      </xdr:nvCxnSpPr>
      <xdr:spPr>
        <a:xfrm>
          <a:off x="18628804" y="162026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893</xdr:row>
      <xdr:rowOff>38410</xdr:rowOff>
    </xdr:from>
    <xdr:to>
      <xdr:col>10</xdr:col>
      <xdr:colOff>197929</xdr:colOff>
      <xdr:row>895</xdr:row>
      <xdr:rowOff>53975</xdr:rowOff>
    </xdr:to>
    <xdr:cxnSp macro="_xll.PtreeEvent_ObjectClick">
      <xdr:nvCxnSpPr>
        <xdr:cNvPr id="1790" name="PTObj_DBranchDLine_1_443">
          <a:extLst>
            <a:ext uri="{FF2B5EF4-FFF2-40B4-BE49-F238E27FC236}">
              <a16:creationId xmlns:a16="http://schemas.microsoft.com/office/drawing/2014/main" id="{A09E2F0E-703B-4597-8421-9CB494F40F79}"/>
            </a:ext>
          </a:extLst>
        </xdr:cNvPr>
        <xdr:cNvCxnSpPr/>
      </xdr:nvCxnSpPr>
      <xdr:spPr>
        <a:xfrm>
          <a:off x="18476404" y="1616490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893</xdr:row>
      <xdr:rowOff>50167</xdr:rowOff>
    </xdr:from>
    <xdr:to>
      <xdr:col>9</xdr:col>
      <xdr:colOff>1388870</xdr:colOff>
      <xdr:row>893</xdr:row>
      <xdr:rowOff>50167</xdr:rowOff>
    </xdr:to>
    <xdr:cxnSp macro="_xll.PtreeEvent_ObjectClick">
      <xdr:nvCxnSpPr>
        <xdr:cNvPr id="1787" name="PTObj_DBranchHLine_1_442">
          <a:extLst>
            <a:ext uri="{FF2B5EF4-FFF2-40B4-BE49-F238E27FC236}">
              <a16:creationId xmlns:a16="http://schemas.microsoft.com/office/drawing/2014/main" id="{7E47DB07-154A-47AF-9605-304D0DBA51A1}"/>
            </a:ext>
          </a:extLst>
        </xdr:cNvPr>
        <xdr:cNvCxnSpPr/>
      </xdr:nvCxnSpPr>
      <xdr:spPr>
        <a:xfrm>
          <a:off x="17206720" y="161660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891</xdr:row>
      <xdr:rowOff>37467</xdr:rowOff>
    </xdr:from>
    <xdr:to>
      <xdr:col>9</xdr:col>
      <xdr:colOff>204595</xdr:colOff>
      <xdr:row>893</xdr:row>
      <xdr:rowOff>50167</xdr:rowOff>
    </xdr:to>
    <xdr:cxnSp macro="_xll.PtreeEvent_ObjectClick">
      <xdr:nvCxnSpPr>
        <xdr:cNvPr id="1786" name="PTObj_DBranchDLine_1_442">
          <a:extLst>
            <a:ext uri="{FF2B5EF4-FFF2-40B4-BE49-F238E27FC236}">
              <a16:creationId xmlns:a16="http://schemas.microsoft.com/office/drawing/2014/main" id="{B7BECBE0-38C9-443F-AD5A-3065ABAFDC37}"/>
            </a:ext>
          </a:extLst>
        </xdr:cNvPr>
        <xdr:cNvCxnSpPr/>
      </xdr:nvCxnSpPr>
      <xdr:spPr>
        <a:xfrm>
          <a:off x="17054320" y="161286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891</xdr:row>
      <xdr:rowOff>46360</xdr:rowOff>
    </xdr:from>
    <xdr:to>
      <xdr:col>8</xdr:col>
      <xdr:colOff>1392681</xdr:colOff>
      <xdr:row>891</xdr:row>
      <xdr:rowOff>46360</xdr:rowOff>
    </xdr:to>
    <xdr:cxnSp macro="_xll.PtreeEvent_ObjectClick">
      <xdr:nvCxnSpPr>
        <xdr:cNvPr id="1783" name="PTObj_DBranchHLine_1_441">
          <a:extLst>
            <a:ext uri="{FF2B5EF4-FFF2-40B4-BE49-F238E27FC236}">
              <a16:creationId xmlns:a16="http://schemas.microsoft.com/office/drawing/2014/main" id="{33B118CB-E039-4D8F-8153-70D118F76078}"/>
            </a:ext>
          </a:extLst>
        </xdr:cNvPr>
        <xdr:cNvCxnSpPr/>
      </xdr:nvCxnSpPr>
      <xdr:spPr>
        <a:xfrm>
          <a:off x="15782734" y="161295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891</xdr:row>
      <xdr:rowOff>46360</xdr:rowOff>
    </xdr:from>
    <xdr:to>
      <xdr:col>8</xdr:col>
      <xdr:colOff>209359</xdr:colOff>
      <xdr:row>899</xdr:row>
      <xdr:rowOff>56517</xdr:rowOff>
    </xdr:to>
    <xdr:cxnSp macro="_xll.PtreeEvent_ObjectClick">
      <xdr:nvCxnSpPr>
        <xdr:cNvPr id="1782" name="PTObj_DBranchDLine_1_441">
          <a:extLst>
            <a:ext uri="{FF2B5EF4-FFF2-40B4-BE49-F238E27FC236}">
              <a16:creationId xmlns:a16="http://schemas.microsoft.com/office/drawing/2014/main" id="{C4FB19B6-E704-446A-AC53-1CCC516A5138}"/>
            </a:ext>
          </a:extLst>
        </xdr:cNvPr>
        <xdr:cNvCxnSpPr/>
      </xdr:nvCxnSpPr>
      <xdr:spPr>
        <a:xfrm flipV="1">
          <a:off x="15630334" y="1612950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899</xdr:row>
      <xdr:rowOff>61590</xdr:rowOff>
    </xdr:from>
    <xdr:to>
      <xdr:col>7</xdr:col>
      <xdr:colOff>1398397</xdr:colOff>
      <xdr:row>899</xdr:row>
      <xdr:rowOff>61590</xdr:rowOff>
    </xdr:to>
    <xdr:cxnSp macro="_xll.PtreeEvent_ObjectClick">
      <xdr:nvCxnSpPr>
        <xdr:cNvPr id="1779" name="PTObj_DBranchHLine_1_445">
          <a:extLst>
            <a:ext uri="{FF2B5EF4-FFF2-40B4-BE49-F238E27FC236}">
              <a16:creationId xmlns:a16="http://schemas.microsoft.com/office/drawing/2014/main" id="{1EA438C4-5B2E-4288-B625-18983739A87C}"/>
            </a:ext>
          </a:extLst>
        </xdr:cNvPr>
        <xdr:cNvCxnSpPr/>
      </xdr:nvCxnSpPr>
      <xdr:spPr>
        <a:xfrm>
          <a:off x="14360652" y="1627581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899</xdr:row>
      <xdr:rowOff>61590</xdr:rowOff>
    </xdr:from>
    <xdr:to>
      <xdr:col>7</xdr:col>
      <xdr:colOff>216027</xdr:colOff>
      <xdr:row>909</xdr:row>
      <xdr:rowOff>75567</xdr:rowOff>
    </xdr:to>
    <xdr:cxnSp macro="_xll.PtreeEvent_ObjectClick">
      <xdr:nvCxnSpPr>
        <xdr:cNvPr id="1778" name="PTObj_DBranchDLine_1_445">
          <a:extLst>
            <a:ext uri="{FF2B5EF4-FFF2-40B4-BE49-F238E27FC236}">
              <a16:creationId xmlns:a16="http://schemas.microsoft.com/office/drawing/2014/main" id="{A9463D35-6B2B-483F-9CD5-CE40F772C832}"/>
            </a:ext>
          </a:extLst>
        </xdr:cNvPr>
        <xdr:cNvCxnSpPr/>
      </xdr:nvCxnSpPr>
      <xdr:spPr>
        <a:xfrm flipV="1">
          <a:off x="14208252" y="1627581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909</xdr:row>
      <xdr:rowOff>80640</xdr:rowOff>
    </xdr:from>
    <xdr:to>
      <xdr:col>6</xdr:col>
      <xdr:colOff>1402207</xdr:colOff>
      <xdr:row>909</xdr:row>
      <xdr:rowOff>80640</xdr:rowOff>
    </xdr:to>
    <xdr:cxnSp macro="_xll.PtreeEvent_ObjectClick">
      <xdr:nvCxnSpPr>
        <xdr:cNvPr id="1775" name="PTObj_DBranchHLine_1_450">
          <a:extLst>
            <a:ext uri="{FF2B5EF4-FFF2-40B4-BE49-F238E27FC236}">
              <a16:creationId xmlns:a16="http://schemas.microsoft.com/office/drawing/2014/main" id="{BEF1C2BF-99CB-4C89-9A34-5309C69D996D}"/>
            </a:ext>
          </a:extLst>
        </xdr:cNvPr>
        <xdr:cNvCxnSpPr/>
      </xdr:nvCxnSpPr>
      <xdr:spPr>
        <a:xfrm>
          <a:off x="12938569" y="1645869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909</xdr:row>
      <xdr:rowOff>80640</xdr:rowOff>
    </xdr:from>
    <xdr:to>
      <xdr:col>6</xdr:col>
      <xdr:colOff>222694</xdr:colOff>
      <xdr:row>929</xdr:row>
      <xdr:rowOff>108917</xdr:rowOff>
    </xdr:to>
    <xdr:cxnSp macro="_xll.PtreeEvent_ObjectClick">
      <xdr:nvCxnSpPr>
        <xdr:cNvPr id="1774" name="PTObj_DBranchDLine_1_450">
          <a:extLst>
            <a:ext uri="{FF2B5EF4-FFF2-40B4-BE49-F238E27FC236}">
              <a16:creationId xmlns:a16="http://schemas.microsoft.com/office/drawing/2014/main" id="{34F556D1-A965-44D0-B852-F608131BE38C}"/>
            </a:ext>
          </a:extLst>
        </xdr:cNvPr>
        <xdr:cNvCxnSpPr/>
      </xdr:nvCxnSpPr>
      <xdr:spPr>
        <a:xfrm flipV="1">
          <a:off x="12786169" y="164586915"/>
          <a:ext cx="152400" cy="36477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929</xdr:row>
      <xdr:rowOff>118740</xdr:rowOff>
    </xdr:from>
    <xdr:to>
      <xdr:col>5</xdr:col>
      <xdr:colOff>1407922</xdr:colOff>
      <xdr:row>929</xdr:row>
      <xdr:rowOff>118740</xdr:rowOff>
    </xdr:to>
    <xdr:cxnSp macro="_xll.PtreeEvent_ObjectClick">
      <xdr:nvCxnSpPr>
        <xdr:cNvPr id="1771" name="PTObj_DBranchHLine_1_460">
          <a:extLst>
            <a:ext uri="{FF2B5EF4-FFF2-40B4-BE49-F238E27FC236}">
              <a16:creationId xmlns:a16="http://schemas.microsoft.com/office/drawing/2014/main" id="{0C011B27-1E75-41D6-B69F-EC214AE05CB2}"/>
            </a:ext>
          </a:extLst>
        </xdr:cNvPr>
        <xdr:cNvCxnSpPr/>
      </xdr:nvCxnSpPr>
      <xdr:spPr>
        <a:xfrm>
          <a:off x="11512676" y="168244515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889</xdr:row>
      <xdr:rowOff>39377</xdr:rowOff>
    </xdr:from>
    <xdr:to>
      <xdr:col>5</xdr:col>
      <xdr:colOff>225551</xdr:colOff>
      <xdr:row>929</xdr:row>
      <xdr:rowOff>118740</xdr:rowOff>
    </xdr:to>
    <xdr:cxnSp macro="_xll.PtreeEvent_ObjectClick">
      <xdr:nvCxnSpPr>
        <xdr:cNvPr id="1770" name="PTObj_DBranchDLine_1_460">
          <a:extLst>
            <a:ext uri="{FF2B5EF4-FFF2-40B4-BE49-F238E27FC236}">
              <a16:creationId xmlns:a16="http://schemas.microsoft.com/office/drawing/2014/main" id="{D7189FCE-A1B2-402D-9967-6861E12C6FF7}"/>
            </a:ext>
          </a:extLst>
        </xdr:cNvPr>
        <xdr:cNvCxnSpPr/>
      </xdr:nvCxnSpPr>
      <xdr:spPr>
        <a:xfrm>
          <a:off x="11360276" y="160926152"/>
          <a:ext cx="152400" cy="731836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887</xdr:row>
      <xdr:rowOff>38733</xdr:rowOff>
    </xdr:from>
    <xdr:to>
      <xdr:col>11</xdr:col>
      <xdr:colOff>1385063</xdr:colOff>
      <xdr:row>887</xdr:row>
      <xdr:rowOff>38733</xdr:rowOff>
    </xdr:to>
    <xdr:cxnSp macro="_xll.PtreeEvent_ObjectClick">
      <xdr:nvCxnSpPr>
        <xdr:cNvPr id="1767" name="PTObj_DBranchHLine_1_439">
          <a:extLst>
            <a:ext uri="{FF2B5EF4-FFF2-40B4-BE49-F238E27FC236}">
              <a16:creationId xmlns:a16="http://schemas.microsoft.com/office/drawing/2014/main" id="{2823CCD3-ACED-470C-8074-066081D73589}"/>
            </a:ext>
          </a:extLst>
        </xdr:cNvPr>
        <xdr:cNvCxnSpPr/>
      </xdr:nvCxnSpPr>
      <xdr:spPr>
        <a:xfrm>
          <a:off x="20056601" y="160563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885</xdr:row>
      <xdr:rowOff>32693</xdr:rowOff>
    </xdr:from>
    <xdr:to>
      <xdr:col>11</xdr:col>
      <xdr:colOff>196976</xdr:colOff>
      <xdr:row>887</xdr:row>
      <xdr:rowOff>38733</xdr:rowOff>
    </xdr:to>
    <xdr:cxnSp macro="_xll.PtreeEvent_ObjectClick">
      <xdr:nvCxnSpPr>
        <xdr:cNvPr id="1766" name="PTObj_DBranchDLine_1_439">
          <a:extLst>
            <a:ext uri="{FF2B5EF4-FFF2-40B4-BE49-F238E27FC236}">
              <a16:creationId xmlns:a16="http://schemas.microsoft.com/office/drawing/2014/main" id="{06C56187-B946-4F5D-8A5F-AE811E823E39}"/>
            </a:ext>
          </a:extLst>
        </xdr:cNvPr>
        <xdr:cNvCxnSpPr/>
      </xdr:nvCxnSpPr>
      <xdr:spPr>
        <a:xfrm>
          <a:off x="19904201" y="1601955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885</xdr:row>
      <xdr:rowOff>34925</xdr:rowOff>
    </xdr:from>
    <xdr:to>
      <xdr:col>10</xdr:col>
      <xdr:colOff>1392681</xdr:colOff>
      <xdr:row>885</xdr:row>
      <xdr:rowOff>34925</xdr:rowOff>
    </xdr:to>
    <xdr:cxnSp macro="_xll.PtreeEvent_ObjectClick">
      <xdr:nvCxnSpPr>
        <xdr:cNvPr id="1763" name="PTObj_DBranchHLine_1_438">
          <a:extLst>
            <a:ext uri="{FF2B5EF4-FFF2-40B4-BE49-F238E27FC236}">
              <a16:creationId xmlns:a16="http://schemas.microsoft.com/office/drawing/2014/main" id="{EB99DA0B-0EB1-4F9E-AAC8-7B6FCEC580B0}"/>
            </a:ext>
          </a:extLst>
        </xdr:cNvPr>
        <xdr:cNvCxnSpPr/>
      </xdr:nvCxnSpPr>
      <xdr:spPr>
        <a:xfrm>
          <a:off x="18628804" y="160197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883</xdr:row>
      <xdr:rowOff>30807</xdr:rowOff>
    </xdr:from>
    <xdr:to>
      <xdr:col>10</xdr:col>
      <xdr:colOff>197929</xdr:colOff>
      <xdr:row>885</xdr:row>
      <xdr:rowOff>34925</xdr:rowOff>
    </xdr:to>
    <xdr:cxnSp macro="_xll.PtreeEvent_ObjectClick">
      <xdr:nvCxnSpPr>
        <xdr:cNvPr id="1762" name="PTObj_DBranchDLine_1_438">
          <a:extLst>
            <a:ext uri="{FF2B5EF4-FFF2-40B4-BE49-F238E27FC236}">
              <a16:creationId xmlns:a16="http://schemas.microsoft.com/office/drawing/2014/main" id="{CACE1D2B-F52F-40F8-939F-C6744462EC05}"/>
            </a:ext>
          </a:extLst>
        </xdr:cNvPr>
        <xdr:cNvCxnSpPr/>
      </xdr:nvCxnSpPr>
      <xdr:spPr>
        <a:xfrm>
          <a:off x="18476404" y="1598317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883</xdr:row>
      <xdr:rowOff>31117</xdr:rowOff>
    </xdr:from>
    <xdr:to>
      <xdr:col>9</xdr:col>
      <xdr:colOff>1388870</xdr:colOff>
      <xdr:row>883</xdr:row>
      <xdr:rowOff>31117</xdr:rowOff>
    </xdr:to>
    <xdr:cxnSp macro="_xll.PtreeEvent_ObjectClick">
      <xdr:nvCxnSpPr>
        <xdr:cNvPr id="1759" name="PTObj_DBranchHLine_1_437">
          <a:extLst>
            <a:ext uri="{FF2B5EF4-FFF2-40B4-BE49-F238E27FC236}">
              <a16:creationId xmlns:a16="http://schemas.microsoft.com/office/drawing/2014/main" id="{CB954881-6E38-44EC-B481-71B8BDBD6FFC}"/>
            </a:ext>
          </a:extLst>
        </xdr:cNvPr>
        <xdr:cNvCxnSpPr/>
      </xdr:nvCxnSpPr>
      <xdr:spPr>
        <a:xfrm>
          <a:off x="17206720" y="159832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881</xdr:row>
      <xdr:rowOff>25090</xdr:rowOff>
    </xdr:from>
    <xdr:to>
      <xdr:col>9</xdr:col>
      <xdr:colOff>204595</xdr:colOff>
      <xdr:row>883</xdr:row>
      <xdr:rowOff>31117</xdr:rowOff>
    </xdr:to>
    <xdr:cxnSp macro="_xll.PtreeEvent_ObjectClick">
      <xdr:nvCxnSpPr>
        <xdr:cNvPr id="1758" name="PTObj_DBranchDLine_1_437">
          <a:extLst>
            <a:ext uri="{FF2B5EF4-FFF2-40B4-BE49-F238E27FC236}">
              <a16:creationId xmlns:a16="http://schemas.microsoft.com/office/drawing/2014/main" id="{3318E2ED-E909-4DF5-B68A-9FE5A4D3C4AA}"/>
            </a:ext>
          </a:extLst>
        </xdr:cNvPr>
        <xdr:cNvCxnSpPr/>
      </xdr:nvCxnSpPr>
      <xdr:spPr>
        <a:xfrm>
          <a:off x="17054320" y="1594640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881</xdr:row>
      <xdr:rowOff>27310</xdr:rowOff>
    </xdr:from>
    <xdr:to>
      <xdr:col>8</xdr:col>
      <xdr:colOff>1392681</xdr:colOff>
      <xdr:row>881</xdr:row>
      <xdr:rowOff>27310</xdr:rowOff>
    </xdr:to>
    <xdr:cxnSp macro="_xll.PtreeEvent_ObjectClick">
      <xdr:nvCxnSpPr>
        <xdr:cNvPr id="1755" name="PTObj_DBranchHLine_1_436">
          <a:extLst>
            <a:ext uri="{FF2B5EF4-FFF2-40B4-BE49-F238E27FC236}">
              <a16:creationId xmlns:a16="http://schemas.microsoft.com/office/drawing/2014/main" id="{5F899C6A-56A7-4303-9FF7-2FDBD04D3311}"/>
            </a:ext>
          </a:extLst>
        </xdr:cNvPr>
        <xdr:cNvCxnSpPr/>
      </xdr:nvCxnSpPr>
      <xdr:spPr>
        <a:xfrm>
          <a:off x="15782734" y="159466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879</xdr:row>
      <xdr:rowOff>18417</xdr:rowOff>
    </xdr:from>
    <xdr:to>
      <xdr:col>8</xdr:col>
      <xdr:colOff>209359</xdr:colOff>
      <xdr:row>881</xdr:row>
      <xdr:rowOff>27310</xdr:rowOff>
    </xdr:to>
    <xdr:cxnSp macro="_xll.PtreeEvent_ObjectClick">
      <xdr:nvCxnSpPr>
        <xdr:cNvPr id="1754" name="PTObj_DBranchDLine_1_436">
          <a:extLst>
            <a:ext uri="{FF2B5EF4-FFF2-40B4-BE49-F238E27FC236}">
              <a16:creationId xmlns:a16="http://schemas.microsoft.com/office/drawing/2014/main" id="{7177735A-6FFF-4453-A60B-F22A5A6D840B}"/>
            </a:ext>
          </a:extLst>
        </xdr:cNvPr>
        <xdr:cNvCxnSpPr/>
      </xdr:nvCxnSpPr>
      <xdr:spPr>
        <a:xfrm>
          <a:off x="15630334" y="1590954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877</xdr:row>
      <xdr:rowOff>19683</xdr:rowOff>
    </xdr:from>
    <xdr:to>
      <xdr:col>11</xdr:col>
      <xdr:colOff>1392682</xdr:colOff>
      <xdr:row>877</xdr:row>
      <xdr:rowOff>19683</xdr:rowOff>
    </xdr:to>
    <xdr:cxnSp macro="_xll.PtreeEvent_ObjectClick">
      <xdr:nvCxnSpPr>
        <xdr:cNvPr id="1751" name="PTObj_DBranchHLine_1_434">
          <a:extLst>
            <a:ext uri="{FF2B5EF4-FFF2-40B4-BE49-F238E27FC236}">
              <a16:creationId xmlns:a16="http://schemas.microsoft.com/office/drawing/2014/main" id="{4263CF3E-6666-4E5C-B192-56B9F68847F1}"/>
            </a:ext>
          </a:extLst>
        </xdr:cNvPr>
        <xdr:cNvCxnSpPr/>
      </xdr:nvCxnSpPr>
      <xdr:spPr>
        <a:xfrm>
          <a:off x="20056601" y="1587347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875</xdr:row>
      <xdr:rowOff>3175</xdr:rowOff>
    </xdr:from>
    <xdr:to>
      <xdr:col>11</xdr:col>
      <xdr:colOff>196976</xdr:colOff>
      <xdr:row>877</xdr:row>
      <xdr:rowOff>19683</xdr:rowOff>
    </xdr:to>
    <xdr:cxnSp macro="_xll.PtreeEvent_ObjectClick">
      <xdr:nvCxnSpPr>
        <xdr:cNvPr id="1750" name="PTObj_DBranchDLine_1_434">
          <a:extLst>
            <a:ext uri="{FF2B5EF4-FFF2-40B4-BE49-F238E27FC236}">
              <a16:creationId xmlns:a16="http://schemas.microsoft.com/office/drawing/2014/main" id="{F8B93F0C-9998-4C69-A832-D44DBA5929B1}"/>
            </a:ext>
          </a:extLst>
        </xdr:cNvPr>
        <xdr:cNvCxnSpPr/>
      </xdr:nvCxnSpPr>
      <xdr:spPr>
        <a:xfrm>
          <a:off x="19904201" y="1583563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875</xdr:row>
      <xdr:rowOff>15875</xdr:rowOff>
    </xdr:from>
    <xdr:to>
      <xdr:col>10</xdr:col>
      <xdr:colOff>1392681</xdr:colOff>
      <xdr:row>875</xdr:row>
      <xdr:rowOff>15875</xdr:rowOff>
    </xdr:to>
    <xdr:cxnSp macro="_xll.PtreeEvent_ObjectClick">
      <xdr:nvCxnSpPr>
        <xdr:cNvPr id="1747" name="PTObj_DBranchHLine_1_433">
          <a:extLst>
            <a:ext uri="{FF2B5EF4-FFF2-40B4-BE49-F238E27FC236}">
              <a16:creationId xmlns:a16="http://schemas.microsoft.com/office/drawing/2014/main" id="{9DE80E72-0FC1-4DFA-836B-90DA3C3D8100}"/>
            </a:ext>
          </a:extLst>
        </xdr:cNvPr>
        <xdr:cNvCxnSpPr/>
      </xdr:nvCxnSpPr>
      <xdr:spPr>
        <a:xfrm>
          <a:off x="18628804" y="158369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873</xdr:row>
      <xdr:rowOff>310</xdr:rowOff>
    </xdr:from>
    <xdr:to>
      <xdr:col>10</xdr:col>
      <xdr:colOff>197929</xdr:colOff>
      <xdr:row>875</xdr:row>
      <xdr:rowOff>15875</xdr:rowOff>
    </xdr:to>
    <xdr:cxnSp macro="_xll.PtreeEvent_ObjectClick">
      <xdr:nvCxnSpPr>
        <xdr:cNvPr id="1746" name="PTObj_DBranchDLine_1_433">
          <a:extLst>
            <a:ext uri="{FF2B5EF4-FFF2-40B4-BE49-F238E27FC236}">
              <a16:creationId xmlns:a16="http://schemas.microsoft.com/office/drawing/2014/main" id="{D3E2F94D-6009-4133-A96E-07E646EEDA53}"/>
            </a:ext>
          </a:extLst>
        </xdr:cNvPr>
        <xdr:cNvCxnSpPr/>
      </xdr:nvCxnSpPr>
      <xdr:spPr>
        <a:xfrm>
          <a:off x="18476404" y="1579914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873</xdr:row>
      <xdr:rowOff>12067</xdr:rowOff>
    </xdr:from>
    <xdr:to>
      <xdr:col>9</xdr:col>
      <xdr:colOff>1388870</xdr:colOff>
      <xdr:row>873</xdr:row>
      <xdr:rowOff>12067</xdr:rowOff>
    </xdr:to>
    <xdr:cxnSp macro="_xll.PtreeEvent_ObjectClick">
      <xdr:nvCxnSpPr>
        <xdr:cNvPr id="1743" name="PTObj_DBranchHLine_1_432">
          <a:extLst>
            <a:ext uri="{FF2B5EF4-FFF2-40B4-BE49-F238E27FC236}">
              <a16:creationId xmlns:a16="http://schemas.microsoft.com/office/drawing/2014/main" id="{D5C12A62-BBF9-46BB-9FB0-F234E28F7132}"/>
            </a:ext>
          </a:extLst>
        </xdr:cNvPr>
        <xdr:cNvCxnSpPr/>
      </xdr:nvCxnSpPr>
      <xdr:spPr>
        <a:xfrm>
          <a:off x="17206720" y="158003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870</xdr:row>
      <xdr:rowOff>180342</xdr:rowOff>
    </xdr:from>
    <xdr:to>
      <xdr:col>9</xdr:col>
      <xdr:colOff>204595</xdr:colOff>
      <xdr:row>873</xdr:row>
      <xdr:rowOff>12067</xdr:rowOff>
    </xdr:to>
    <xdr:cxnSp macro="_xll.PtreeEvent_ObjectClick">
      <xdr:nvCxnSpPr>
        <xdr:cNvPr id="1742" name="PTObj_DBranchDLine_1_432">
          <a:extLst>
            <a:ext uri="{FF2B5EF4-FFF2-40B4-BE49-F238E27FC236}">
              <a16:creationId xmlns:a16="http://schemas.microsoft.com/office/drawing/2014/main" id="{F20A10C2-C6B7-454F-926A-D9E9D83B1939}"/>
            </a:ext>
          </a:extLst>
        </xdr:cNvPr>
        <xdr:cNvCxnSpPr/>
      </xdr:nvCxnSpPr>
      <xdr:spPr>
        <a:xfrm>
          <a:off x="17054320" y="157628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871</xdr:row>
      <xdr:rowOff>8260</xdr:rowOff>
    </xdr:from>
    <xdr:to>
      <xdr:col>8</xdr:col>
      <xdr:colOff>1392681</xdr:colOff>
      <xdr:row>871</xdr:row>
      <xdr:rowOff>8260</xdr:rowOff>
    </xdr:to>
    <xdr:cxnSp macro="_xll.PtreeEvent_ObjectClick">
      <xdr:nvCxnSpPr>
        <xdr:cNvPr id="1739" name="PTObj_DBranchHLine_1_431">
          <a:extLst>
            <a:ext uri="{FF2B5EF4-FFF2-40B4-BE49-F238E27FC236}">
              <a16:creationId xmlns:a16="http://schemas.microsoft.com/office/drawing/2014/main" id="{51A57E2E-8B1E-44B5-BC94-C478931EDE87}"/>
            </a:ext>
          </a:extLst>
        </xdr:cNvPr>
        <xdr:cNvCxnSpPr/>
      </xdr:nvCxnSpPr>
      <xdr:spPr>
        <a:xfrm>
          <a:off x="15782734" y="157637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871</xdr:row>
      <xdr:rowOff>8260</xdr:rowOff>
    </xdr:from>
    <xdr:to>
      <xdr:col>8</xdr:col>
      <xdr:colOff>209359</xdr:colOff>
      <xdr:row>879</xdr:row>
      <xdr:rowOff>18417</xdr:rowOff>
    </xdr:to>
    <xdr:cxnSp macro="_xll.PtreeEvent_ObjectClick">
      <xdr:nvCxnSpPr>
        <xdr:cNvPr id="1738" name="PTObj_DBranchDLine_1_431">
          <a:extLst>
            <a:ext uri="{FF2B5EF4-FFF2-40B4-BE49-F238E27FC236}">
              <a16:creationId xmlns:a16="http://schemas.microsoft.com/office/drawing/2014/main" id="{ACC5FA76-F3A2-4CC7-8C40-C7837F2E70AD}"/>
            </a:ext>
          </a:extLst>
        </xdr:cNvPr>
        <xdr:cNvCxnSpPr/>
      </xdr:nvCxnSpPr>
      <xdr:spPr>
        <a:xfrm flipV="1">
          <a:off x="15630334" y="1576374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879</xdr:row>
      <xdr:rowOff>23490</xdr:rowOff>
    </xdr:from>
    <xdr:to>
      <xdr:col>7</xdr:col>
      <xdr:colOff>1398397</xdr:colOff>
      <xdr:row>879</xdr:row>
      <xdr:rowOff>23490</xdr:rowOff>
    </xdr:to>
    <xdr:cxnSp macro="_xll.PtreeEvent_ObjectClick">
      <xdr:nvCxnSpPr>
        <xdr:cNvPr id="1735" name="PTObj_DBranchHLine_1_435">
          <a:extLst>
            <a:ext uri="{FF2B5EF4-FFF2-40B4-BE49-F238E27FC236}">
              <a16:creationId xmlns:a16="http://schemas.microsoft.com/office/drawing/2014/main" id="{307948CC-619A-48EB-B9D1-5D9D85C2D08F}"/>
            </a:ext>
          </a:extLst>
        </xdr:cNvPr>
        <xdr:cNvCxnSpPr/>
      </xdr:nvCxnSpPr>
      <xdr:spPr>
        <a:xfrm>
          <a:off x="14362557" y="1591005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869</xdr:row>
      <xdr:rowOff>1277</xdr:rowOff>
    </xdr:from>
    <xdr:to>
      <xdr:col>7</xdr:col>
      <xdr:colOff>217932</xdr:colOff>
      <xdr:row>879</xdr:row>
      <xdr:rowOff>23490</xdr:rowOff>
    </xdr:to>
    <xdr:cxnSp macro="_xll.PtreeEvent_ObjectClick">
      <xdr:nvCxnSpPr>
        <xdr:cNvPr id="1734" name="PTObj_DBranchDLine_1_435">
          <a:extLst>
            <a:ext uri="{FF2B5EF4-FFF2-40B4-BE49-F238E27FC236}">
              <a16:creationId xmlns:a16="http://schemas.microsoft.com/office/drawing/2014/main" id="{78635E82-8EEA-48C3-9CE3-13F4F121A6B1}"/>
            </a:ext>
          </a:extLst>
        </xdr:cNvPr>
        <xdr:cNvCxnSpPr/>
      </xdr:nvCxnSpPr>
      <xdr:spPr>
        <a:xfrm>
          <a:off x="14210157" y="157268552"/>
          <a:ext cx="152400" cy="183196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867</xdr:row>
      <xdr:rowOff>633</xdr:rowOff>
    </xdr:from>
    <xdr:to>
      <xdr:col>11</xdr:col>
      <xdr:colOff>1385063</xdr:colOff>
      <xdr:row>867</xdr:row>
      <xdr:rowOff>633</xdr:rowOff>
    </xdr:to>
    <xdr:cxnSp macro="_xll.PtreeEvent_ObjectClick">
      <xdr:nvCxnSpPr>
        <xdr:cNvPr id="1731" name="PTObj_DBranchHLine_1_429">
          <a:extLst>
            <a:ext uri="{FF2B5EF4-FFF2-40B4-BE49-F238E27FC236}">
              <a16:creationId xmlns:a16="http://schemas.microsoft.com/office/drawing/2014/main" id="{48579F44-AD53-438B-A6B7-C51CCC156B53}"/>
            </a:ext>
          </a:extLst>
        </xdr:cNvPr>
        <xdr:cNvCxnSpPr/>
      </xdr:nvCxnSpPr>
      <xdr:spPr>
        <a:xfrm>
          <a:off x="20056601" y="156905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864</xdr:row>
      <xdr:rowOff>175568</xdr:rowOff>
    </xdr:from>
    <xdr:to>
      <xdr:col>11</xdr:col>
      <xdr:colOff>196976</xdr:colOff>
      <xdr:row>867</xdr:row>
      <xdr:rowOff>633</xdr:rowOff>
    </xdr:to>
    <xdr:cxnSp macro="_xll.PtreeEvent_ObjectClick">
      <xdr:nvCxnSpPr>
        <xdr:cNvPr id="1730" name="PTObj_DBranchDLine_1_429">
          <a:extLst>
            <a:ext uri="{FF2B5EF4-FFF2-40B4-BE49-F238E27FC236}">
              <a16:creationId xmlns:a16="http://schemas.microsoft.com/office/drawing/2014/main" id="{16841C1E-CC9C-4223-A284-1B2F46D435F1}"/>
            </a:ext>
          </a:extLst>
        </xdr:cNvPr>
        <xdr:cNvCxnSpPr/>
      </xdr:nvCxnSpPr>
      <xdr:spPr>
        <a:xfrm>
          <a:off x="19904201" y="1565379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864</xdr:row>
      <xdr:rowOff>177800</xdr:rowOff>
    </xdr:from>
    <xdr:to>
      <xdr:col>10</xdr:col>
      <xdr:colOff>1392681</xdr:colOff>
      <xdr:row>864</xdr:row>
      <xdr:rowOff>177800</xdr:rowOff>
    </xdr:to>
    <xdr:cxnSp macro="_xll.PtreeEvent_ObjectClick">
      <xdr:nvCxnSpPr>
        <xdr:cNvPr id="1727" name="PTObj_DBranchHLine_1_428">
          <a:extLst>
            <a:ext uri="{FF2B5EF4-FFF2-40B4-BE49-F238E27FC236}">
              <a16:creationId xmlns:a16="http://schemas.microsoft.com/office/drawing/2014/main" id="{0D6D9D75-2AD5-47C4-BF91-73EDF5B5F1C4}"/>
            </a:ext>
          </a:extLst>
        </xdr:cNvPr>
        <xdr:cNvCxnSpPr/>
      </xdr:nvCxnSpPr>
      <xdr:spPr>
        <a:xfrm>
          <a:off x="18628804" y="156540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862</xdr:row>
      <xdr:rowOff>173682</xdr:rowOff>
    </xdr:from>
    <xdr:to>
      <xdr:col>10</xdr:col>
      <xdr:colOff>197929</xdr:colOff>
      <xdr:row>864</xdr:row>
      <xdr:rowOff>177800</xdr:rowOff>
    </xdr:to>
    <xdr:cxnSp macro="_xll.PtreeEvent_ObjectClick">
      <xdr:nvCxnSpPr>
        <xdr:cNvPr id="1726" name="PTObj_DBranchDLine_1_428">
          <a:extLst>
            <a:ext uri="{FF2B5EF4-FFF2-40B4-BE49-F238E27FC236}">
              <a16:creationId xmlns:a16="http://schemas.microsoft.com/office/drawing/2014/main" id="{FB0C4C39-F435-47CA-9031-65C57666F05F}"/>
            </a:ext>
          </a:extLst>
        </xdr:cNvPr>
        <xdr:cNvCxnSpPr/>
      </xdr:nvCxnSpPr>
      <xdr:spPr>
        <a:xfrm>
          <a:off x="18476404" y="1561741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862</xdr:row>
      <xdr:rowOff>173992</xdr:rowOff>
    </xdr:from>
    <xdr:to>
      <xdr:col>9</xdr:col>
      <xdr:colOff>1388870</xdr:colOff>
      <xdr:row>862</xdr:row>
      <xdr:rowOff>173992</xdr:rowOff>
    </xdr:to>
    <xdr:cxnSp macro="_xll.PtreeEvent_ObjectClick">
      <xdr:nvCxnSpPr>
        <xdr:cNvPr id="1723" name="PTObj_DBranchHLine_1_427">
          <a:extLst>
            <a:ext uri="{FF2B5EF4-FFF2-40B4-BE49-F238E27FC236}">
              <a16:creationId xmlns:a16="http://schemas.microsoft.com/office/drawing/2014/main" id="{606E666E-31CE-4819-AB36-DE2674239B73}"/>
            </a:ext>
          </a:extLst>
        </xdr:cNvPr>
        <xdr:cNvCxnSpPr/>
      </xdr:nvCxnSpPr>
      <xdr:spPr>
        <a:xfrm>
          <a:off x="17206720" y="156174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860</xdr:row>
      <xdr:rowOff>167965</xdr:rowOff>
    </xdr:from>
    <xdr:to>
      <xdr:col>9</xdr:col>
      <xdr:colOff>204595</xdr:colOff>
      <xdr:row>862</xdr:row>
      <xdr:rowOff>173992</xdr:rowOff>
    </xdr:to>
    <xdr:cxnSp macro="_xll.PtreeEvent_ObjectClick">
      <xdr:nvCxnSpPr>
        <xdr:cNvPr id="1722" name="PTObj_DBranchDLine_1_427">
          <a:extLst>
            <a:ext uri="{FF2B5EF4-FFF2-40B4-BE49-F238E27FC236}">
              <a16:creationId xmlns:a16="http://schemas.microsoft.com/office/drawing/2014/main" id="{8E0F39B2-9078-4E60-9396-56D8F487B3BC}"/>
            </a:ext>
          </a:extLst>
        </xdr:cNvPr>
        <xdr:cNvCxnSpPr/>
      </xdr:nvCxnSpPr>
      <xdr:spPr>
        <a:xfrm>
          <a:off x="17054320" y="1558064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860</xdr:row>
      <xdr:rowOff>170185</xdr:rowOff>
    </xdr:from>
    <xdr:to>
      <xdr:col>8</xdr:col>
      <xdr:colOff>1392681</xdr:colOff>
      <xdr:row>860</xdr:row>
      <xdr:rowOff>170185</xdr:rowOff>
    </xdr:to>
    <xdr:cxnSp macro="_xll.PtreeEvent_ObjectClick">
      <xdr:nvCxnSpPr>
        <xdr:cNvPr id="1719" name="PTObj_DBranchHLine_1_426">
          <a:extLst>
            <a:ext uri="{FF2B5EF4-FFF2-40B4-BE49-F238E27FC236}">
              <a16:creationId xmlns:a16="http://schemas.microsoft.com/office/drawing/2014/main" id="{83C9B841-4F73-4CE3-B008-A8CFDD7A94E4}"/>
            </a:ext>
          </a:extLst>
        </xdr:cNvPr>
        <xdr:cNvCxnSpPr/>
      </xdr:nvCxnSpPr>
      <xdr:spPr>
        <a:xfrm>
          <a:off x="15782734" y="155808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858</xdr:row>
      <xdr:rowOff>161292</xdr:rowOff>
    </xdr:from>
    <xdr:to>
      <xdr:col>8</xdr:col>
      <xdr:colOff>209359</xdr:colOff>
      <xdr:row>860</xdr:row>
      <xdr:rowOff>170185</xdr:rowOff>
    </xdr:to>
    <xdr:cxnSp macro="_xll.PtreeEvent_ObjectClick">
      <xdr:nvCxnSpPr>
        <xdr:cNvPr id="1718" name="PTObj_DBranchDLine_1_426">
          <a:extLst>
            <a:ext uri="{FF2B5EF4-FFF2-40B4-BE49-F238E27FC236}">
              <a16:creationId xmlns:a16="http://schemas.microsoft.com/office/drawing/2014/main" id="{8610DA2F-0DAA-4EAD-AB40-38FF5543EABC}"/>
            </a:ext>
          </a:extLst>
        </xdr:cNvPr>
        <xdr:cNvCxnSpPr/>
      </xdr:nvCxnSpPr>
      <xdr:spPr>
        <a:xfrm>
          <a:off x="15630334" y="1554378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856</xdr:row>
      <xdr:rowOff>162558</xdr:rowOff>
    </xdr:from>
    <xdr:to>
      <xdr:col>11</xdr:col>
      <xdr:colOff>1392682</xdr:colOff>
      <xdr:row>856</xdr:row>
      <xdr:rowOff>162558</xdr:rowOff>
    </xdr:to>
    <xdr:cxnSp macro="_xll.PtreeEvent_ObjectClick">
      <xdr:nvCxnSpPr>
        <xdr:cNvPr id="1715" name="PTObj_DBranchHLine_1_424">
          <a:extLst>
            <a:ext uri="{FF2B5EF4-FFF2-40B4-BE49-F238E27FC236}">
              <a16:creationId xmlns:a16="http://schemas.microsoft.com/office/drawing/2014/main" id="{9AA1049E-DDED-47F0-B726-CE5BDEAE0942}"/>
            </a:ext>
          </a:extLst>
        </xdr:cNvPr>
        <xdr:cNvCxnSpPr/>
      </xdr:nvCxnSpPr>
      <xdr:spPr>
        <a:xfrm>
          <a:off x="20056601" y="1550771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854</xdr:row>
      <xdr:rowOff>146050</xdr:rowOff>
    </xdr:from>
    <xdr:to>
      <xdr:col>11</xdr:col>
      <xdr:colOff>196976</xdr:colOff>
      <xdr:row>856</xdr:row>
      <xdr:rowOff>162558</xdr:rowOff>
    </xdr:to>
    <xdr:cxnSp macro="_xll.PtreeEvent_ObjectClick">
      <xdr:nvCxnSpPr>
        <xdr:cNvPr id="1714" name="PTObj_DBranchDLine_1_424">
          <a:extLst>
            <a:ext uri="{FF2B5EF4-FFF2-40B4-BE49-F238E27FC236}">
              <a16:creationId xmlns:a16="http://schemas.microsoft.com/office/drawing/2014/main" id="{D9ACB347-3DC1-41D4-947F-0F03721D6A0D}"/>
            </a:ext>
          </a:extLst>
        </xdr:cNvPr>
        <xdr:cNvCxnSpPr/>
      </xdr:nvCxnSpPr>
      <xdr:spPr>
        <a:xfrm>
          <a:off x="19904201" y="1546987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854</xdr:row>
      <xdr:rowOff>158750</xdr:rowOff>
    </xdr:from>
    <xdr:to>
      <xdr:col>10</xdr:col>
      <xdr:colOff>1392681</xdr:colOff>
      <xdr:row>854</xdr:row>
      <xdr:rowOff>158750</xdr:rowOff>
    </xdr:to>
    <xdr:cxnSp macro="_xll.PtreeEvent_ObjectClick">
      <xdr:nvCxnSpPr>
        <xdr:cNvPr id="1711" name="PTObj_DBranchHLine_1_423">
          <a:extLst>
            <a:ext uri="{FF2B5EF4-FFF2-40B4-BE49-F238E27FC236}">
              <a16:creationId xmlns:a16="http://schemas.microsoft.com/office/drawing/2014/main" id="{027425A6-D5FF-41B0-874D-CD640A5CA801}"/>
            </a:ext>
          </a:extLst>
        </xdr:cNvPr>
        <xdr:cNvCxnSpPr/>
      </xdr:nvCxnSpPr>
      <xdr:spPr>
        <a:xfrm>
          <a:off x="18628804" y="154711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852</xdr:row>
      <xdr:rowOff>143185</xdr:rowOff>
    </xdr:from>
    <xdr:to>
      <xdr:col>10</xdr:col>
      <xdr:colOff>197929</xdr:colOff>
      <xdr:row>854</xdr:row>
      <xdr:rowOff>158750</xdr:rowOff>
    </xdr:to>
    <xdr:cxnSp macro="_xll.PtreeEvent_ObjectClick">
      <xdr:nvCxnSpPr>
        <xdr:cNvPr id="1710" name="PTObj_DBranchDLine_1_423">
          <a:extLst>
            <a:ext uri="{FF2B5EF4-FFF2-40B4-BE49-F238E27FC236}">
              <a16:creationId xmlns:a16="http://schemas.microsoft.com/office/drawing/2014/main" id="{CD77B78D-C5AA-4A42-B425-79C494880FA8}"/>
            </a:ext>
          </a:extLst>
        </xdr:cNvPr>
        <xdr:cNvCxnSpPr/>
      </xdr:nvCxnSpPr>
      <xdr:spPr>
        <a:xfrm>
          <a:off x="18476404" y="1543338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852</xdr:row>
      <xdr:rowOff>154942</xdr:rowOff>
    </xdr:from>
    <xdr:to>
      <xdr:col>9</xdr:col>
      <xdr:colOff>1388870</xdr:colOff>
      <xdr:row>852</xdr:row>
      <xdr:rowOff>154942</xdr:rowOff>
    </xdr:to>
    <xdr:cxnSp macro="_xll.PtreeEvent_ObjectClick">
      <xdr:nvCxnSpPr>
        <xdr:cNvPr id="1707" name="PTObj_DBranchHLine_1_422">
          <a:extLst>
            <a:ext uri="{FF2B5EF4-FFF2-40B4-BE49-F238E27FC236}">
              <a16:creationId xmlns:a16="http://schemas.microsoft.com/office/drawing/2014/main" id="{120C7133-C0F5-4037-8082-55938F68CDBC}"/>
            </a:ext>
          </a:extLst>
        </xdr:cNvPr>
        <xdr:cNvCxnSpPr/>
      </xdr:nvCxnSpPr>
      <xdr:spPr>
        <a:xfrm>
          <a:off x="17206720" y="154345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850</xdr:row>
      <xdr:rowOff>142242</xdr:rowOff>
    </xdr:from>
    <xdr:to>
      <xdr:col>9</xdr:col>
      <xdr:colOff>204595</xdr:colOff>
      <xdr:row>852</xdr:row>
      <xdr:rowOff>154942</xdr:rowOff>
    </xdr:to>
    <xdr:cxnSp macro="_xll.PtreeEvent_ObjectClick">
      <xdr:nvCxnSpPr>
        <xdr:cNvPr id="1706" name="PTObj_DBranchDLine_1_422">
          <a:extLst>
            <a:ext uri="{FF2B5EF4-FFF2-40B4-BE49-F238E27FC236}">
              <a16:creationId xmlns:a16="http://schemas.microsoft.com/office/drawing/2014/main" id="{609B8E97-83C3-4435-B65E-DDFB585C0D10}"/>
            </a:ext>
          </a:extLst>
        </xdr:cNvPr>
        <xdr:cNvCxnSpPr/>
      </xdr:nvCxnSpPr>
      <xdr:spPr>
        <a:xfrm>
          <a:off x="17054320" y="153970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850</xdr:row>
      <xdr:rowOff>151135</xdr:rowOff>
    </xdr:from>
    <xdr:to>
      <xdr:col>8</xdr:col>
      <xdr:colOff>1392681</xdr:colOff>
      <xdr:row>850</xdr:row>
      <xdr:rowOff>151135</xdr:rowOff>
    </xdr:to>
    <xdr:cxnSp macro="_xll.PtreeEvent_ObjectClick">
      <xdr:nvCxnSpPr>
        <xdr:cNvPr id="1703" name="PTObj_DBranchHLine_1_421">
          <a:extLst>
            <a:ext uri="{FF2B5EF4-FFF2-40B4-BE49-F238E27FC236}">
              <a16:creationId xmlns:a16="http://schemas.microsoft.com/office/drawing/2014/main" id="{0C361C70-524B-4345-895A-C4273A4B9DAE}"/>
            </a:ext>
          </a:extLst>
        </xdr:cNvPr>
        <xdr:cNvCxnSpPr/>
      </xdr:nvCxnSpPr>
      <xdr:spPr>
        <a:xfrm>
          <a:off x="15782734" y="153979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850</xdr:row>
      <xdr:rowOff>151135</xdr:rowOff>
    </xdr:from>
    <xdr:to>
      <xdr:col>8</xdr:col>
      <xdr:colOff>209359</xdr:colOff>
      <xdr:row>858</xdr:row>
      <xdr:rowOff>161292</xdr:rowOff>
    </xdr:to>
    <xdr:cxnSp macro="_xll.PtreeEvent_ObjectClick">
      <xdr:nvCxnSpPr>
        <xdr:cNvPr id="1702" name="PTObj_DBranchDLine_1_421">
          <a:extLst>
            <a:ext uri="{FF2B5EF4-FFF2-40B4-BE49-F238E27FC236}">
              <a16:creationId xmlns:a16="http://schemas.microsoft.com/office/drawing/2014/main" id="{C7928F72-1FC7-4308-885C-004FB1898F8D}"/>
            </a:ext>
          </a:extLst>
        </xdr:cNvPr>
        <xdr:cNvCxnSpPr/>
      </xdr:nvCxnSpPr>
      <xdr:spPr>
        <a:xfrm flipV="1">
          <a:off x="15630334" y="1539798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858</xdr:row>
      <xdr:rowOff>166365</xdr:rowOff>
    </xdr:from>
    <xdr:to>
      <xdr:col>7</xdr:col>
      <xdr:colOff>1398397</xdr:colOff>
      <xdr:row>858</xdr:row>
      <xdr:rowOff>166365</xdr:rowOff>
    </xdr:to>
    <xdr:cxnSp macro="_xll.PtreeEvent_ObjectClick">
      <xdr:nvCxnSpPr>
        <xdr:cNvPr id="1699" name="PTObj_DBranchHLine_1_425">
          <a:extLst>
            <a:ext uri="{FF2B5EF4-FFF2-40B4-BE49-F238E27FC236}">
              <a16:creationId xmlns:a16="http://schemas.microsoft.com/office/drawing/2014/main" id="{27C46903-380C-4E48-8195-1416DC4DE738}"/>
            </a:ext>
          </a:extLst>
        </xdr:cNvPr>
        <xdr:cNvCxnSpPr/>
      </xdr:nvCxnSpPr>
      <xdr:spPr>
        <a:xfrm>
          <a:off x="14360652" y="1554429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858</xdr:row>
      <xdr:rowOff>166365</xdr:rowOff>
    </xdr:from>
    <xdr:to>
      <xdr:col>7</xdr:col>
      <xdr:colOff>216027</xdr:colOff>
      <xdr:row>868</xdr:row>
      <xdr:rowOff>180342</xdr:rowOff>
    </xdr:to>
    <xdr:cxnSp macro="_xll.PtreeEvent_ObjectClick">
      <xdr:nvCxnSpPr>
        <xdr:cNvPr id="1698" name="PTObj_DBranchDLine_1_425">
          <a:extLst>
            <a:ext uri="{FF2B5EF4-FFF2-40B4-BE49-F238E27FC236}">
              <a16:creationId xmlns:a16="http://schemas.microsoft.com/office/drawing/2014/main" id="{8D83BAD1-030A-479F-9A31-6678AD0453B7}"/>
            </a:ext>
          </a:extLst>
        </xdr:cNvPr>
        <xdr:cNvCxnSpPr/>
      </xdr:nvCxnSpPr>
      <xdr:spPr>
        <a:xfrm flipV="1">
          <a:off x="14208252" y="1554429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869</xdr:row>
      <xdr:rowOff>4440</xdr:rowOff>
    </xdr:from>
    <xdr:to>
      <xdr:col>6</xdr:col>
      <xdr:colOff>1402207</xdr:colOff>
      <xdr:row>869</xdr:row>
      <xdr:rowOff>4440</xdr:rowOff>
    </xdr:to>
    <xdr:cxnSp macro="_xll.PtreeEvent_ObjectClick">
      <xdr:nvCxnSpPr>
        <xdr:cNvPr id="1695" name="PTObj_DBranchHLine_1_430">
          <a:extLst>
            <a:ext uri="{FF2B5EF4-FFF2-40B4-BE49-F238E27FC236}">
              <a16:creationId xmlns:a16="http://schemas.microsoft.com/office/drawing/2014/main" id="{E3D6DEED-B6B8-4833-AA9B-CA08941F8A05}"/>
            </a:ext>
          </a:extLst>
        </xdr:cNvPr>
        <xdr:cNvCxnSpPr/>
      </xdr:nvCxnSpPr>
      <xdr:spPr>
        <a:xfrm>
          <a:off x="12936665" y="1572717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848</xdr:row>
      <xdr:rowOff>144152</xdr:rowOff>
    </xdr:from>
    <xdr:to>
      <xdr:col>6</xdr:col>
      <xdr:colOff>220790</xdr:colOff>
      <xdr:row>869</xdr:row>
      <xdr:rowOff>4440</xdr:rowOff>
    </xdr:to>
    <xdr:cxnSp macro="_xll.PtreeEvent_ObjectClick">
      <xdr:nvCxnSpPr>
        <xdr:cNvPr id="1694" name="PTObj_DBranchDLine_1_430">
          <a:extLst>
            <a:ext uri="{FF2B5EF4-FFF2-40B4-BE49-F238E27FC236}">
              <a16:creationId xmlns:a16="http://schemas.microsoft.com/office/drawing/2014/main" id="{2485F180-FF49-4E65-9196-BFCD27BD9FBA}"/>
            </a:ext>
          </a:extLst>
        </xdr:cNvPr>
        <xdr:cNvCxnSpPr/>
      </xdr:nvCxnSpPr>
      <xdr:spPr>
        <a:xfrm>
          <a:off x="12784265" y="153610952"/>
          <a:ext cx="152400" cy="366076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846</xdr:row>
      <xdr:rowOff>143508</xdr:rowOff>
    </xdr:from>
    <xdr:to>
      <xdr:col>11</xdr:col>
      <xdr:colOff>1385063</xdr:colOff>
      <xdr:row>846</xdr:row>
      <xdr:rowOff>143508</xdr:rowOff>
    </xdr:to>
    <xdr:cxnSp macro="_xll.PtreeEvent_ObjectClick">
      <xdr:nvCxnSpPr>
        <xdr:cNvPr id="1691" name="PTObj_DBranchHLine_1_419">
          <a:extLst>
            <a:ext uri="{FF2B5EF4-FFF2-40B4-BE49-F238E27FC236}">
              <a16:creationId xmlns:a16="http://schemas.microsoft.com/office/drawing/2014/main" id="{58841501-BA25-4D82-80CB-BF252FA1D3E2}"/>
            </a:ext>
          </a:extLst>
        </xdr:cNvPr>
        <xdr:cNvCxnSpPr/>
      </xdr:nvCxnSpPr>
      <xdr:spPr>
        <a:xfrm>
          <a:off x="20056601" y="153248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844</xdr:row>
      <xdr:rowOff>137468</xdr:rowOff>
    </xdr:from>
    <xdr:to>
      <xdr:col>11</xdr:col>
      <xdr:colOff>196976</xdr:colOff>
      <xdr:row>846</xdr:row>
      <xdr:rowOff>143508</xdr:rowOff>
    </xdr:to>
    <xdr:cxnSp macro="_xll.PtreeEvent_ObjectClick">
      <xdr:nvCxnSpPr>
        <xdr:cNvPr id="1690" name="PTObj_DBranchDLine_1_419">
          <a:extLst>
            <a:ext uri="{FF2B5EF4-FFF2-40B4-BE49-F238E27FC236}">
              <a16:creationId xmlns:a16="http://schemas.microsoft.com/office/drawing/2014/main" id="{05D23262-2DC8-4CFC-A7BD-2B1652F9B1F9}"/>
            </a:ext>
          </a:extLst>
        </xdr:cNvPr>
        <xdr:cNvCxnSpPr/>
      </xdr:nvCxnSpPr>
      <xdr:spPr>
        <a:xfrm>
          <a:off x="19904201" y="1528803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844</xdr:row>
      <xdr:rowOff>139700</xdr:rowOff>
    </xdr:from>
    <xdr:to>
      <xdr:col>10</xdr:col>
      <xdr:colOff>1392681</xdr:colOff>
      <xdr:row>844</xdr:row>
      <xdr:rowOff>139700</xdr:rowOff>
    </xdr:to>
    <xdr:cxnSp macro="_xll.PtreeEvent_ObjectClick">
      <xdr:nvCxnSpPr>
        <xdr:cNvPr id="1687" name="PTObj_DBranchHLine_1_418">
          <a:extLst>
            <a:ext uri="{FF2B5EF4-FFF2-40B4-BE49-F238E27FC236}">
              <a16:creationId xmlns:a16="http://schemas.microsoft.com/office/drawing/2014/main" id="{7EF5029B-07DA-41B5-B0A5-48FF98D7848C}"/>
            </a:ext>
          </a:extLst>
        </xdr:cNvPr>
        <xdr:cNvCxnSpPr/>
      </xdr:nvCxnSpPr>
      <xdr:spPr>
        <a:xfrm>
          <a:off x="18628804" y="152882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842</xdr:row>
      <xdr:rowOff>135582</xdr:rowOff>
    </xdr:from>
    <xdr:to>
      <xdr:col>10</xdr:col>
      <xdr:colOff>197929</xdr:colOff>
      <xdr:row>844</xdr:row>
      <xdr:rowOff>139700</xdr:rowOff>
    </xdr:to>
    <xdr:cxnSp macro="_xll.PtreeEvent_ObjectClick">
      <xdr:nvCxnSpPr>
        <xdr:cNvPr id="1686" name="PTObj_DBranchDLine_1_418">
          <a:extLst>
            <a:ext uri="{FF2B5EF4-FFF2-40B4-BE49-F238E27FC236}">
              <a16:creationId xmlns:a16="http://schemas.microsoft.com/office/drawing/2014/main" id="{1CDFFDA1-C7E6-4BCE-BEC6-CCC6C70F558B}"/>
            </a:ext>
          </a:extLst>
        </xdr:cNvPr>
        <xdr:cNvCxnSpPr/>
      </xdr:nvCxnSpPr>
      <xdr:spPr>
        <a:xfrm>
          <a:off x="18476404" y="1525165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842</xdr:row>
      <xdr:rowOff>135892</xdr:rowOff>
    </xdr:from>
    <xdr:to>
      <xdr:col>9</xdr:col>
      <xdr:colOff>1388870</xdr:colOff>
      <xdr:row>842</xdr:row>
      <xdr:rowOff>135892</xdr:rowOff>
    </xdr:to>
    <xdr:cxnSp macro="_xll.PtreeEvent_ObjectClick">
      <xdr:nvCxnSpPr>
        <xdr:cNvPr id="1683" name="PTObj_DBranchHLine_1_417">
          <a:extLst>
            <a:ext uri="{FF2B5EF4-FFF2-40B4-BE49-F238E27FC236}">
              <a16:creationId xmlns:a16="http://schemas.microsoft.com/office/drawing/2014/main" id="{8374B0BC-D479-4417-808B-A21C51EE205F}"/>
            </a:ext>
          </a:extLst>
        </xdr:cNvPr>
        <xdr:cNvCxnSpPr/>
      </xdr:nvCxnSpPr>
      <xdr:spPr>
        <a:xfrm>
          <a:off x="17206720" y="152516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840</xdr:row>
      <xdr:rowOff>129865</xdr:rowOff>
    </xdr:from>
    <xdr:to>
      <xdr:col>9</xdr:col>
      <xdr:colOff>204595</xdr:colOff>
      <xdr:row>842</xdr:row>
      <xdr:rowOff>135892</xdr:rowOff>
    </xdr:to>
    <xdr:cxnSp macro="_xll.PtreeEvent_ObjectClick">
      <xdr:nvCxnSpPr>
        <xdr:cNvPr id="1682" name="PTObj_DBranchDLine_1_417">
          <a:extLst>
            <a:ext uri="{FF2B5EF4-FFF2-40B4-BE49-F238E27FC236}">
              <a16:creationId xmlns:a16="http://schemas.microsoft.com/office/drawing/2014/main" id="{002F30B2-86FE-4623-B2E1-A0F90AA67D25}"/>
            </a:ext>
          </a:extLst>
        </xdr:cNvPr>
        <xdr:cNvCxnSpPr/>
      </xdr:nvCxnSpPr>
      <xdr:spPr>
        <a:xfrm>
          <a:off x="17054320" y="1521488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840</xdr:row>
      <xdr:rowOff>132085</xdr:rowOff>
    </xdr:from>
    <xdr:to>
      <xdr:col>8</xdr:col>
      <xdr:colOff>1392681</xdr:colOff>
      <xdr:row>840</xdr:row>
      <xdr:rowOff>132085</xdr:rowOff>
    </xdr:to>
    <xdr:cxnSp macro="_xll.PtreeEvent_ObjectClick">
      <xdr:nvCxnSpPr>
        <xdr:cNvPr id="1679" name="PTObj_DBranchHLine_1_416">
          <a:extLst>
            <a:ext uri="{FF2B5EF4-FFF2-40B4-BE49-F238E27FC236}">
              <a16:creationId xmlns:a16="http://schemas.microsoft.com/office/drawing/2014/main" id="{77B69778-2A26-4669-AB0B-FAD91EC97F6E}"/>
            </a:ext>
          </a:extLst>
        </xdr:cNvPr>
        <xdr:cNvCxnSpPr/>
      </xdr:nvCxnSpPr>
      <xdr:spPr>
        <a:xfrm>
          <a:off x="15782734" y="152151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838</xdr:row>
      <xdr:rowOff>123192</xdr:rowOff>
    </xdr:from>
    <xdr:to>
      <xdr:col>8</xdr:col>
      <xdr:colOff>209359</xdr:colOff>
      <xdr:row>840</xdr:row>
      <xdr:rowOff>132085</xdr:rowOff>
    </xdr:to>
    <xdr:cxnSp macro="_xll.PtreeEvent_ObjectClick">
      <xdr:nvCxnSpPr>
        <xdr:cNvPr id="1678" name="PTObj_DBranchDLine_1_416">
          <a:extLst>
            <a:ext uri="{FF2B5EF4-FFF2-40B4-BE49-F238E27FC236}">
              <a16:creationId xmlns:a16="http://schemas.microsoft.com/office/drawing/2014/main" id="{D69331A4-F7B0-42EA-B4D3-1F8E45DEC139}"/>
            </a:ext>
          </a:extLst>
        </xdr:cNvPr>
        <xdr:cNvCxnSpPr/>
      </xdr:nvCxnSpPr>
      <xdr:spPr>
        <a:xfrm>
          <a:off x="15630334" y="1517802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836</xdr:row>
      <xdr:rowOff>124458</xdr:rowOff>
    </xdr:from>
    <xdr:to>
      <xdr:col>11</xdr:col>
      <xdr:colOff>1392682</xdr:colOff>
      <xdr:row>836</xdr:row>
      <xdr:rowOff>124458</xdr:rowOff>
    </xdr:to>
    <xdr:cxnSp macro="_xll.PtreeEvent_ObjectClick">
      <xdr:nvCxnSpPr>
        <xdr:cNvPr id="1675" name="PTObj_DBranchHLine_1_414">
          <a:extLst>
            <a:ext uri="{FF2B5EF4-FFF2-40B4-BE49-F238E27FC236}">
              <a16:creationId xmlns:a16="http://schemas.microsoft.com/office/drawing/2014/main" id="{E29FA982-A5FD-47E2-94F6-6E58AC57512B}"/>
            </a:ext>
          </a:extLst>
        </xdr:cNvPr>
        <xdr:cNvCxnSpPr/>
      </xdr:nvCxnSpPr>
      <xdr:spPr>
        <a:xfrm>
          <a:off x="20056601" y="1514195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834</xdr:row>
      <xdr:rowOff>107950</xdr:rowOff>
    </xdr:from>
    <xdr:to>
      <xdr:col>11</xdr:col>
      <xdr:colOff>196976</xdr:colOff>
      <xdr:row>836</xdr:row>
      <xdr:rowOff>124458</xdr:rowOff>
    </xdr:to>
    <xdr:cxnSp macro="_xll.PtreeEvent_ObjectClick">
      <xdr:nvCxnSpPr>
        <xdr:cNvPr id="1674" name="PTObj_DBranchDLine_1_414">
          <a:extLst>
            <a:ext uri="{FF2B5EF4-FFF2-40B4-BE49-F238E27FC236}">
              <a16:creationId xmlns:a16="http://schemas.microsoft.com/office/drawing/2014/main" id="{9DA564B6-FBB0-4823-935A-74B389A852D6}"/>
            </a:ext>
          </a:extLst>
        </xdr:cNvPr>
        <xdr:cNvCxnSpPr/>
      </xdr:nvCxnSpPr>
      <xdr:spPr>
        <a:xfrm>
          <a:off x="19904201" y="1510411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834</xdr:row>
      <xdr:rowOff>120650</xdr:rowOff>
    </xdr:from>
    <xdr:to>
      <xdr:col>10</xdr:col>
      <xdr:colOff>1392681</xdr:colOff>
      <xdr:row>834</xdr:row>
      <xdr:rowOff>120650</xdr:rowOff>
    </xdr:to>
    <xdr:cxnSp macro="_xll.PtreeEvent_ObjectClick">
      <xdr:nvCxnSpPr>
        <xdr:cNvPr id="1671" name="PTObj_DBranchHLine_1_413">
          <a:extLst>
            <a:ext uri="{FF2B5EF4-FFF2-40B4-BE49-F238E27FC236}">
              <a16:creationId xmlns:a16="http://schemas.microsoft.com/office/drawing/2014/main" id="{9C6D4EF9-D10F-46C0-8B09-7F341557E03B}"/>
            </a:ext>
          </a:extLst>
        </xdr:cNvPr>
        <xdr:cNvCxnSpPr/>
      </xdr:nvCxnSpPr>
      <xdr:spPr>
        <a:xfrm>
          <a:off x="18628804" y="151053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832</xdr:row>
      <xdr:rowOff>105085</xdr:rowOff>
    </xdr:from>
    <xdr:to>
      <xdr:col>10</xdr:col>
      <xdr:colOff>197929</xdr:colOff>
      <xdr:row>834</xdr:row>
      <xdr:rowOff>120650</xdr:rowOff>
    </xdr:to>
    <xdr:cxnSp macro="_xll.PtreeEvent_ObjectClick">
      <xdr:nvCxnSpPr>
        <xdr:cNvPr id="1670" name="PTObj_DBranchDLine_1_413">
          <a:extLst>
            <a:ext uri="{FF2B5EF4-FFF2-40B4-BE49-F238E27FC236}">
              <a16:creationId xmlns:a16="http://schemas.microsoft.com/office/drawing/2014/main" id="{6BAB6D73-DDCD-4368-A7D8-BFCD6D50F15F}"/>
            </a:ext>
          </a:extLst>
        </xdr:cNvPr>
        <xdr:cNvCxnSpPr/>
      </xdr:nvCxnSpPr>
      <xdr:spPr>
        <a:xfrm>
          <a:off x="18476404" y="150676285"/>
          <a:ext cx="152400" cy="377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832</xdr:row>
      <xdr:rowOff>116842</xdr:rowOff>
    </xdr:from>
    <xdr:to>
      <xdr:col>9</xdr:col>
      <xdr:colOff>1388870</xdr:colOff>
      <xdr:row>832</xdr:row>
      <xdr:rowOff>116842</xdr:rowOff>
    </xdr:to>
    <xdr:cxnSp macro="_xll.PtreeEvent_ObjectClick">
      <xdr:nvCxnSpPr>
        <xdr:cNvPr id="1667" name="PTObj_DBranchHLine_1_412">
          <a:extLst>
            <a:ext uri="{FF2B5EF4-FFF2-40B4-BE49-F238E27FC236}">
              <a16:creationId xmlns:a16="http://schemas.microsoft.com/office/drawing/2014/main" id="{B7B5BDC1-2A05-4941-AB0B-6F42A53F3009}"/>
            </a:ext>
          </a:extLst>
        </xdr:cNvPr>
        <xdr:cNvCxnSpPr/>
      </xdr:nvCxnSpPr>
      <xdr:spPr>
        <a:xfrm>
          <a:off x="17206720" y="150688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830</xdr:row>
      <xdr:rowOff>104142</xdr:rowOff>
    </xdr:from>
    <xdr:to>
      <xdr:col>9</xdr:col>
      <xdr:colOff>204595</xdr:colOff>
      <xdr:row>832</xdr:row>
      <xdr:rowOff>116842</xdr:rowOff>
    </xdr:to>
    <xdr:cxnSp macro="_xll.PtreeEvent_ObjectClick">
      <xdr:nvCxnSpPr>
        <xdr:cNvPr id="1666" name="PTObj_DBranchDLine_1_412">
          <a:extLst>
            <a:ext uri="{FF2B5EF4-FFF2-40B4-BE49-F238E27FC236}">
              <a16:creationId xmlns:a16="http://schemas.microsoft.com/office/drawing/2014/main" id="{3955A0FA-D79B-4B75-B998-5C32ACF14A67}"/>
            </a:ext>
          </a:extLst>
        </xdr:cNvPr>
        <xdr:cNvCxnSpPr/>
      </xdr:nvCxnSpPr>
      <xdr:spPr>
        <a:xfrm>
          <a:off x="17054320" y="1503133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830</xdr:row>
      <xdr:rowOff>113035</xdr:rowOff>
    </xdr:from>
    <xdr:to>
      <xdr:col>8</xdr:col>
      <xdr:colOff>1392681</xdr:colOff>
      <xdr:row>830</xdr:row>
      <xdr:rowOff>113035</xdr:rowOff>
    </xdr:to>
    <xdr:cxnSp macro="_xll.PtreeEvent_ObjectClick">
      <xdr:nvCxnSpPr>
        <xdr:cNvPr id="1663" name="PTObj_DBranchHLine_1_411">
          <a:extLst>
            <a:ext uri="{FF2B5EF4-FFF2-40B4-BE49-F238E27FC236}">
              <a16:creationId xmlns:a16="http://schemas.microsoft.com/office/drawing/2014/main" id="{72FF3829-EB86-467D-A117-C02E324264A0}"/>
            </a:ext>
          </a:extLst>
        </xdr:cNvPr>
        <xdr:cNvCxnSpPr/>
      </xdr:nvCxnSpPr>
      <xdr:spPr>
        <a:xfrm>
          <a:off x="15782734" y="150322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830</xdr:row>
      <xdr:rowOff>113035</xdr:rowOff>
    </xdr:from>
    <xdr:to>
      <xdr:col>8</xdr:col>
      <xdr:colOff>209359</xdr:colOff>
      <xdr:row>838</xdr:row>
      <xdr:rowOff>123192</xdr:rowOff>
    </xdr:to>
    <xdr:cxnSp macro="_xll.PtreeEvent_ObjectClick">
      <xdr:nvCxnSpPr>
        <xdr:cNvPr id="1662" name="PTObj_DBranchDLine_1_411">
          <a:extLst>
            <a:ext uri="{FF2B5EF4-FFF2-40B4-BE49-F238E27FC236}">
              <a16:creationId xmlns:a16="http://schemas.microsoft.com/office/drawing/2014/main" id="{697EF6B8-AF74-4FB3-8469-C9C2DA1D2172}"/>
            </a:ext>
          </a:extLst>
        </xdr:cNvPr>
        <xdr:cNvCxnSpPr/>
      </xdr:nvCxnSpPr>
      <xdr:spPr>
        <a:xfrm flipV="1">
          <a:off x="15630334" y="1503222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838</xdr:row>
      <xdr:rowOff>128265</xdr:rowOff>
    </xdr:from>
    <xdr:to>
      <xdr:col>7</xdr:col>
      <xdr:colOff>1398397</xdr:colOff>
      <xdr:row>838</xdr:row>
      <xdr:rowOff>128265</xdr:rowOff>
    </xdr:to>
    <xdr:cxnSp macro="_xll.PtreeEvent_ObjectClick">
      <xdr:nvCxnSpPr>
        <xdr:cNvPr id="1659" name="PTObj_DBranchHLine_1_415">
          <a:extLst>
            <a:ext uri="{FF2B5EF4-FFF2-40B4-BE49-F238E27FC236}">
              <a16:creationId xmlns:a16="http://schemas.microsoft.com/office/drawing/2014/main" id="{20242558-B5FD-4916-A28D-E2DC98805704}"/>
            </a:ext>
          </a:extLst>
        </xdr:cNvPr>
        <xdr:cNvCxnSpPr/>
      </xdr:nvCxnSpPr>
      <xdr:spPr>
        <a:xfrm>
          <a:off x="14362557" y="1517853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828</xdr:row>
      <xdr:rowOff>106052</xdr:rowOff>
    </xdr:from>
    <xdr:to>
      <xdr:col>7</xdr:col>
      <xdr:colOff>217932</xdr:colOff>
      <xdr:row>838</xdr:row>
      <xdr:rowOff>128265</xdr:rowOff>
    </xdr:to>
    <xdr:cxnSp macro="_xll.PtreeEvent_ObjectClick">
      <xdr:nvCxnSpPr>
        <xdr:cNvPr id="1658" name="PTObj_DBranchDLine_1_415">
          <a:extLst>
            <a:ext uri="{FF2B5EF4-FFF2-40B4-BE49-F238E27FC236}">
              <a16:creationId xmlns:a16="http://schemas.microsoft.com/office/drawing/2014/main" id="{8EE393A4-D2F9-4CD7-A76D-E1305EA19C5E}"/>
            </a:ext>
          </a:extLst>
        </xdr:cNvPr>
        <xdr:cNvCxnSpPr/>
      </xdr:nvCxnSpPr>
      <xdr:spPr>
        <a:xfrm>
          <a:off x="14210157" y="149953352"/>
          <a:ext cx="152400" cy="183196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826</xdr:row>
      <xdr:rowOff>105408</xdr:rowOff>
    </xdr:from>
    <xdr:to>
      <xdr:col>11</xdr:col>
      <xdr:colOff>1385063</xdr:colOff>
      <xdr:row>826</xdr:row>
      <xdr:rowOff>105408</xdr:rowOff>
    </xdr:to>
    <xdr:cxnSp macro="_xll.PtreeEvent_ObjectClick">
      <xdr:nvCxnSpPr>
        <xdr:cNvPr id="1655" name="PTObj_DBranchHLine_1_409">
          <a:extLst>
            <a:ext uri="{FF2B5EF4-FFF2-40B4-BE49-F238E27FC236}">
              <a16:creationId xmlns:a16="http://schemas.microsoft.com/office/drawing/2014/main" id="{13256E55-FF18-4AFB-B180-2B4E30B71574}"/>
            </a:ext>
          </a:extLst>
        </xdr:cNvPr>
        <xdr:cNvCxnSpPr/>
      </xdr:nvCxnSpPr>
      <xdr:spPr>
        <a:xfrm>
          <a:off x="20056601" y="149590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824</xdr:row>
      <xdr:rowOff>99368</xdr:rowOff>
    </xdr:from>
    <xdr:to>
      <xdr:col>11</xdr:col>
      <xdr:colOff>196976</xdr:colOff>
      <xdr:row>826</xdr:row>
      <xdr:rowOff>105408</xdr:rowOff>
    </xdr:to>
    <xdr:cxnSp macro="_xll.PtreeEvent_ObjectClick">
      <xdr:nvCxnSpPr>
        <xdr:cNvPr id="1654" name="PTObj_DBranchDLine_1_409">
          <a:extLst>
            <a:ext uri="{FF2B5EF4-FFF2-40B4-BE49-F238E27FC236}">
              <a16:creationId xmlns:a16="http://schemas.microsoft.com/office/drawing/2014/main" id="{BA7A058C-125C-49EF-BD35-621167207957}"/>
            </a:ext>
          </a:extLst>
        </xdr:cNvPr>
        <xdr:cNvCxnSpPr/>
      </xdr:nvCxnSpPr>
      <xdr:spPr>
        <a:xfrm>
          <a:off x="19904201" y="149222768"/>
          <a:ext cx="152400" cy="36799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824</xdr:row>
      <xdr:rowOff>101600</xdr:rowOff>
    </xdr:from>
    <xdr:to>
      <xdr:col>10</xdr:col>
      <xdr:colOff>1392681</xdr:colOff>
      <xdr:row>824</xdr:row>
      <xdr:rowOff>101600</xdr:rowOff>
    </xdr:to>
    <xdr:cxnSp macro="_xll.PtreeEvent_ObjectClick">
      <xdr:nvCxnSpPr>
        <xdr:cNvPr id="1651" name="PTObj_DBranchHLine_1_408">
          <a:extLst>
            <a:ext uri="{FF2B5EF4-FFF2-40B4-BE49-F238E27FC236}">
              <a16:creationId xmlns:a16="http://schemas.microsoft.com/office/drawing/2014/main" id="{6F79891F-07E9-4948-B87D-DA223955F091}"/>
            </a:ext>
          </a:extLst>
        </xdr:cNvPr>
        <xdr:cNvCxnSpPr/>
      </xdr:nvCxnSpPr>
      <xdr:spPr>
        <a:xfrm>
          <a:off x="18628804" y="149225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822</xdr:row>
      <xdr:rowOff>97482</xdr:rowOff>
    </xdr:from>
    <xdr:to>
      <xdr:col>10</xdr:col>
      <xdr:colOff>197929</xdr:colOff>
      <xdr:row>824</xdr:row>
      <xdr:rowOff>101600</xdr:rowOff>
    </xdr:to>
    <xdr:cxnSp macro="_xll.PtreeEvent_ObjectClick">
      <xdr:nvCxnSpPr>
        <xdr:cNvPr id="1650" name="PTObj_DBranchDLine_1_408">
          <a:extLst>
            <a:ext uri="{FF2B5EF4-FFF2-40B4-BE49-F238E27FC236}">
              <a16:creationId xmlns:a16="http://schemas.microsoft.com/office/drawing/2014/main" id="{7EFB2BCA-B96D-4489-8E1F-20E4E506C80D}"/>
            </a:ext>
          </a:extLst>
        </xdr:cNvPr>
        <xdr:cNvCxnSpPr/>
      </xdr:nvCxnSpPr>
      <xdr:spPr>
        <a:xfrm>
          <a:off x="18476404" y="1488589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822</xdr:row>
      <xdr:rowOff>97792</xdr:rowOff>
    </xdr:from>
    <xdr:to>
      <xdr:col>9</xdr:col>
      <xdr:colOff>1388870</xdr:colOff>
      <xdr:row>822</xdr:row>
      <xdr:rowOff>97792</xdr:rowOff>
    </xdr:to>
    <xdr:cxnSp macro="_xll.PtreeEvent_ObjectClick">
      <xdr:nvCxnSpPr>
        <xdr:cNvPr id="1647" name="PTObj_DBranchHLine_1_407">
          <a:extLst>
            <a:ext uri="{FF2B5EF4-FFF2-40B4-BE49-F238E27FC236}">
              <a16:creationId xmlns:a16="http://schemas.microsoft.com/office/drawing/2014/main" id="{87C9D615-3235-4AF4-BE7C-455A0408070F}"/>
            </a:ext>
          </a:extLst>
        </xdr:cNvPr>
        <xdr:cNvCxnSpPr/>
      </xdr:nvCxnSpPr>
      <xdr:spPr>
        <a:xfrm>
          <a:off x="17206720" y="148859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820</xdr:row>
      <xdr:rowOff>91765</xdr:rowOff>
    </xdr:from>
    <xdr:to>
      <xdr:col>9</xdr:col>
      <xdr:colOff>204595</xdr:colOff>
      <xdr:row>822</xdr:row>
      <xdr:rowOff>97792</xdr:rowOff>
    </xdr:to>
    <xdr:cxnSp macro="_xll.PtreeEvent_ObjectClick">
      <xdr:nvCxnSpPr>
        <xdr:cNvPr id="1646" name="PTObj_DBranchDLine_1_407">
          <a:extLst>
            <a:ext uri="{FF2B5EF4-FFF2-40B4-BE49-F238E27FC236}">
              <a16:creationId xmlns:a16="http://schemas.microsoft.com/office/drawing/2014/main" id="{C3BB62DC-F039-475E-A4D5-E63439B4A949}"/>
            </a:ext>
          </a:extLst>
        </xdr:cNvPr>
        <xdr:cNvCxnSpPr/>
      </xdr:nvCxnSpPr>
      <xdr:spPr>
        <a:xfrm>
          <a:off x="17054320" y="1484912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820</xdr:row>
      <xdr:rowOff>93985</xdr:rowOff>
    </xdr:from>
    <xdr:to>
      <xdr:col>8</xdr:col>
      <xdr:colOff>1392681</xdr:colOff>
      <xdr:row>820</xdr:row>
      <xdr:rowOff>93985</xdr:rowOff>
    </xdr:to>
    <xdr:cxnSp macro="_xll.PtreeEvent_ObjectClick">
      <xdr:nvCxnSpPr>
        <xdr:cNvPr id="1643" name="PTObj_DBranchHLine_1_406">
          <a:extLst>
            <a:ext uri="{FF2B5EF4-FFF2-40B4-BE49-F238E27FC236}">
              <a16:creationId xmlns:a16="http://schemas.microsoft.com/office/drawing/2014/main" id="{04909031-2B89-4BC9-8117-049927861AF2}"/>
            </a:ext>
          </a:extLst>
        </xdr:cNvPr>
        <xdr:cNvCxnSpPr/>
      </xdr:nvCxnSpPr>
      <xdr:spPr>
        <a:xfrm>
          <a:off x="15782734" y="148493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818</xdr:row>
      <xdr:rowOff>84150</xdr:rowOff>
    </xdr:from>
    <xdr:to>
      <xdr:col>8</xdr:col>
      <xdr:colOff>209359</xdr:colOff>
      <xdr:row>820</xdr:row>
      <xdr:rowOff>93985</xdr:rowOff>
    </xdr:to>
    <xdr:cxnSp macro="_xll.PtreeEvent_ObjectClick">
      <xdr:nvCxnSpPr>
        <xdr:cNvPr id="1642" name="PTObj_DBranchDLine_1_406">
          <a:extLst>
            <a:ext uri="{FF2B5EF4-FFF2-40B4-BE49-F238E27FC236}">
              <a16:creationId xmlns:a16="http://schemas.microsoft.com/office/drawing/2014/main" id="{1ED3F9AB-5683-4D1A-8307-A7D902528F3A}"/>
            </a:ext>
          </a:extLst>
        </xdr:cNvPr>
        <xdr:cNvCxnSpPr/>
      </xdr:nvCxnSpPr>
      <xdr:spPr>
        <a:xfrm>
          <a:off x="15630334" y="148121700"/>
          <a:ext cx="152400" cy="37178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816</xdr:row>
      <xdr:rowOff>86358</xdr:rowOff>
    </xdr:from>
    <xdr:to>
      <xdr:col>11</xdr:col>
      <xdr:colOff>1385063</xdr:colOff>
      <xdr:row>816</xdr:row>
      <xdr:rowOff>86358</xdr:rowOff>
    </xdr:to>
    <xdr:cxnSp macro="_xll.PtreeEvent_ObjectClick">
      <xdr:nvCxnSpPr>
        <xdr:cNvPr id="1639" name="PTObj_DBranchHLine_1_404">
          <a:extLst>
            <a:ext uri="{FF2B5EF4-FFF2-40B4-BE49-F238E27FC236}">
              <a16:creationId xmlns:a16="http://schemas.microsoft.com/office/drawing/2014/main" id="{F5AE1A83-ACA9-4830-976F-44C30B55D6EB}"/>
            </a:ext>
          </a:extLst>
        </xdr:cNvPr>
        <xdr:cNvCxnSpPr/>
      </xdr:nvCxnSpPr>
      <xdr:spPr>
        <a:xfrm>
          <a:off x="20056601" y="147761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814</xdr:row>
      <xdr:rowOff>73658</xdr:rowOff>
    </xdr:from>
    <xdr:to>
      <xdr:col>11</xdr:col>
      <xdr:colOff>196976</xdr:colOff>
      <xdr:row>816</xdr:row>
      <xdr:rowOff>86358</xdr:rowOff>
    </xdr:to>
    <xdr:cxnSp macro="_xll.PtreeEvent_ObjectClick">
      <xdr:nvCxnSpPr>
        <xdr:cNvPr id="1638" name="PTObj_DBranchDLine_1_404">
          <a:extLst>
            <a:ext uri="{FF2B5EF4-FFF2-40B4-BE49-F238E27FC236}">
              <a16:creationId xmlns:a16="http://schemas.microsoft.com/office/drawing/2014/main" id="{C771D816-43D1-4A12-9571-BEC5B722F807}"/>
            </a:ext>
          </a:extLst>
        </xdr:cNvPr>
        <xdr:cNvCxnSpPr/>
      </xdr:nvCxnSpPr>
      <xdr:spPr>
        <a:xfrm>
          <a:off x="19904201" y="1473873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814</xdr:row>
      <xdr:rowOff>82550</xdr:rowOff>
    </xdr:from>
    <xdr:to>
      <xdr:col>10</xdr:col>
      <xdr:colOff>1392681</xdr:colOff>
      <xdr:row>814</xdr:row>
      <xdr:rowOff>82550</xdr:rowOff>
    </xdr:to>
    <xdr:cxnSp macro="_xll.PtreeEvent_ObjectClick">
      <xdr:nvCxnSpPr>
        <xdr:cNvPr id="1635" name="PTObj_DBranchHLine_1_403">
          <a:extLst>
            <a:ext uri="{FF2B5EF4-FFF2-40B4-BE49-F238E27FC236}">
              <a16:creationId xmlns:a16="http://schemas.microsoft.com/office/drawing/2014/main" id="{EFD1BBB2-509C-46CD-9459-40675A1E82E0}"/>
            </a:ext>
          </a:extLst>
        </xdr:cNvPr>
        <xdr:cNvCxnSpPr/>
      </xdr:nvCxnSpPr>
      <xdr:spPr>
        <a:xfrm>
          <a:off x="18628804" y="147396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812</xdr:row>
      <xdr:rowOff>77477</xdr:rowOff>
    </xdr:from>
    <xdr:to>
      <xdr:col>10</xdr:col>
      <xdr:colOff>197929</xdr:colOff>
      <xdr:row>814</xdr:row>
      <xdr:rowOff>82550</xdr:rowOff>
    </xdr:to>
    <xdr:cxnSp macro="_xll.PtreeEvent_ObjectClick">
      <xdr:nvCxnSpPr>
        <xdr:cNvPr id="1634" name="PTObj_DBranchDLine_1_403">
          <a:extLst>
            <a:ext uri="{FF2B5EF4-FFF2-40B4-BE49-F238E27FC236}">
              <a16:creationId xmlns:a16="http://schemas.microsoft.com/office/drawing/2014/main" id="{9B31E6C8-DA25-4733-896B-DBA881B35843}"/>
            </a:ext>
          </a:extLst>
        </xdr:cNvPr>
        <xdr:cNvCxnSpPr/>
      </xdr:nvCxnSpPr>
      <xdr:spPr>
        <a:xfrm>
          <a:off x="18476404" y="1470291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812</xdr:row>
      <xdr:rowOff>78742</xdr:rowOff>
    </xdr:from>
    <xdr:to>
      <xdr:col>9</xdr:col>
      <xdr:colOff>1388870</xdr:colOff>
      <xdr:row>812</xdr:row>
      <xdr:rowOff>78742</xdr:rowOff>
    </xdr:to>
    <xdr:cxnSp macro="_xll.PtreeEvent_ObjectClick">
      <xdr:nvCxnSpPr>
        <xdr:cNvPr id="1631" name="PTObj_DBranchHLine_1_402">
          <a:extLst>
            <a:ext uri="{FF2B5EF4-FFF2-40B4-BE49-F238E27FC236}">
              <a16:creationId xmlns:a16="http://schemas.microsoft.com/office/drawing/2014/main" id="{CDF5566F-B02E-4683-ACC6-22CD699FB69E}"/>
            </a:ext>
          </a:extLst>
        </xdr:cNvPr>
        <xdr:cNvCxnSpPr/>
      </xdr:nvCxnSpPr>
      <xdr:spPr>
        <a:xfrm>
          <a:off x="17206720" y="147030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810</xdr:row>
      <xdr:rowOff>73658</xdr:rowOff>
    </xdr:from>
    <xdr:to>
      <xdr:col>9</xdr:col>
      <xdr:colOff>204595</xdr:colOff>
      <xdr:row>812</xdr:row>
      <xdr:rowOff>78742</xdr:rowOff>
    </xdr:to>
    <xdr:cxnSp macro="_xll.PtreeEvent_ObjectClick">
      <xdr:nvCxnSpPr>
        <xdr:cNvPr id="1630" name="PTObj_DBranchDLine_1_402">
          <a:extLst>
            <a:ext uri="{FF2B5EF4-FFF2-40B4-BE49-F238E27FC236}">
              <a16:creationId xmlns:a16="http://schemas.microsoft.com/office/drawing/2014/main" id="{AB8D3EFE-0C5B-4864-967E-524CACD20B84}"/>
            </a:ext>
          </a:extLst>
        </xdr:cNvPr>
        <xdr:cNvCxnSpPr/>
      </xdr:nvCxnSpPr>
      <xdr:spPr>
        <a:xfrm>
          <a:off x="17054320" y="1466634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810</xdr:row>
      <xdr:rowOff>74935</xdr:rowOff>
    </xdr:from>
    <xdr:to>
      <xdr:col>8</xdr:col>
      <xdr:colOff>1392681</xdr:colOff>
      <xdr:row>810</xdr:row>
      <xdr:rowOff>74935</xdr:rowOff>
    </xdr:to>
    <xdr:cxnSp macro="_xll.PtreeEvent_ObjectClick">
      <xdr:nvCxnSpPr>
        <xdr:cNvPr id="1627" name="PTObj_DBranchHLine_1_401">
          <a:extLst>
            <a:ext uri="{FF2B5EF4-FFF2-40B4-BE49-F238E27FC236}">
              <a16:creationId xmlns:a16="http://schemas.microsoft.com/office/drawing/2014/main" id="{73E50F41-3910-4EC2-9757-68B662B1D8B4}"/>
            </a:ext>
          </a:extLst>
        </xdr:cNvPr>
        <xdr:cNvCxnSpPr/>
      </xdr:nvCxnSpPr>
      <xdr:spPr>
        <a:xfrm>
          <a:off x="15782734" y="146664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810</xdr:row>
      <xdr:rowOff>74935</xdr:rowOff>
    </xdr:from>
    <xdr:to>
      <xdr:col>8</xdr:col>
      <xdr:colOff>209359</xdr:colOff>
      <xdr:row>818</xdr:row>
      <xdr:rowOff>84150</xdr:rowOff>
    </xdr:to>
    <xdr:cxnSp macro="_xll.PtreeEvent_ObjectClick">
      <xdr:nvCxnSpPr>
        <xdr:cNvPr id="1626" name="PTObj_DBranchDLine_1_401">
          <a:extLst>
            <a:ext uri="{FF2B5EF4-FFF2-40B4-BE49-F238E27FC236}">
              <a16:creationId xmlns:a16="http://schemas.microsoft.com/office/drawing/2014/main" id="{C4FB2682-357F-40A9-9660-358ABA8C4F83}"/>
            </a:ext>
          </a:extLst>
        </xdr:cNvPr>
        <xdr:cNvCxnSpPr/>
      </xdr:nvCxnSpPr>
      <xdr:spPr>
        <a:xfrm flipV="1">
          <a:off x="15630334" y="146664685"/>
          <a:ext cx="152400" cy="14570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818</xdr:row>
      <xdr:rowOff>90165</xdr:rowOff>
    </xdr:from>
    <xdr:to>
      <xdr:col>7</xdr:col>
      <xdr:colOff>1398397</xdr:colOff>
      <xdr:row>818</xdr:row>
      <xdr:rowOff>90165</xdr:rowOff>
    </xdr:to>
    <xdr:cxnSp macro="_xll.PtreeEvent_ObjectClick">
      <xdr:nvCxnSpPr>
        <xdr:cNvPr id="1623" name="PTObj_DBranchHLine_1_405">
          <a:extLst>
            <a:ext uri="{FF2B5EF4-FFF2-40B4-BE49-F238E27FC236}">
              <a16:creationId xmlns:a16="http://schemas.microsoft.com/office/drawing/2014/main" id="{7B3BBCAA-DCE5-43FA-91CE-5B7096386166}"/>
            </a:ext>
          </a:extLst>
        </xdr:cNvPr>
        <xdr:cNvCxnSpPr/>
      </xdr:nvCxnSpPr>
      <xdr:spPr>
        <a:xfrm>
          <a:off x="14360652" y="1481277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818</xdr:row>
      <xdr:rowOff>90165</xdr:rowOff>
    </xdr:from>
    <xdr:to>
      <xdr:col>7</xdr:col>
      <xdr:colOff>216027</xdr:colOff>
      <xdr:row>828</xdr:row>
      <xdr:rowOff>104142</xdr:rowOff>
    </xdr:to>
    <xdr:cxnSp macro="_xll.PtreeEvent_ObjectClick">
      <xdr:nvCxnSpPr>
        <xdr:cNvPr id="1622" name="PTObj_DBranchDLine_1_405">
          <a:extLst>
            <a:ext uri="{FF2B5EF4-FFF2-40B4-BE49-F238E27FC236}">
              <a16:creationId xmlns:a16="http://schemas.microsoft.com/office/drawing/2014/main" id="{D176CD02-594D-44CC-8BD1-8859EE13C4ED}"/>
            </a:ext>
          </a:extLst>
        </xdr:cNvPr>
        <xdr:cNvCxnSpPr/>
      </xdr:nvCxnSpPr>
      <xdr:spPr>
        <a:xfrm flipV="1">
          <a:off x="14208252" y="1481277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828</xdr:row>
      <xdr:rowOff>109215</xdr:rowOff>
    </xdr:from>
    <xdr:to>
      <xdr:col>6</xdr:col>
      <xdr:colOff>1402207</xdr:colOff>
      <xdr:row>828</xdr:row>
      <xdr:rowOff>109215</xdr:rowOff>
    </xdr:to>
    <xdr:cxnSp macro="_xll.PtreeEvent_ObjectClick">
      <xdr:nvCxnSpPr>
        <xdr:cNvPr id="1619" name="PTObj_DBranchHLine_1_410">
          <a:extLst>
            <a:ext uri="{FF2B5EF4-FFF2-40B4-BE49-F238E27FC236}">
              <a16:creationId xmlns:a16="http://schemas.microsoft.com/office/drawing/2014/main" id="{E32A4471-2242-4DA8-A934-3E42A624632D}"/>
            </a:ext>
          </a:extLst>
        </xdr:cNvPr>
        <xdr:cNvCxnSpPr/>
      </xdr:nvCxnSpPr>
      <xdr:spPr>
        <a:xfrm>
          <a:off x="12938569" y="1499565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828</xdr:row>
      <xdr:rowOff>109215</xdr:rowOff>
    </xdr:from>
    <xdr:to>
      <xdr:col>6</xdr:col>
      <xdr:colOff>222694</xdr:colOff>
      <xdr:row>848</xdr:row>
      <xdr:rowOff>142242</xdr:rowOff>
    </xdr:to>
    <xdr:cxnSp macro="_xll.PtreeEvent_ObjectClick">
      <xdr:nvCxnSpPr>
        <xdr:cNvPr id="1618" name="PTObj_DBranchDLine_1_410">
          <a:extLst>
            <a:ext uri="{FF2B5EF4-FFF2-40B4-BE49-F238E27FC236}">
              <a16:creationId xmlns:a16="http://schemas.microsoft.com/office/drawing/2014/main" id="{AACBC415-32A2-4187-BAC4-88538DC9AF7F}"/>
            </a:ext>
          </a:extLst>
        </xdr:cNvPr>
        <xdr:cNvCxnSpPr/>
      </xdr:nvCxnSpPr>
      <xdr:spPr>
        <a:xfrm flipV="1">
          <a:off x="12786169" y="149956515"/>
          <a:ext cx="152400" cy="3652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848</xdr:row>
      <xdr:rowOff>147315</xdr:rowOff>
    </xdr:from>
    <xdr:to>
      <xdr:col>5</xdr:col>
      <xdr:colOff>1407922</xdr:colOff>
      <xdr:row>848</xdr:row>
      <xdr:rowOff>147315</xdr:rowOff>
    </xdr:to>
    <xdr:cxnSp macro="_xll.PtreeEvent_ObjectClick">
      <xdr:nvCxnSpPr>
        <xdr:cNvPr id="1615" name="PTObj_DBranchHLine_1_420">
          <a:extLst>
            <a:ext uri="{FF2B5EF4-FFF2-40B4-BE49-F238E27FC236}">
              <a16:creationId xmlns:a16="http://schemas.microsoft.com/office/drawing/2014/main" id="{39F9006B-659C-4207-A036-EA8B089C2BA3}"/>
            </a:ext>
          </a:extLst>
        </xdr:cNvPr>
        <xdr:cNvCxnSpPr/>
      </xdr:nvCxnSpPr>
      <xdr:spPr>
        <a:xfrm>
          <a:off x="11510772" y="1536141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848</xdr:row>
      <xdr:rowOff>147315</xdr:rowOff>
    </xdr:from>
    <xdr:to>
      <xdr:col>5</xdr:col>
      <xdr:colOff>223647</xdr:colOff>
      <xdr:row>889</xdr:row>
      <xdr:rowOff>37467</xdr:rowOff>
    </xdr:to>
    <xdr:cxnSp macro="_xll.PtreeEvent_ObjectClick">
      <xdr:nvCxnSpPr>
        <xdr:cNvPr id="1614" name="PTObj_DBranchDLine_1_420">
          <a:extLst>
            <a:ext uri="{FF2B5EF4-FFF2-40B4-BE49-F238E27FC236}">
              <a16:creationId xmlns:a16="http://schemas.microsoft.com/office/drawing/2014/main" id="{8F0C3992-ABA5-496D-B7AC-ED466B807498}"/>
            </a:ext>
          </a:extLst>
        </xdr:cNvPr>
        <xdr:cNvCxnSpPr/>
      </xdr:nvCxnSpPr>
      <xdr:spPr>
        <a:xfrm flipV="1">
          <a:off x="11358372" y="153614115"/>
          <a:ext cx="152400" cy="73101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889</xdr:row>
      <xdr:rowOff>42540</xdr:rowOff>
    </xdr:from>
    <xdr:to>
      <xdr:col>4</xdr:col>
      <xdr:colOff>1411732</xdr:colOff>
      <xdr:row>889</xdr:row>
      <xdr:rowOff>42540</xdr:rowOff>
    </xdr:to>
    <xdr:cxnSp macro="_xll.PtreeEvent_ObjectClick">
      <xdr:nvCxnSpPr>
        <xdr:cNvPr id="1611" name="PTObj_DBranchHLine_1_440">
          <a:extLst>
            <a:ext uri="{FF2B5EF4-FFF2-40B4-BE49-F238E27FC236}">
              <a16:creationId xmlns:a16="http://schemas.microsoft.com/office/drawing/2014/main" id="{881B5F85-52E3-46FD-8788-FD52305CC7A7}"/>
            </a:ext>
          </a:extLst>
        </xdr:cNvPr>
        <xdr:cNvCxnSpPr/>
      </xdr:nvCxnSpPr>
      <xdr:spPr>
        <a:xfrm>
          <a:off x="10086785" y="16092931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808</xdr:row>
      <xdr:rowOff>71772</xdr:rowOff>
    </xdr:from>
    <xdr:to>
      <xdr:col>4</xdr:col>
      <xdr:colOff>228410</xdr:colOff>
      <xdr:row>889</xdr:row>
      <xdr:rowOff>42540</xdr:rowOff>
    </xdr:to>
    <xdr:cxnSp macro="_xll.PtreeEvent_ObjectClick">
      <xdr:nvCxnSpPr>
        <xdr:cNvPr id="1610" name="PTObj_DBranchDLine_1_440">
          <a:extLst>
            <a:ext uri="{FF2B5EF4-FFF2-40B4-BE49-F238E27FC236}">
              <a16:creationId xmlns:a16="http://schemas.microsoft.com/office/drawing/2014/main" id="{2D67970D-4F81-4E94-B2FA-FAE43E528984}"/>
            </a:ext>
          </a:extLst>
        </xdr:cNvPr>
        <xdr:cNvCxnSpPr/>
      </xdr:nvCxnSpPr>
      <xdr:spPr>
        <a:xfrm>
          <a:off x="9934385" y="146299572"/>
          <a:ext cx="152400" cy="146297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806</xdr:row>
      <xdr:rowOff>67308</xdr:rowOff>
    </xdr:from>
    <xdr:to>
      <xdr:col>11</xdr:col>
      <xdr:colOff>1384111</xdr:colOff>
      <xdr:row>806</xdr:row>
      <xdr:rowOff>67308</xdr:rowOff>
    </xdr:to>
    <xdr:cxnSp macro="_xll.PtreeEvent_ObjectClick">
      <xdr:nvCxnSpPr>
        <xdr:cNvPr id="1607" name="PTObj_DBranchHLine_1_399">
          <a:extLst>
            <a:ext uri="{FF2B5EF4-FFF2-40B4-BE49-F238E27FC236}">
              <a16:creationId xmlns:a16="http://schemas.microsoft.com/office/drawing/2014/main" id="{0D959B69-6BAF-4FF0-8C6C-025487DCFE23}"/>
            </a:ext>
          </a:extLst>
        </xdr:cNvPr>
        <xdr:cNvCxnSpPr/>
      </xdr:nvCxnSpPr>
      <xdr:spPr>
        <a:xfrm>
          <a:off x="20056601" y="1459331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804</xdr:row>
      <xdr:rowOff>58415</xdr:rowOff>
    </xdr:from>
    <xdr:to>
      <xdr:col>11</xdr:col>
      <xdr:colOff>196976</xdr:colOff>
      <xdr:row>806</xdr:row>
      <xdr:rowOff>67308</xdr:rowOff>
    </xdr:to>
    <xdr:cxnSp macro="_xll.PtreeEvent_ObjectClick">
      <xdr:nvCxnSpPr>
        <xdr:cNvPr id="1606" name="PTObj_DBranchDLine_1_399">
          <a:extLst>
            <a:ext uri="{FF2B5EF4-FFF2-40B4-BE49-F238E27FC236}">
              <a16:creationId xmlns:a16="http://schemas.microsoft.com/office/drawing/2014/main" id="{C734241B-44AD-48C6-A7F4-057C291C065A}"/>
            </a:ext>
          </a:extLst>
        </xdr:cNvPr>
        <xdr:cNvCxnSpPr/>
      </xdr:nvCxnSpPr>
      <xdr:spPr>
        <a:xfrm>
          <a:off x="19904201" y="1455623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804</xdr:row>
      <xdr:rowOff>63500</xdr:rowOff>
    </xdr:from>
    <xdr:to>
      <xdr:col>10</xdr:col>
      <xdr:colOff>1392681</xdr:colOff>
      <xdr:row>804</xdr:row>
      <xdr:rowOff>63500</xdr:rowOff>
    </xdr:to>
    <xdr:cxnSp macro="_xll.PtreeEvent_ObjectClick">
      <xdr:nvCxnSpPr>
        <xdr:cNvPr id="1603" name="PTObj_DBranchHLine_1_398">
          <a:extLst>
            <a:ext uri="{FF2B5EF4-FFF2-40B4-BE49-F238E27FC236}">
              <a16:creationId xmlns:a16="http://schemas.microsoft.com/office/drawing/2014/main" id="{32480687-C033-4EE3-B467-DB676E987BE2}"/>
            </a:ext>
          </a:extLst>
        </xdr:cNvPr>
        <xdr:cNvCxnSpPr/>
      </xdr:nvCxnSpPr>
      <xdr:spPr>
        <a:xfrm>
          <a:off x="18628804" y="145567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802</xdr:row>
      <xdr:rowOff>54620</xdr:rowOff>
    </xdr:from>
    <xdr:to>
      <xdr:col>10</xdr:col>
      <xdr:colOff>197929</xdr:colOff>
      <xdr:row>804</xdr:row>
      <xdr:rowOff>63500</xdr:rowOff>
    </xdr:to>
    <xdr:cxnSp macro="_xll.PtreeEvent_ObjectClick">
      <xdr:nvCxnSpPr>
        <xdr:cNvPr id="1602" name="PTObj_DBranchDLine_1_398">
          <a:extLst>
            <a:ext uri="{FF2B5EF4-FFF2-40B4-BE49-F238E27FC236}">
              <a16:creationId xmlns:a16="http://schemas.microsoft.com/office/drawing/2014/main" id="{F2CD6ABE-29CA-4CE8-B94A-BE57C536944B}"/>
            </a:ext>
          </a:extLst>
        </xdr:cNvPr>
        <xdr:cNvCxnSpPr/>
      </xdr:nvCxnSpPr>
      <xdr:spPr>
        <a:xfrm>
          <a:off x="18476404" y="1451965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802</xdr:row>
      <xdr:rowOff>59692</xdr:rowOff>
    </xdr:from>
    <xdr:to>
      <xdr:col>9</xdr:col>
      <xdr:colOff>1388870</xdr:colOff>
      <xdr:row>802</xdr:row>
      <xdr:rowOff>59692</xdr:rowOff>
    </xdr:to>
    <xdr:cxnSp macro="_xll.PtreeEvent_ObjectClick">
      <xdr:nvCxnSpPr>
        <xdr:cNvPr id="1599" name="PTObj_DBranchHLine_1_397">
          <a:extLst>
            <a:ext uri="{FF2B5EF4-FFF2-40B4-BE49-F238E27FC236}">
              <a16:creationId xmlns:a16="http://schemas.microsoft.com/office/drawing/2014/main" id="{BE9BD347-2C0A-4F28-BD76-0F13CE5A8E87}"/>
            </a:ext>
          </a:extLst>
        </xdr:cNvPr>
        <xdr:cNvCxnSpPr/>
      </xdr:nvCxnSpPr>
      <xdr:spPr>
        <a:xfrm>
          <a:off x="17206720" y="145201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800</xdr:row>
      <xdr:rowOff>47005</xdr:rowOff>
    </xdr:from>
    <xdr:to>
      <xdr:col>9</xdr:col>
      <xdr:colOff>204595</xdr:colOff>
      <xdr:row>802</xdr:row>
      <xdr:rowOff>59692</xdr:rowOff>
    </xdr:to>
    <xdr:cxnSp macro="_xll.PtreeEvent_ObjectClick">
      <xdr:nvCxnSpPr>
        <xdr:cNvPr id="1598" name="PTObj_DBranchDLine_1_397">
          <a:extLst>
            <a:ext uri="{FF2B5EF4-FFF2-40B4-BE49-F238E27FC236}">
              <a16:creationId xmlns:a16="http://schemas.microsoft.com/office/drawing/2014/main" id="{83A16BEB-53CD-4260-B224-878FB54A9E31}"/>
            </a:ext>
          </a:extLst>
        </xdr:cNvPr>
        <xdr:cNvCxnSpPr/>
      </xdr:nvCxnSpPr>
      <xdr:spPr>
        <a:xfrm>
          <a:off x="17054320" y="1448270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800</xdr:row>
      <xdr:rowOff>55885</xdr:rowOff>
    </xdr:from>
    <xdr:to>
      <xdr:col>8</xdr:col>
      <xdr:colOff>1392681</xdr:colOff>
      <xdr:row>800</xdr:row>
      <xdr:rowOff>55885</xdr:rowOff>
    </xdr:to>
    <xdr:cxnSp macro="_xll.PtreeEvent_ObjectClick">
      <xdr:nvCxnSpPr>
        <xdr:cNvPr id="1595" name="PTObj_DBranchHLine_1_396">
          <a:extLst>
            <a:ext uri="{FF2B5EF4-FFF2-40B4-BE49-F238E27FC236}">
              <a16:creationId xmlns:a16="http://schemas.microsoft.com/office/drawing/2014/main" id="{7293B220-46F2-4D46-97A9-37417EC8641A}"/>
            </a:ext>
          </a:extLst>
        </xdr:cNvPr>
        <xdr:cNvCxnSpPr/>
      </xdr:nvCxnSpPr>
      <xdr:spPr>
        <a:xfrm>
          <a:off x="15782734" y="144835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798</xdr:row>
      <xdr:rowOff>42242</xdr:rowOff>
    </xdr:from>
    <xdr:to>
      <xdr:col>8</xdr:col>
      <xdr:colOff>209359</xdr:colOff>
      <xdr:row>800</xdr:row>
      <xdr:rowOff>55885</xdr:rowOff>
    </xdr:to>
    <xdr:cxnSp macro="_xll.PtreeEvent_ObjectClick">
      <xdr:nvCxnSpPr>
        <xdr:cNvPr id="1594" name="PTObj_DBranchDLine_1_396">
          <a:extLst>
            <a:ext uri="{FF2B5EF4-FFF2-40B4-BE49-F238E27FC236}">
              <a16:creationId xmlns:a16="http://schemas.microsoft.com/office/drawing/2014/main" id="{BA4576D3-5419-4204-B9CE-A04182942EE5}"/>
            </a:ext>
          </a:extLst>
        </xdr:cNvPr>
        <xdr:cNvCxnSpPr/>
      </xdr:nvCxnSpPr>
      <xdr:spPr>
        <a:xfrm>
          <a:off x="15630334" y="1444602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796</xdr:row>
      <xdr:rowOff>48258</xdr:rowOff>
    </xdr:from>
    <xdr:to>
      <xdr:col>11</xdr:col>
      <xdr:colOff>1385063</xdr:colOff>
      <xdr:row>796</xdr:row>
      <xdr:rowOff>48258</xdr:rowOff>
    </xdr:to>
    <xdr:cxnSp macro="_xll.PtreeEvent_ObjectClick">
      <xdr:nvCxnSpPr>
        <xdr:cNvPr id="1591" name="PTObj_DBranchHLine_1_394">
          <a:extLst>
            <a:ext uri="{FF2B5EF4-FFF2-40B4-BE49-F238E27FC236}">
              <a16:creationId xmlns:a16="http://schemas.microsoft.com/office/drawing/2014/main" id="{B544B7F8-28D2-4EED-B4DB-7131174BBFDD}"/>
            </a:ext>
          </a:extLst>
        </xdr:cNvPr>
        <xdr:cNvCxnSpPr/>
      </xdr:nvCxnSpPr>
      <xdr:spPr>
        <a:xfrm>
          <a:off x="20056601" y="144104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794</xdr:row>
      <xdr:rowOff>35558</xdr:rowOff>
    </xdr:from>
    <xdr:to>
      <xdr:col>11</xdr:col>
      <xdr:colOff>196976</xdr:colOff>
      <xdr:row>796</xdr:row>
      <xdr:rowOff>48258</xdr:rowOff>
    </xdr:to>
    <xdr:cxnSp macro="_xll.PtreeEvent_ObjectClick">
      <xdr:nvCxnSpPr>
        <xdr:cNvPr id="1590" name="PTObj_DBranchDLine_1_394">
          <a:extLst>
            <a:ext uri="{FF2B5EF4-FFF2-40B4-BE49-F238E27FC236}">
              <a16:creationId xmlns:a16="http://schemas.microsoft.com/office/drawing/2014/main" id="{47C40324-CD04-4CB9-9050-A53C648BB840}"/>
            </a:ext>
          </a:extLst>
        </xdr:cNvPr>
        <xdr:cNvCxnSpPr/>
      </xdr:nvCxnSpPr>
      <xdr:spPr>
        <a:xfrm>
          <a:off x="19904201" y="1437297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794</xdr:row>
      <xdr:rowOff>44450</xdr:rowOff>
    </xdr:from>
    <xdr:to>
      <xdr:col>10</xdr:col>
      <xdr:colOff>1392681</xdr:colOff>
      <xdr:row>794</xdr:row>
      <xdr:rowOff>44450</xdr:rowOff>
    </xdr:to>
    <xdr:cxnSp macro="_xll.PtreeEvent_ObjectClick">
      <xdr:nvCxnSpPr>
        <xdr:cNvPr id="1587" name="PTObj_DBranchHLine_1_393">
          <a:extLst>
            <a:ext uri="{FF2B5EF4-FFF2-40B4-BE49-F238E27FC236}">
              <a16:creationId xmlns:a16="http://schemas.microsoft.com/office/drawing/2014/main" id="{ED86696B-5B75-4EF3-B5B6-881ED9451DC2}"/>
            </a:ext>
          </a:extLst>
        </xdr:cNvPr>
        <xdr:cNvCxnSpPr/>
      </xdr:nvCxnSpPr>
      <xdr:spPr>
        <a:xfrm>
          <a:off x="18628804" y="143738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792</xdr:row>
      <xdr:rowOff>39377</xdr:rowOff>
    </xdr:from>
    <xdr:to>
      <xdr:col>10</xdr:col>
      <xdr:colOff>197929</xdr:colOff>
      <xdr:row>794</xdr:row>
      <xdr:rowOff>44450</xdr:rowOff>
    </xdr:to>
    <xdr:cxnSp macro="_xll.PtreeEvent_ObjectClick">
      <xdr:nvCxnSpPr>
        <xdr:cNvPr id="1586" name="PTObj_DBranchDLine_1_393">
          <a:extLst>
            <a:ext uri="{FF2B5EF4-FFF2-40B4-BE49-F238E27FC236}">
              <a16:creationId xmlns:a16="http://schemas.microsoft.com/office/drawing/2014/main" id="{36A07A1E-9D60-4281-9CE2-B5B583AF00CC}"/>
            </a:ext>
          </a:extLst>
        </xdr:cNvPr>
        <xdr:cNvCxnSpPr/>
      </xdr:nvCxnSpPr>
      <xdr:spPr>
        <a:xfrm>
          <a:off x="18476404" y="1433715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792</xdr:row>
      <xdr:rowOff>40642</xdr:rowOff>
    </xdr:from>
    <xdr:to>
      <xdr:col>9</xdr:col>
      <xdr:colOff>1388870</xdr:colOff>
      <xdr:row>792</xdr:row>
      <xdr:rowOff>40642</xdr:rowOff>
    </xdr:to>
    <xdr:cxnSp macro="_xll.PtreeEvent_ObjectClick">
      <xdr:nvCxnSpPr>
        <xdr:cNvPr id="1583" name="PTObj_DBranchHLine_1_392">
          <a:extLst>
            <a:ext uri="{FF2B5EF4-FFF2-40B4-BE49-F238E27FC236}">
              <a16:creationId xmlns:a16="http://schemas.microsoft.com/office/drawing/2014/main" id="{807D83EF-5233-4875-A61B-72D0F5E44629}"/>
            </a:ext>
          </a:extLst>
        </xdr:cNvPr>
        <xdr:cNvCxnSpPr/>
      </xdr:nvCxnSpPr>
      <xdr:spPr>
        <a:xfrm>
          <a:off x="17206720" y="143372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790</xdr:row>
      <xdr:rowOff>35558</xdr:rowOff>
    </xdr:from>
    <xdr:to>
      <xdr:col>9</xdr:col>
      <xdr:colOff>204595</xdr:colOff>
      <xdr:row>792</xdr:row>
      <xdr:rowOff>40642</xdr:rowOff>
    </xdr:to>
    <xdr:cxnSp macro="_xll.PtreeEvent_ObjectClick">
      <xdr:nvCxnSpPr>
        <xdr:cNvPr id="1582" name="PTObj_DBranchDLine_1_392">
          <a:extLst>
            <a:ext uri="{FF2B5EF4-FFF2-40B4-BE49-F238E27FC236}">
              <a16:creationId xmlns:a16="http://schemas.microsoft.com/office/drawing/2014/main" id="{E7D86926-8F32-4C23-8001-99CF24E7D7FF}"/>
            </a:ext>
          </a:extLst>
        </xdr:cNvPr>
        <xdr:cNvCxnSpPr/>
      </xdr:nvCxnSpPr>
      <xdr:spPr>
        <a:xfrm>
          <a:off x="17054320" y="1430058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790</xdr:row>
      <xdr:rowOff>36835</xdr:rowOff>
    </xdr:from>
    <xdr:to>
      <xdr:col>8</xdr:col>
      <xdr:colOff>1392681</xdr:colOff>
      <xdr:row>790</xdr:row>
      <xdr:rowOff>36835</xdr:rowOff>
    </xdr:to>
    <xdr:cxnSp macro="_xll.PtreeEvent_ObjectClick">
      <xdr:nvCxnSpPr>
        <xdr:cNvPr id="1579" name="PTObj_DBranchHLine_1_391">
          <a:extLst>
            <a:ext uri="{FF2B5EF4-FFF2-40B4-BE49-F238E27FC236}">
              <a16:creationId xmlns:a16="http://schemas.microsoft.com/office/drawing/2014/main" id="{2C3FABE9-7D62-407E-9F92-0F4363487459}"/>
            </a:ext>
          </a:extLst>
        </xdr:cNvPr>
        <xdr:cNvCxnSpPr/>
      </xdr:nvCxnSpPr>
      <xdr:spPr>
        <a:xfrm>
          <a:off x="15782734" y="143007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790</xdr:row>
      <xdr:rowOff>36835</xdr:rowOff>
    </xdr:from>
    <xdr:to>
      <xdr:col>8</xdr:col>
      <xdr:colOff>209359</xdr:colOff>
      <xdr:row>798</xdr:row>
      <xdr:rowOff>42242</xdr:rowOff>
    </xdr:to>
    <xdr:cxnSp macro="_xll.PtreeEvent_ObjectClick">
      <xdr:nvCxnSpPr>
        <xdr:cNvPr id="1578" name="PTObj_DBranchDLine_1_391">
          <a:extLst>
            <a:ext uri="{FF2B5EF4-FFF2-40B4-BE49-F238E27FC236}">
              <a16:creationId xmlns:a16="http://schemas.microsoft.com/office/drawing/2014/main" id="{9461567C-AAAF-416D-BCBB-D9C18A55B2E3}"/>
            </a:ext>
          </a:extLst>
        </xdr:cNvPr>
        <xdr:cNvCxnSpPr/>
      </xdr:nvCxnSpPr>
      <xdr:spPr>
        <a:xfrm flipV="1">
          <a:off x="15630334" y="1430070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798</xdr:row>
      <xdr:rowOff>52065</xdr:rowOff>
    </xdr:from>
    <xdr:to>
      <xdr:col>7</xdr:col>
      <xdr:colOff>1398397</xdr:colOff>
      <xdr:row>798</xdr:row>
      <xdr:rowOff>52065</xdr:rowOff>
    </xdr:to>
    <xdr:cxnSp macro="_xll.PtreeEvent_ObjectClick">
      <xdr:nvCxnSpPr>
        <xdr:cNvPr id="1575" name="PTObj_DBranchHLine_1_395">
          <a:extLst>
            <a:ext uri="{FF2B5EF4-FFF2-40B4-BE49-F238E27FC236}">
              <a16:creationId xmlns:a16="http://schemas.microsoft.com/office/drawing/2014/main" id="{C93D4D5B-FC35-4968-BB87-CC7202B9F429}"/>
            </a:ext>
          </a:extLst>
        </xdr:cNvPr>
        <xdr:cNvCxnSpPr/>
      </xdr:nvCxnSpPr>
      <xdr:spPr>
        <a:xfrm>
          <a:off x="14362557" y="1444701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788</xdr:row>
      <xdr:rowOff>31762</xdr:rowOff>
    </xdr:from>
    <xdr:to>
      <xdr:col>7</xdr:col>
      <xdr:colOff>217932</xdr:colOff>
      <xdr:row>798</xdr:row>
      <xdr:rowOff>52065</xdr:rowOff>
    </xdr:to>
    <xdr:cxnSp macro="_xll.PtreeEvent_ObjectClick">
      <xdr:nvCxnSpPr>
        <xdr:cNvPr id="1574" name="PTObj_DBranchDLine_1_395">
          <a:extLst>
            <a:ext uri="{FF2B5EF4-FFF2-40B4-BE49-F238E27FC236}">
              <a16:creationId xmlns:a16="http://schemas.microsoft.com/office/drawing/2014/main" id="{95F74FCF-7D58-4917-8032-6E5723AA29A2}"/>
            </a:ext>
          </a:extLst>
        </xdr:cNvPr>
        <xdr:cNvCxnSpPr/>
      </xdr:nvCxnSpPr>
      <xdr:spPr>
        <a:xfrm>
          <a:off x="14210157" y="142640062"/>
          <a:ext cx="152400" cy="18300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786</xdr:row>
      <xdr:rowOff>29208</xdr:rowOff>
    </xdr:from>
    <xdr:to>
      <xdr:col>11</xdr:col>
      <xdr:colOff>1384111</xdr:colOff>
      <xdr:row>786</xdr:row>
      <xdr:rowOff>29208</xdr:rowOff>
    </xdr:to>
    <xdr:cxnSp macro="_xll.PtreeEvent_ObjectClick">
      <xdr:nvCxnSpPr>
        <xdr:cNvPr id="1571" name="PTObj_DBranchHLine_1_389">
          <a:extLst>
            <a:ext uri="{FF2B5EF4-FFF2-40B4-BE49-F238E27FC236}">
              <a16:creationId xmlns:a16="http://schemas.microsoft.com/office/drawing/2014/main" id="{154C8A24-DAE6-444C-B93C-AEBB6388A782}"/>
            </a:ext>
          </a:extLst>
        </xdr:cNvPr>
        <xdr:cNvCxnSpPr/>
      </xdr:nvCxnSpPr>
      <xdr:spPr>
        <a:xfrm>
          <a:off x="20056601" y="1422755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784</xdr:row>
      <xdr:rowOff>20315</xdr:rowOff>
    </xdr:from>
    <xdr:to>
      <xdr:col>11</xdr:col>
      <xdr:colOff>196976</xdr:colOff>
      <xdr:row>786</xdr:row>
      <xdr:rowOff>29208</xdr:rowOff>
    </xdr:to>
    <xdr:cxnSp macro="_xll.PtreeEvent_ObjectClick">
      <xdr:nvCxnSpPr>
        <xdr:cNvPr id="1570" name="PTObj_DBranchDLine_1_389">
          <a:extLst>
            <a:ext uri="{FF2B5EF4-FFF2-40B4-BE49-F238E27FC236}">
              <a16:creationId xmlns:a16="http://schemas.microsoft.com/office/drawing/2014/main" id="{6092FCE5-5E16-48E0-BFFC-4F5A39328D54}"/>
            </a:ext>
          </a:extLst>
        </xdr:cNvPr>
        <xdr:cNvCxnSpPr/>
      </xdr:nvCxnSpPr>
      <xdr:spPr>
        <a:xfrm>
          <a:off x="19904201" y="1419047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784</xdr:row>
      <xdr:rowOff>25400</xdr:rowOff>
    </xdr:from>
    <xdr:to>
      <xdr:col>10</xdr:col>
      <xdr:colOff>1392681</xdr:colOff>
      <xdr:row>784</xdr:row>
      <xdr:rowOff>25400</xdr:rowOff>
    </xdr:to>
    <xdr:cxnSp macro="_xll.PtreeEvent_ObjectClick">
      <xdr:nvCxnSpPr>
        <xdr:cNvPr id="1567" name="PTObj_DBranchHLine_1_388">
          <a:extLst>
            <a:ext uri="{FF2B5EF4-FFF2-40B4-BE49-F238E27FC236}">
              <a16:creationId xmlns:a16="http://schemas.microsoft.com/office/drawing/2014/main" id="{10978556-84EB-4851-8114-44F661B1759A}"/>
            </a:ext>
          </a:extLst>
        </xdr:cNvPr>
        <xdr:cNvCxnSpPr/>
      </xdr:nvCxnSpPr>
      <xdr:spPr>
        <a:xfrm>
          <a:off x="18628804" y="141909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782</xdr:row>
      <xdr:rowOff>16520</xdr:rowOff>
    </xdr:from>
    <xdr:to>
      <xdr:col>10</xdr:col>
      <xdr:colOff>197929</xdr:colOff>
      <xdr:row>784</xdr:row>
      <xdr:rowOff>25400</xdr:rowOff>
    </xdr:to>
    <xdr:cxnSp macro="_xll.PtreeEvent_ObjectClick">
      <xdr:nvCxnSpPr>
        <xdr:cNvPr id="1566" name="PTObj_DBranchDLine_1_388">
          <a:extLst>
            <a:ext uri="{FF2B5EF4-FFF2-40B4-BE49-F238E27FC236}">
              <a16:creationId xmlns:a16="http://schemas.microsoft.com/office/drawing/2014/main" id="{EA140795-4089-45AC-9906-657CD5960B1D}"/>
            </a:ext>
          </a:extLst>
        </xdr:cNvPr>
        <xdr:cNvCxnSpPr/>
      </xdr:nvCxnSpPr>
      <xdr:spPr>
        <a:xfrm>
          <a:off x="18476404" y="1415389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782</xdr:row>
      <xdr:rowOff>21592</xdr:rowOff>
    </xdr:from>
    <xdr:to>
      <xdr:col>9</xdr:col>
      <xdr:colOff>1388870</xdr:colOff>
      <xdr:row>782</xdr:row>
      <xdr:rowOff>21592</xdr:rowOff>
    </xdr:to>
    <xdr:cxnSp macro="_xll.PtreeEvent_ObjectClick">
      <xdr:nvCxnSpPr>
        <xdr:cNvPr id="1563" name="PTObj_DBranchHLine_1_387">
          <a:extLst>
            <a:ext uri="{FF2B5EF4-FFF2-40B4-BE49-F238E27FC236}">
              <a16:creationId xmlns:a16="http://schemas.microsoft.com/office/drawing/2014/main" id="{206A6AF4-3CE2-4E54-9646-0C99945E6E75}"/>
            </a:ext>
          </a:extLst>
        </xdr:cNvPr>
        <xdr:cNvCxnSpPr/>
      </xdr:nvCxnSpPr>
      <xdr:spPr>
        <a:xfrm>
          <a:off x="17206720" y="141544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780</xdr:row>
      <xdr:rowOff>8905</xdr:rowOff>
    </xdr:from>
    <xdr:to>
      <xdr:col>9</xdr:col>
      <xdr:colOff>204595</xdr:colOff>
      <xdr:row>782</xdr:row>
      <xdr:rowOff>21592</xdr:rowOff>
    </xdr:to>
    <xdr:cxnSp macro="_xll.PtreeEvent_ObjectClick">
      <xdr:nvCxnSpPr>
        <xdr:cNvPr id="1562" name="PTObj_DBranchDLine_1_387">
          <a:extLst>
            <a:ext uri="{FF2B5EF4-FFF2-40B4-BE49-F238E27FC236}">
              <a16:creationId xmlns:a16="http://schemas.microsoft.com/office/drawing/2014/main" id="{7809B001-1BED-4000-B495-99528D8BC67F}"/>
            </a:ext>
          </a:extLst>
        </xdr:cNvPr>
        <xdr:cNvCxnSpPr/>
      </xdr:nvCxnSpPr>
      <xdr:spPr>
        <a:xfrm>
          <a:off x="17054320" y="1411694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780</xdr:row>
      <xdr:rowOff>17785</xdr:rowOff>
    </xdr:from>
    <xdr:to>
      <xdr:col>8</xdr:col>
      <xdr:colOff>1392681</xdr:colOff>
      <xdr:row>780</xdr:row>
      <xdr:rowOff>17785</xdr:rowOff>
    </xdr:to>
    <xdr:cxnSp macro="_xll.PtreeEvent_ObjectClick">
      <xdr:nvCxnSpPr>
        <xdr:cNvPr id="1559" name="PTObj_DBranchHLine_1_386">
          <a:extLst>
            <a:ext uri="{FF2B5EF4-FFF2-40B4-BE49-F238E27FC236}">
              <a16:creationId xmlns:a16="http://schemas.microsoft.com/office/drawing/2014/main" id="{3EAFE2D2-7534-41CE-9907-959662EEEB59}"/>
            </a:ext>
          </a:extLst>
        </xdr:cNvPr>
        <xdr:cNvCxnSpPr/>
      </xdr:nvCxnSpPr>
      <xdr:spPr>
        <a:xfrm>
          <a:off x="15782734" y="141178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778</xdr:row>
      <xdr:rowOff>4142</xdr:rowOff>
    </xdr:from>
    <xdr:to>
      <xdr:col>8</xdr:col>
      <xdr:colOff>209359</xdr:colOff>
      <xdr:row>780</xdr:row>
      <xdr:rowOff>17785</xdr:rowOff>
    </xdr:to>
    <xdr:cxnSp macro="_xll.PtreeEvent_ObjectClick">
      <xdr:nvCxnSpPr>
        <xdr:cNvPr id="1558" name="PTObj_DBranchDLine_1_386">
          <a:extLst>
            <a:ext uri="{FF2B5EF4-FFF2-40B4-BE49-F238E27FC236}">
              <a16:creationId xmlns:a16="http://schemas.microsoft.com/office/drawing/2014/main" id="{535D8DF2-5802-4622-928B-5D32C49F6CAB}"/>
            </a:ext>
          </a:extLst>
        </xdr:cNvPr>
        <xdr:cNvCxnSpPr/>
      </xdr:nvCxnSpPr>
      <xdr:spPr>
        <a:xfrm>
          <a:off x="15630334" y="1408026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776</xdr:row>
      <xdr:rowOff>10158</xdr:rowOff>
    </xdr:from>
    <xdr:to>
      <xdr:col>11</xdr:col>
      <xdr:colOff>1385063</xdr:colOff>
      <xdr:row>776</xdr:row>
      <xdr:rowOff>10158</xdr:rowOff>
    </xdr:to>
    <xdr:cxnSp macro="_xll.PtreeEvent_ObjectClick">
      <xdr:nvCxnSpPr>
        <xdr:cNvPr id="1555" name="PTObj_DBranchHLine_1_384">
          <a:extLst>
            <a:ext uri="{FF2B5EF4-FFF2-40B4-BE49-F238E27FC236}">
              <a16:creationId xmlns:a16="http://schemas.microsoft.com/office/drawing/2014/main" id="{3F4535E2-1495-4A83-AA08-F1E624F9B2FB}"/>
            </a:ext>
          </a:extLst>
        </xdr:cNvPr>
        <xdr:cNvCxnSpPr/>
      </xdr:nvCxnSpPr>
      <xdr:spPr>
        <a:xfrm>
          <a:off x="20056601" y="140446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773</xdr:row>
      <xdr:rowOff>178433</xdr:rowOff>
    </xdr:from>
    <xdr:to>
      <xdr:col>11</xdr:col>
      <xdr:colOff>196976</xdr:colOff>
      <xdr:row>776</xdr:row>
      <xdr:rowOff>10158</xdr:rowOff>
    </xdr:to>
    <xdr:cxnSp macro="_xll.PtreeEvent_ObjectClick">
      <xdr:nvCxnSpPr>
        <xdr:cNvPr id="1554" name="PTObj_DBranchDLine_1_384">
          <a:extLst>
            <a:ext uri="{FF2B5EF4-FFF2-40B4-BE49-F238E27FC236}">
              <a16:creationId xmlns:a16="http://schemas.microsoft.com/office/drawing/2014/main" id="{EFAEC448-0836-47A4-BB92-277854954333}"/>
            </a:ext>
          </a:extLst>
        </xdr:cNvPr>
        <xdr:cNvCxnSpPr/>
      </xdr:nvCxnSpPr>
      <xdr:spPr>
        <a:xfrm>
          <a:off x="19904201" y="1400721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774</xdr:row>
      <xdr:rowOff>6350</xdr:rowOff>
    </xdr:from>
    <xdr:to>
      <xdr:col>10</xdr:col>
      <xdr:colOff>1392681</xdr:colOff>
      <xdr:row>774</xdr:row>
      <xdr:rowOff>6350</xdr:rowOff>
    </xdr:to>
    <xdr:cxnSp macro="_xll.PtreeEvent_ObjectClick">
      <xdr:nvCxnSpPr>
        <xdr:cNvPr id="1551" name="PTObj_DBranchHLine_1_383">
          <a:extLst>
            <a:ext uri="{FF2B5EF4-FFF2-40B4-BE49-F238E27FC236}">
              <a16:creationId xmlns:a16="http://schemas.microsoft.com/office/drawing/2014/main" id="{D9AC920D-B4A9-4958-8A46-C3DA3BF6A7D9}"/>
            </a:ext>
          </a:extLst>
        </xdr:cNvPr>
        <xdr:cNvCxnSpPr/>
      </xdr:nvCxnSpPr>
      <xdr:spPr>
        <a:xfrm>
          <a:off x="18628804" y="140081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772</xdr:row>
      <xdr:rowOff>1277</xdr:rowOff>
    </xdr:from>
    <xdr:to>
      <xdr:col>10</xdr:col>
      <xdr:colOff>197929</xdr:colOff>
      <xdr:row>774</xdr:row>
      <xdr:rowOff>6350</xdr:rowOff>
    </xdr:to>
    <xdr:cxnSp macro="_xll.PtreeEvent_ObjectClick">
      <xdr:nvCxnSpPr>
        <xdr:cNvPr id="1550" name="PTObj_DBranchDLine_1_383">
          <a:extLst>
            <a:ext uri="{FF2B5EF4-FFF2-40B4-BE49-F238E27FC236}">
              <a16:creationId xmlns:a16="http://schemas.microsoft.com/office/drawing/2014/main" id="{A78364A6-C49D-4D9D-8387-05EE029DFAC4}"/>
            </a:ext>
          </a:extLst>
        </xdr:cNvPr>
        <xdr:cNvCxnSpPr/>
      </xdr:nvCxnSpPr>
      <xdr:spPr>
        <a:xfrm>
          <a:off x="18476404" y="1397139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772</xdr:row>
      <xdr:rowOff>2542</xdr:rowOff>
    </xdr:from>
    <xdr:to>
      <xdr:col>9</xdr:col>
      <xdr:colOff>1388870</xdr:colOff>
      <xdr:row>772</xdr:row>
      <xdr:rowOff>2542</xdr:rowOff>
    </xdr:to>
    <xdr:cxnSp macro="_xll.PtreeEvent_ObjectClick">
      <xdr:nvCxnSpPr>
        <xdr:cNvPr id="1547" name="PTObj_DBranchHLine_1_382">
          <a:extLst>
            <a:ext uri="{FF2B5EF4-FFF2-40B4-BE49-F238E27FC236}">
              <a16:creationId xmlns:a16="http://schemas.microsoft.com/office/drawing/2014/main" id="{F0AAA892-B5E8-4A4A-A458-1884C45D2240}"/>
            </a:ext>
          </a:extLst>
        </xdr:cNvPr>
        <xdr:cNvCxnSpPr/>
      </xdr:nvCxnSpPr>
      <xdr:spPr>
        <a:xfrm>
          <a:off x="17206720" y="139715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769</xdr:row>
      <xdr:rowOff>178433</xdr:rowOff>
    </xdr:from>
    <xdr:to>
      <xdr:col>9</xdr:col>
      <xdr:colOff>204595</xdr:colOff>
      <xdr:row>772</xdr:row>
      <xdr:rowOff>2542</xdr:rowOff>
    </xdr:to>
    <xdr:cxnSp macro="_xll.PtreeEvent_ObjectClick">
      <xdr:nvCxnSpPr>
        <xdr:cNvPr id="1546" name="PTObj_DBranchDLine_1_382">
          <a:extLst>
            <a:ext uri="{FF2B5EF4-FFF2-40B4-BE49-F238E27FC236}">
              <a16:creationId xmlns:a16="http://schemas.microsoft.com/office/drawing/2014/main" id="{7A0CF4E1-91D5-4952-8AF1-73D383AD77B2}"/>
            </a:ext>
          </a:extLst>
        </xdr:cNvPr>
        <xdr:cNvCxnSpPr/>
      </xdr:nvCxnSpPr>
      <xdr:spPr>
        <a:xfrm>
          <a:off x="17054320" y="1393482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769</xdr:row>
      <xdr:rowOff>179710</xdr:rowOff>
    </xdr:from>
    <xdr:to>
      <xdr:col>8</xdr:col>
      <xdr:colOff>1392681</xdr:colOff>
      <xdr:row>769</xdr:row>
      <xdr:rowOff>179710</xdr:rowOff>
    </xdr:to>
    <xdr:cxnSp macro="_xll.PtreeEvent_ObjectClick">
      <xdr:nvCxnSpPr>
        <xdr:cNvPr id="1543" name="PTObj_DBranchHLine_1_381">
          <a:extLst>
            <a:ext uri="{FF2B5EF4-FFF2-40B4-BE49-F238E27FC236}">
              <a16:creationId xmlns:a16="http://schemas.microsoft.com/office/drawing/2014/main" id="{1723FDC1-C0FC-4B0C-8369-7E050D08B3FC}"/>
            </a:ext>
          </a:extLst>
        </xdr:cNvPr>
        <xdr:cNvCxnSpPr/>
      </xdr:nvCxnSpPr>
      <xdr:spPr>
        <a:xfrm>
          <a:off x="15782734" y="139349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769</xdr:row>
      <xdr:rowOff>179710</xdr:rowOff>
    </xdr:from>
    <xdr:to>
      <xdr:col>8</xdr:col>
      <xdr:colOff>209359</xdr:colOff>
      <xdr:row>778</xdr:row>
      <xdr:rowOff>4142</xdr:rowOff>
    </xdr:to>
    <xdr:cxnSp macro="_xll.PtreeEvent_ObjectClick">
      <xdr:nvCxnSpPr>
        <xdr:cNvPr id="1542" name="PTObj_DBranchDLine_1_381">
          <a:extLst>
            <a:ext uri="{FF2B5EF4-FFF2-40B4-BE49-F238E27FC236}">
              <a16:creationId xmlns:a16="http://schemas.microsoft.com/office/drawing/2014/main" id="{D21A72C9-3E66-41AA-8FBD-6AE97F7F372D}"/>
            </a:ext>
          </a:extLst>
        </xdr:cNvPr>
        <xdr:cNvCxnSpPr/>
      </xdr:nvCxnSpPr>
      <xdr:spPr>
        <a:xfrm flipV="1">
          <a:off x="15630334" y="1393494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778</xdr:row>
      <xdr:rowOff>13965</xdr:rowOff>
    </xdr:from>
    <xdr:to>
      <xdr:col>7</xdr:col>
      <xdr:colOff>1398397</xdr:colOff>
      <xdr:row>778</xdr:row>
      <xdr:rowOff>13965</xdr:rowOff>
    </xdr:to>
    <xdr:cxnSp macro="_xll.PtreeEvent_ObjectClick">
      <xdr:nvCxnSpPr>
        <xdr:cNvPr id="1539" name="PTObj_DBranchHLine_1_385">
          <a:extLst>
            <a:ext uri="{FF2B5EF4-FFF2-40B4-BE49-F238E27FC236}">
              <a16:creationId xmlns:a16="http://schemas.microsoft.com/office/drawing/2014/main" id="{E9B323FD-CDB8-4201-941D-A568A3C844D0}"/>
            </a:ext>
          </a:extLst>
        </xdr:cNvPr>
        <xdr:cNvCxnSpPr/>
      </xdr:nvCxnSpPr>
      <xdr:spPr>
        <a:xfrm>
          <a:off x="14360652" y="140812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778</xdr:row>
      <xdr:rowOff>13965</xdr:rowOff>
    </xdr:from>
    <xdr:to>
      <xdr:col>7</xdr:col>
      <xdr:colOff>216027</xdr:colOff>
      <xdr:row>788</xdr:row>
      <xdr:rowOff>33672</xdr:rowOff>
    </xdr:to>
    <xdr:cxnSp macro="_xll.PtreeEvent_ObjectClick">
      <xdr:nvCxnSpPr>
        <xdr:cNvPr id="1538" name="PTObj_DBranchDLine_1_385">
          <a:extLst>
            <a:ext uri="{FF2B5EF4-FFF2-40B4-BE49-F238E27FC236}">
              <a16:creationId xmlns:a16="http://schemas.microsoft.com/office/drawing/2014/main" id="{8922D052-EA31-473C-9034-01EBF6335148}"/>
            </a:ext>
          </a:extLst>
        </xdr:cNvPr>
        <xdr:cNvCxnSpPr/>
      </xdr:nvCxnSpPr>
      <xdr:spPr>
        <a:xfrm flipV="1">
          <a:off x="14208252" y="140812515"/>
          <a:ext cx="152400" cy="18294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788</xdr:row>
      <xdr:rowOff>33015</xdr:rowOff>
    </xdr:from>
    <xdr:to>
      <xdr:col>6</xdr:col>
      <xdr:colOff>1402207</xdr:colOff>
      <xdr:row>788</xdr:row>
      <xdr:rowOff>33015</xdr:rowOff>
    </xdr:to>
    <xdr:cxnSp macro="_xll.PtreeEvent_ObjectClick">
      <xdr:nvCxnSpPr>
        <xdr:cNvPr id="1535" name="PTObj_DBranchHLine_1_390">
          <a:extLst>
            <a:ext uri="{FF2B5EF4-FFF2-40B4-BE49-F238E27FC236}">
              <a16:creationId xmlns:a16="http://schemas.microsoft.com/office/drawing/2014/main" id="{E467E109-71AE-401D-B7F6-EFFB90C9195E}"/>
            </a:ext>
          </a:extLst>
        </xdr:cNvPr>
        <xdr:cNvCxnSpPr/>
      </xdr:nvCxnSpPr>
      <xdr:spPr>
        <a:xfrm>
          <a:off x="12936665" y="1426413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767</xdr:row>
      <xdr:rowOff>174637</xdr:rowOff>
    </xdr:from>
    <xdr:to>
      <xdr:col>6</xdr:col>
      <xdr:colOff>220790</xdr:colOff>
      <xdr:row>788</xdr:row>
      <xdr:rowOff>33015</xdr:rowOff>
    </xdr:to>
    <xdr:cxnSp macro="_xll.PtreeEvent_ObjectClick">
      <xdr:nvCxnSpPr>
        <xdr:cNvPr id="1534" name="PTObj_DBranchDLine_1_390">
          <a:extLst>
            <a:ext uri="{FF2B5EF4-FFF2-40B4-BE49-F238E27FC236}">
              <a16:creationId xmlns:a16="http://schemas.microsoft.com/office/drawing/2014/main" id="{F254CED9-195C-4458-B2B5-F50BD0F0A4E8}"/>
            </a:ext>
          </a:extLst>
        </xdr:cNvPr>
        <xdr:cNvCxnSpPr/>
      </xdr:nvCxnSpPr>
      <xdr:spPr>
        <a:xfrm>
          <a:off x="12784265" y="138982462"/>
          <a:ext cx="152400" cy="36588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765</xdr:row>
      <xdr:rowOff>172083</xdr:rowOff>
    </xdr:from>
    <xdr:to>
      <xdr:col>11</xdr:col>
      <xdr:colOff>1384111</xdr:colOff>
      <xdr:row>765</xdr:row>
      <xdr:rowOff>172083</xdr:rowOff>
    </xdr:to>
    <xdr:cxnSp macro="_xll.PtreeEvent_ObjectClick">
      <xdr:nvCxnSpPr>
        <xdr:cNvPr id="1531" name="PTObj_DBranchHLine_1_379">
          <a:extLst>
            <a:ext uri="{FF2B5EF4-FFF2-40B4-BE49-F238E27FC236}">
              <a16:creationId xmlns:a16="http://schemas.microsoft.com/office/drawing/2014/main" id="{8C6FFAFD-D465-4CA7-BF5D-900DB756F980}"/>
            </a:ext>
          </a:extLst>
        </xdr:cNvPr>
        <xdr:cNvCxnSpPr/>
      </xdr:nvCxnSpPr>
      <xdr:spPr>
        <a:xfrm>
          <a:off x="20056601" y="1386179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763</xdr:row>
      <xdr:rowOff>163190</xdr:rowOff>
    </xdr:from>
    <xdr:to>
      <xdr:col>11</xdr:col>
      <xdr:colOff>196976</xdr:colOff>
      <xdr:row>765</xdr:row>
      <xdr:rowOff>172083</xdr:rowOff>
    </xdr:to>
    <xdr:cxnSp macro="_xll.PtreeEvent_ObjectClick">
      <xdr:nvCxnSpPr>
        <xdr:cNvPr id="1530" name="PTObj_DBranchDLine_1_379">
          <a:extLst>
            <a:ext uri="{FF2B5EF4-FFF2-40B4-BE49-F238E27FC236}">
              <a16:creationId xmlns:a16="http://schemas.microsoft.com/office/drawing/2014/main" id="{47A033C2-1D29-4C74-84FC-ABEF9B708B3B}"/>
            </a:ext>
          </a:extLst>
        </xdr:cNvPr>
        <xdr:cNvCxnSpPr/>
      </xdr:nvCxnSpPr>
      <xdr:spPr>
        <a:xfrm>
          <a:off x="19904201" y="1382471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763</xdr:row>
      <xdr:rowOff>168275</xdr:rowOff>
    </xdr:from>
    <xdr:to>
      <xdr:col>10</xdr:col>
      <xdr:colOff>1392681</xdr:colOff>
      <xdr:row>763</xdr:row>
      <xdr:rowOff>168275</xdr:rowOff>
    </xdr:to>
    <xdr:cxnSp macro="_xll.PtreeEvent_ObjectClick">
      <xdr:nvCxnSpPr>
        <xdr:cNvPr id="1527" name="PTObj_DBranchHLine_1_378">
          <a:extLst>
            <a:ext uri="{FF2B5EF4-FFF2-40B4-BE49-F238E27FC236}">
              <a16:creationId xmlns:a16="http://schemas.microsoft.com/office/drawing/2014/main" id="{2003D48F-4D7D-4418-BA66-F461EE00CFBD}"/>
            </a:ext>
          </a:extLst>
        </xdr:cNvPr>
        <xdr:cNvCxnSpPr/>
      </xdr:nvCxnSpPr>
      <xdr:spPr>
        <a:xfrm>
          <a:off x="18628804" y="138252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761</xdr:row>
      <xdr:rowOff>159395</xdr:rowOff>
    </xdr:from>
    <xdr:to>
      <xdr:col>10</xdr:col>
      <xdr:colOff>197929</xdr:colOff>
      <xdr:row>763</xdr:row>
      <xdr:rowOff>168275</xdr:rowOff>
    </xdr:to>
    <xdr:cxnSp macro="_xll.PtreeEvent_ObjectClick">
      <xdr:nvCxnSpPr>
        <xdr:cNvPr id="1526" name="PTObj_DBranchDLine_1_378">
          <a:extLst>
            <a:ext uri="{FF2B5EF4-FFF2-40B4-BE49-F238E27FC236}">
              <a16:creationId xmlns:a16="http://schemas.microsoft.com/office/drawing/2014/main" id="{5499C1F0-A285-44F3-A55B-271161E02243}"/>
            </a:ext>
          </a:extLst>
        </xdr:cNvPr>
        <xdr:cNvCxnSpPr/>
      </xdr:nvCxnSpPr>
      <xdr:spPr>
        <a:xfrm>
          <a:off x="18476404" y="137881370"/>
          <a:ext cx="152400" cy="3708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761</xdr:row>
      <xdr:rowOff>164467</xdr:rowOff>
    </xdr:from>
    <xdr:to>
      <xdr:col>9</xdr:col>
      <xdr:colOff>1388870</xdr:colOff>
      <xdr:row>761</xdr:row>
      <xdr:rowOff>164467</xdr:rowOff>
    </xdr:to>
    <xdr:cxnSp macro="_xll.PtreeEvent_ObjectClick">
      <xdr:nvCxnSpPr>
        <xdr:cNvPr id="1523" name="PTObj_DBranchHLine_1_377">
          <a:extLst>
            <a:ext uri="{FF2B5EF4-FFF2-40B4-BE49-F238E27FC236}">
              <a16:creationId xmlns:a16="http://schemas.microsoft.com/office/drawing/2014/main" id="{B4D54CF2-C4D6-493D-ADD5-A7418BCB3C81}"/>
            </a:ext>
          </a:extLst>
        </xdr:cNvPr>
        <xdr:cNvCxnSpPr/>
      </xdr:nvCxnSpPr>
      <xdr:spPr>
        <a:xfrm>
          <a:off x="17206720" y="137886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759</xdr:row>
      <xdr:rowOff>151780</xdr:rowOff>
    </xdr:from>
    <xdr:to>
      <xdr:col>9</xdr:col>
      <xdr:colOff>204595</xdr:colOff>
      <xdr:row>761</xdr:row>
      <xdr:rowOff>164467</xdr:rowOff>
    </xdr:to>
    <xdr:cxnSp macro="_xll.PtreeEvent_ObjectClick">
      <xdr:nvCxnSpPr>
        <xdr:cNvPr id="1522" name="PTObj_DBranchDLine_1_377">
          <a:extLst>
            <a:ext uri="{FF2B5EF4-FFF2-40B4-BE49-F238E27FC236}">
              <a16:creationId xmlns:a16="http://schemas.microsoft.com/office/drawing/2014/main" id="{C469F195-EF4C-49C9-8631-89BC3EF036C8}"/>
            </a:ext>
          </a:extLst>
        </xdr:cNvPr>
        <xdr:cNvCxnSpPr/>
      </xdr:nvCxnSpPr>
      <xdr:spPr>
        <a:xfrm>
          <a:off x="17054320" y="137511805"/>
          <a:ext cx="152400" cy="37463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759</xdr:row>
      <xdr:rowOff>160660</xdr:rowOff>
    </xdr:from>
    <xdr:to>
      <xdr:col>8</xdr:col>
      <xdr:colOff>1392681</xdr:colOff>
      <xdr:row>759</xdr:row>
      <xdr:rowOff>160660</xdr:rowOff>
    </xdr:to>
    <xdr:cxnSp macro="_xll.PtreeEvent_ObjectClick">
      <xdr:nvCxnSpPr>
        <xdr:cNvPr id="1519" name="PTObj_DBranchHLine_1_376">
          <a:extLst>
            <a:ext uri="{FF2B5EF4-FFF2-40B4-BE49-F238E27FC236}">
              <a16:creationId xmlns:a16="http://schemas.microsoft.com/office/drawing/2014/main" id="{CF25BE33-0280-45BE-AE07-BECDA77D2911}"/>
            </a:ext>
          </a:extLst>
        </xdr:cNvPr>
        <xdr:cNvCxnSpPr/>
      </xdr:nvCxnSpPr>
      <xdr:spPr>
        <a:xfrm>
          <a:off x="15782734" y="137520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757</xdr:row>
      <xdr:rowOff>147017</xdr:rowOff>
    </xdr:from>
    <xdr:to>
      <xdr:col>8</xdr:col>
      <xdr:colOff>209359</xdr:colOff>
      <xdr:row>759</xdr:row>
      <xdr:rowOff>160660</xdr:rowOff>
    </xdr:to>
    <xdr:cxnSp macro="_xll.PtreeEvent_ObjectClick">
      <xdr:nvCxnSpPr>
        <xdr:cNvPr id="1518" name="PTObj_DBranchDLine_1_376">
          <a:extLst>
            <a:ext uri="{FF2B5EF4-FFF2-40B4-BE49-F238E27FC236}">
              <a16:creationId xmlns:a16="http://schemas.microsoft.com/office/drawing/2014/main" id="{0CB375C4-ACB2-4DED-A0C0-93A806871FFF}"/>
            </a:ext>
          </a:extLst>
        </xdr:cNvPr>
        <xdr:cNvCxnSpPr/>
      </xdr:nvCxnSpPr>
      <xdr:spPr>
        <a:xfrm>
          <a:off x="15630334" y="1371450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755</xdr:row>
      <xdr:rowOff>153033</xdr:rowOff>
    </xdr:from>
    <xdr:to>
      <xdr:col>11</xdr:col>
      <xdr:colOff>1385063</xdr:colOff>
      <xdr:row>755</xdr:row>
      <xdr:rowOff>153033</xdr:rowOff>
    </xdr:to>
    <xdr:cxnSp macro="_xll.PtreeEvent_ObjectClick">
      <xdr:nvCxnSpPr>
        <xdr:cNvPr id="1515" name="PTObj_DBranchHLine_1_374">
          <a:extLst>
            <a:ext uri="{FF2B5EF4-FFF2-40B4-BE49-F238E27FC236}">
              <a16:creationId xmlns:a16="http://schemas.microsoft.com/office/drawing/2014/main" id="{5599C980-336B-49FB-B7F0-75A023F27869}"/>
            </a:ext>
          </a:extLst>
        </xdr:cNvPr>
        <xdr:cNvCxnSpPr/>
      </xdr:nvCxnSpPr>
      <xdr:spPr>
        <a:xfrm>
          <a:off x="20056601" y="136789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753</xdr:row>
      <xdr:rowOff>140333</xdr:rowOff>
    </xdr:from>
    <xdr:to>
      <xdr:col>11</xdr:col>
      <xdr:colOff>196976</xdr:colOff>
      <xdr:row>755</xdr:row>
      <xdr:rowOff>153033</xdr:rowOff>
    </xdr:to>
    <xdr:cxnSp macro="_xll.PtreeEvent_ObjectClick">
      <xdr:nvCxnSpPr>
        <xdr:cNvPr id="1514" name="PTObj_DBranchDLine_1_374">
          <a:extLst>
            <a:ext uri="{FF2B5EF4-FFF2-40B4-BE49-F238E27FC236}">
              <a16:creationId xmlns:a16="http://schemas.microsoft.com/office/drawing/2014/main" id="{F83D2413-A4C4-4976-9172-B2550A0D389A}"/>
            </a:ext>
          </a:extLst>
        </xdr:cNvPr>
        <xdr:cNvCxnSpPr/>
      </xdr:nvCxnSpPr>
      <xdr:spPr>
        <a:xfrm>
          <a:off x="19904201" y="1364145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753</xdr:row>
      <xdr:rowOff>149225</xdr:rowOff>
    </xdr:from>
    <xdr:to>
      <xdr:col>10</xdr:col>
      <xdr:colOff>1392681</xdr:colOff>
      <xdr:row>753</xdr:row>
      <xdr:rowOff>149225</xdr:rowOff>
    </xdr:to>
    <xdr:cxnSp macro="_xll.PtreeEvent_ObjectClick">
      <xdr:nvCxnSpPr>
        <xdr:cNvPr id="1511" name="PTObj_DBranchHLine_1_373">
          <a:extLst>
            <a:ext uri="{FF2B5EF4-FFF2-40B4-BE49-F238E27FC236}">
              <a16:creationId xmlns:a16="http://schemas.microsoft.com/office/drawing/2014/main" id="{C8E80BE6-037D-4150-854B-78BED597A5C5}"/>
            </a:ext>
          </a:extLst>
        </xdr:cNvPr>
        <xdr:cNvCxnSpPr/>
      </xdr:nvCxnSpPr>
      <xdr:spPr>
        <a:xfrm>
          <a:off x="18628804" y="136423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751</xdr:row>
      <xdr:rowOff>144152</xdr:rowOff>
    </xdr:from>
    <xdr:to>
      <xdr:col>10</xdr:col>
      <xdr:colOff>197929</xdr:colOff>
      <xdr:row>753</xdr:row>
      <xdr:rowOff>149225</xdr:rowOff>
    </xdr:to>
    <xdr:cxnSp macro="_xll.PtreeEvent_ObjectClick">
      <xdr:nvCxnSpPr>
        <xdr:cNvPr id="1510" name="PTObj_DBranchDLine_1_373">
          <a:extLst>
            <a:ext uri="{FF2B5EF4-FFF2-40B4-BE49-F238E27FC236}">
              <a16:creationId xmlns:a16="http://schemas.microsoft.com/office/drawing/2014/main" id="{300511B5-B165-4B88-8FB3-8A89743B4986}"/>
            </a:ext>
          </a:extLst>
        </xdr:cNvPr>
        <xdr:cNvCxnSpPr/>
      </xdr:nvCxnSpPr>
      <xdr:spPr>
        <a:xfrm>
          <a:off x="18476404" y="136056377"/>
          <a:ext cx="152400" cy="36702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751</xdr:row>
      <xdr:rowOff>145417</xdr:rowOff>
    </xdr:from>
    <xdr:to>
      <xdr:col>9</xdr:col>
      <xdr:colOff>1388870</xdr:colOff>
      <xdr:row>751</xdr:row>
      <xdr:rowOff>145417</xdr:rowOff>
    </xdr:to>
    <xdr:cxnSp macro="_xll.PtreeEvent_ObjectClick">
      <xdr:nvCxnSpPr>
        <xdr:cNvPr id="1507" name="PTObj_DBranchHLine_1_372">
          <a:extLst>
            <a:ext uri="{FF2B5EF4-FFF2-40B4-BE49-F238E27FC236}">
              <a16:creationId xmlns:a16="http://schemas.microsoft.com/office/drawing/2014/main" id="{3AAA9C7F-DBA3-493B-9CD0-C141F413883D}"/>
            </a:ext>
          </a:extLst>
        </xdr:cNvPr>
        <xdr:cNvCxnSpPr/>
      </xdr:nvCxnSpPr>
      <xdr:spPr>
        <a:xfrm>
          <a:off x="17206720" y="136057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749</xdr:row>
      <xdr:rowOff>140333</xdr:rowOff>
    </xdr:from>
    <xdr:to>
      <xdr:col>9</xdr:col>
      <xdr:colOff>204595</xdr:colOff>
      <xdr:row>751</xdr:row>
      <xdr:rowOff>145417</xdr:rowOff>
    </xdr:to>
    <xdr:cxnSp macro="_xll.PtreeEvent_ObjectClick">
      <xdr:nvCxnSpPr>
        <xdr:cNvPr id="1506" name="PTObj_DBranchDLine_1_372">
          <a:extLst>
            <a:ext uri="{FF2B5EF4-FFF2-40B4-BE49-F238E27FC236}">
              <a16:creationId xmlns:a16="http://schemas.microsoft.com/office/drawing/2014/main" id="{02F95D3D-4877-4E02-98C3-A75D0AF3037F}"/>
            </a:ext>
          </a:extLst>
        </xdr:cNvPr>
        <xdr:cNvCxnSpPr/>
      </xdr:nvCxnSpPr>
      <xdr:spPr>
        <a:xfrm>
          <a:off x="17054320" y="1356906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749</xdr:row>
      <xdr:rowOff>141610</xdr:rowOff>
    </xdr:from>
    <xdr:to>
      <xdr:col>8</xdr:col>
      <xdr:colOff>1392681</xdr:colOff>
      <xdr:row>749</xdr:row>
      <xdr:rowOff>141610</xdr:rowOff>
    </xdr:to>
    <xdr:cxnSp macro="_xll.PtreeEvent_ObjectClick">
      <xdr:nvCxnSpPr>
        <xdr:cNvPr id="1503" name="PTObj_DBranchHLine_1_371">
          <a:extLst>
            <a:ext uri="{FF2B5EF4-FFF2-40B4-BE49-F238E27FC236}">
              <a16:creationId xmlns:a16="http://schemas.microsoft.com/office/drawing/2014/main" id="{545C86DC-F7FD-4823-95A4-C4F32C91842B}"/>
            </a:ext>
          </a:extLst>
        </xdr:cNvPr>
        <xdr:cNvCxnSpPr/>
      </xdr:nvCxnSpPr>
      <xdr:spPr>
        <a:xfrm>
          <a:off x="15782734" y="135691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749</xdr:row>
      <xdr:rowOff>141610</xdr:rowOff>
    </xdr:from>
    <xdr:to>
      <xdr:col>8</xdr:col>
      <xdr:colOff>209359</xdr:colOff>
      <xdr:row>757</xdr:row>
      <xdr:rowOff>147017</xdr:rowOff>
    </xdr:to>
    <xdr:cxnSp macro="_xll.PtreeEvent_ObjectClick">
      <xdr:nvCxnSpPr>
        <xdr:cNvPr id="1502" name="PTObj_DBranchDLine_1_371">
          <a:extLst>
            <a:ext uri="{FF2B5EF4-FFF2-40B4-BE49-F238E27FC236}">
              <a16:creationId xmlns:a16="http://schemas.microsoft.com/office/drawing/2014/main" id="{DEDF34FE-805B-48B7-899A-43F39A1A68CF}"/>
            </a:ext>
          </a:extLst>
        </xdr:cNvPr>
        <xdr:cNvCxnSpPr/>
      </xdr:nvCxnSpPr>
      <xdr:spPr>
        <a:xfrm flipV="1">
          <a:off x="15630334" y="1356918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757</xdr:row>
      <xdr:rowOff>156840</xdr:rowOff>
    </xdr:from>
    <xdr:to>
      <xdr:col>7</xdr:col>
      <xdr:colOff>1398397</xdr:colOff>
      <xdr:row>757</xdr:row>
      <xdr:rowOff>156840</xdr:rowOff>
    </xdr:to>
    <xdr:cxnSp macro="_xll.PtreeEvent_ObjectClick">
      <xdr:nvCxnSpPr>
        <xdr:cNvPr id="1499" name="PTObj_DBranchHLine_1_375">
          <a:extLst>
            <a:ext uri="{FF2B5EF4-FFF2-40B4-BE49-F238E27FC236}">
              <a16:creationId xmlns:a16="http://schemas.microsoft.com/office/drawing/2014/main" id="{1F7258F3-B6EA-47F5-914B-86F322EB0203}"/>
            </a:ext>
          </a:extLst>
        </xdr:cNvPr>
        <xdr:cNvCxnSpPr/>
      </xdr:nvCxnSpPr>
      <xdr:spPr>
        <a:xfrm>
          <a:off x="14362557" y="1371549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747</xdr:row>
      <xdr:rowOff>136537</xdr:rowOff>
    </xdr:from>
    <xdr:to>
      <xdr:col>7</xdr:col>
      <xdr:colOff>217932</xdr:colOff>
      <xdr:row>757</xdr:row>
      <xdr:rowOff>156840</xdr:rowOff>
    </xdr:to>
    <xdr:cxnSp macro="_xll.PtreeEvent_ObjectClick">
      <xdr:nvCxnSpPr>
        <xdr:cNvPr id="1498" name="PTObj_DBranchDLine_1_375">
          <a:extLst>
            <a:ext uri="{FF2B5EF4-FFF2-40B4-BE49-F238E27FC236}">
              <a16:creationId xmlns:a16="http://schemas.microsoft.com/office/drawing/2014/main" id="{4180D66E-2B81-425C-A3A3-480D30401B03}"/>
            </a:ext>
          </a:extLst>
        </xdr:cNvPr>
        <xdr:cNvCxnSpPr/>
      </xdr:nvCxnSpPr>
      <xdr:spPr>
        <a:xfrm>
          <a:off x="14210157" y="135324862"/>
          <a:ext cx="152400" cy="18300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745</xdr:row>
      <xdr:rowOff>133983</xdr:rowOff>
    </xdr:from>
    <xdr:to>
      <xdr:col>11</xdr:col>
      <xdr:colOff>1384111</xdr:colOff>
      <xdr:row>745</xdr:row>
      <xdr:rowOff>133983</xdr:rowOff>
    </xdr:to>
    <xdr:cxnSp macro="_xll.PtreeEvent_ObjectClick">
      <xdr:nvCxnSpPr>
        <xdr:cNvPr id="1495" name="PTObj_DBranchHLine_1_369">
          <a:extLst>
            <a:ext uri="{FF2B5EF4-FFF2-40B4-BE49-F238E27FC236}">
              <a16:creationId xmlns:a16="http://schemas.microsoft.com/office/drawing/2014/main" id="{BCED078A-BE89-42E5-8607-EE480D277850}"/>
            </a:ext>
          </a:extLst>
        </xdr:cNvPr>
        <xdr:cNvCxnSpPr/>
      </xdr:nvCxnSpPr>
      <xdr:spPr>
        <a:xfrm>
          <a:off x="20056601" y="1349603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743</xdr:row>
      <xdr:rowOff>125090</xdr:rowOff>
    </xdr:from>
    <xdr:to>
      <xdr:col>11</xdr:col>
      <xdr:colOff>196976</xdr:colOff>
      <xdr:row>745</xdr:row>
      <xdr:rowOff>133983</xdr:rowOff>
    </xdr:to>
    <xdr:cxnSp macro="_xll.PtreeEvent_ObjectClick">
      <xdr:nvCxnSpPr>
        <xdr:cNvPr id="1494" name="PTObj_DBranchDLine_1_369">
          <a:extLst>
            <a:ext uri="{FF2B5EF4-FFF2-40B4-BE49-F238E27FC236}">
              <a16:creationId xmlns:a16="http://schemas.microsoft.com/office/drawing/2014/main" id="{4ECD271F-A61C-45CB-A809-0B39AC2FCF82}"/>
            </a:ext>
          </a:extLst>
        </xdr:cNvPr>
        <xdr:cNvCxnSpPr/>
      </xdr:nvCxnSpPr>
      <xdr:spPr>
        <a:xfrm>
          <a:off x="19904201" y="1345895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743</xdr:row>
      <xdr:rowOff>130175</xdr:rowOff>
    </xdr:from>
    <xdr:to>
      <xdr:col>10</xdr:col>
      <xdr:colOff>1392681</xdr:colOff>
      <xdr:row>743</xdr:row>
      <xdr:rowOff>130175</xdr:rowOff>
    </xdr:to>
    <xdr:cxnSp macro="_xll.PtreeEvent_ObjectClick">
      <xdr:nvCxnSpPr>
        <xdr:cNvPr id="1491" name="PTObj_DBranchHLine_1_368">
          <a:extLst>
            <a:ext uri="{FF2B5EF4-FFF2-40B4-BE49-F238E27FC236}">
              <a16:creationId xmlns:a16="http://schemas.microsoft.com/office/drawing/2014/main" id="{08306DD5-3D98-44EB-BE69-06FB77AB3E05}"/>
            </a:ext>
          </a:extLst>
        </xdr:cNvPr>
        <xdr:cNvCxnSpPr/>
      </xdr:nvCxnSpPr>
      <xdr:spPr>
        <a:xfrm>
          <a:off x="18628804" y="134594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741</xdr:row>
      <xdr:rowOff>121283</xdr:rowOff>
    </xdr:from>
    <xdr:to>
      <xdr:col>10</xdr:col>
      <xdr:colOff>197929</xdr:colOff>
      <xdr:row>743</xdr:row>
      <xdr:rowOff>130175</xdr:rowOff>
    </xdr:to>
    <xdr:cxnSp macro="_xll.PtreeEvent_ObjectClick">
      <xdr:nvCxnSpPr>
        <xdr:cNvPr id="1490" name="PTObj_DBranchDLine_1_368">
          <a:extLst>
            <a:ext uri="{FF2B5EF4-FFF2-40B4-BE49-F238E27FC236}">
              <a16:creationId xmlns:a16="http://schemas.microsoft.com/office/drawing/2014/main" id="{E08D8B12-37C4-425D-B2D2-788BFC45A830}"/>
            </a:ext>
          </a:extLst>
        </xdr:cNvPr>
        <xdr:cNvCxnSpPr/>
      </xdr:nvCxnSpPr>
      <xdr:spPr>
        <a:xfrm>
          <a:off x="18476404" y="1342237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741</xdr:row>
      <xdr:rowOff>126367</xdr:rowOff>
    </xdr:from>
    <xdr:to>
      <xdr:col>9</xdr:col>
      <xdr:colOff>1388870</xdr:colOff>
      <xdr:row>741</xdr:row>
      <xdr:rowOff>126367</xdr:rowOff>
    </xdr:to>
    <xdr:cxnSp macro="_xll.PtreeEvent_ObjectClick">
      <xdr:nvCxnSpPr>
        <xdr:cNvPr id="1487" name="PTObj_DBranchHLine_1_367">
          <a:extLst>
            <a:ext uri="{FF2B5EF4-FFF2-40B4-BE49-F238E27FC236}">
              <a16:creationId xmlns:a16="http://schemas.microsoft.com/office/drawing/2014/main" id="{28CC1436-4536-4F2A-BF80-6A0D0FE358FB}"/>
            </a:ext>
          </a:extLst>
        </xdr:cNvPr>
        <xdr:cNvCxnSpPr/>
      </xdr:nvCxnSpPr>
      <xdr:spPr>
        <a:xfrm>
          <a:off x="17206720" y="134228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739</xdr:row>
      <xdr:rowOff>113667</xdr:rowOff>
    </xdr:from>
    <xdr:to>
      <xdr:col>9</xdr:col>
      <xdr:colOff>204595</xdr:colOff>
      <xdr:row>741</xdr:row>
      <xdr:rowOff>126367</xdr:rowOff>
    </xdr:to>
    <xdr:cxnSp macro="_xll.PtreeEvent_ObjectClick">
      <xdr:nvCxnSpPr>
        <xdr:cNvPr id="1486" name="PTObj_DBranchDLine_1_367">
          <a:extLst>
            <a:ext uri="{FF2B5EF4-FFF2-40B4-BE49-F238E27FC236}">
              <a16:creationId xmlns:a16="http://schemas.microsoft.com/office/drawing/2014/main" id="{7EE82A8B-F580-4642-9B6E-85A7C70FF675}"/>
            </a:ext>
          </a:extLst>
        </xdr:cNvPr>
        <xdr:cNvCxnSpPr/>
      </xdr:nvCxnSpPr>
      <xdr:spPr>
        <a:xfrm>
          <a:off x="17054320" y="133854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739</xdr:row>
      <xdr:rowOff>122560</xdr:rowOff>
    </xdr:from>
    <xdr:to>
      <xdr:col>8</xdr:col>
      <xdr:colOff>1392681</xdr:colOff>
      <xdr:row>739</xdr:row>
      <xdr:rowOff>122560</xdr:rowOff>
    </xdr:to>
    <xdr:cxnSp macro="_xll.PtreeEvent_ObjectClick">
      <xdr:nvCxnSpPr>
        <xdr:cNvPr id="1483" name="PTObj_DBranchHLine_1_366">
          <a:extLst>
            <a:ext uri="{FF2B5EF4-FFF2-40B4-BE49-F238E27FC236}">
              <a16:creationId xmlns:a16="http://schemas.microsoft.com/office/drawing/2014/main" id="{72C6F3E2-9438-49B5-8EBA-50EEDBEF6150}"/>
            </a:ext>
          </a:extLst>
        </xdr:cNvPr>
        <xdr:cNvCxnSpPr/>
      </xdr:nvCxnSpPr>
      <xdr:spPr>
        <a:xfrm>
          <a:off x="15782734" y="133863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737</xdr:row>
      <xdr:rowOff>108917</xdr:rowOff>
    </xdr:from>
    <xdr:to>
      <xdr:col>8</xdr:col>
      <xdr:colOff>209359</xdr:colOff>
      <xdr:row>739</xdr:row>
      <xdr:rowOff>122560</xdr:rowOff>
    </xdr:to>
    <xdr:cxnSp macro="_xll.PtreeEvent_ObjectClick">
      <xdr:nvCxnSpPr>
        <xdr:cNvPr id="1482" name="PTObj_DBranchDLine_1_366">
          <a:extLst>
            <a:ext uri="{FF2B5EF4-FFF2-40B4-BE49-F238E27FC236}">
              <a16:creationId xmlns:a16="http://schemas.microsoft.com/office/drawing/2014/main" id="{884E0C53-D75E-451B-9384-066AF4E1ED0A}"/>
            </a:ext>
          </a:extLst>
        </xdr:cNvPr>
        <xdr:cNvCxnSpPr/>
      </xdr:nvCxnSpPr>
      <xdr:spPr>
        <a:xfrm>
          <a:off x="15630334" y="133487492"/>
          <a:ext cx="152400" cy="3755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735</xdr:row>
      <xdr:rowOff>114933</xdr:rowOff>
    </xdr:from>
    <xdr:to>
      <xdr:col>11</xdr:col>
      <xdr:colOff>1385063</xdr:colOff>
      <xdr:row>735</xdr:row>
      <xdr:rowOff>114933</xdr:rowOff>
    </xdr:to>
    <xdr:cxnSp macro="_xll.PtreeEvent_ObjectClick">
      <xdr:nvCxnSpPr>
        <xdr:cNvPr id="1479" name="PTObj_DBranchHLine_1_364">
          <a:extLst>
            <a:ext uri="{FF2B5EF4-FFF2-40B4-BE49-F238E27FC236}">
              <a16:creationId xmlns:a16="http://schemas.microsoft.com/office/drawing/2014/main" id="{56B399DD-A94B-4CC3-8DA2-52B94EFEB42C}"/>
            </a:ext>
          </a:extLst>
        </xdr:cNvPr>
        <xdr:cNvCxnSpPr/>
      </xdr:nvCxnSpPr>
      <xdr:spPr>
        <a:xfrm>
          <a:off x="20056601" y="133131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733</xdr:row>
      <xdr:rowOff>102233</xdr:rowOff>
    </xdr:from>
    <xdr:to>
      <xdr:col>11</xdr:col>
      <xdr:colOff>196976</xdr:colOff>
      <xdr:row>735</xdr:row>
      <xdr:rowOff>114933</xdr:rowOff>
    </xdr:to>
    <xdr:cxnSp macro="_xll.PtreeEvent_ObjectClick">
      <xdr:nvCxnSpPr>
        <xdr:cNvPr id="1478" name="PTObj_DBranchDLine_1_364">
          <a:extLst>
            <a:ext uri="{FF2B5EF4-FFF2-40B4-BE49-F238E27FC236}">
              <a16:creationId xmlns:a16="http://schemas.microsoft.com/office/drawing/2014/main" id="{F24C329C-2700-4CC3-A0D9-0CA1C9DC701F}"/>
            </a:ext>
          </a:extLst>
        </xdr:cNvPr>
        <xdr:cNvCxnSpPr/>
      </xdr:nvCxnSpPr>
      <xdr:spPr>
        <a:xfrm>
          <a:off x="19904201" y="1327569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733</xdr:row>
      <xdr:rowOff>111125</xdr:rowOff>
    </xdr:from>
    <xdr:to>
      <xdr:col>10</xdr:col>
      <xdr:colOff>1392681</xdr:colOff>
      <xdr:row>733</xdr:row>
      <xdr:rowOff>111125</xdr:rowOff>
    </xdr:to>
    <xdr:cxnSp macro="_xll.PtreeEvent_ObjectClick">
      <xdr:nvCxnSpPr>
        <xdr:cNvPr id="1475" name="PTObj_DBranchHLine_1_363">
          <a:extLst>
            <a:ext uri="{FF2B5EF4-FFF2-40B4-BE49-F238E27FC236}">
              <a16:creationId xmlns:a16="http://schemas.microsoft.com/office/drawing/2014/main" id="{E7ADB26A-5947-4CEB-9F8D-E6D961796EAF}"/>
            </a:ext>
          </a:extLst>
        </xdr:cNvPr>
        <xdr:cNvCxnSpPr/>
      </xdr:nvCxnSpPr>
      <xdr:spPr>
        <a:xfrm>
          <a:off x="18628804" y="132765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731</xdr:row>
      <xdr:rowOff>106040</xdr:rowOff>
    </xdr:from>
    <xdr:to>
      <xdr:col>10</xdr:col>
      <xdr:colOff>197929</xdr:colOff>
      <xdr:row>733</xdr:row>
      <xdr:rowOff>111125</xdr:rowOff>
    </xdr:to>
    <xdr:cxnSp macro="_xll.PtreeEvent_ObjectClick">
      <xdr:nvCxnSpPr>
        <xdr:cNvPr id="1474" name="PTObj_DBranchDLine_1_363">
          <a:extLst>
            <a:ext uri="{FF2B5EF4-FFF2-40B4-BE49-F238E27FC236}">
              <a16:creationId xmlns:a16="http://schemas.microsoft.com/office/drawing/2014/main" id="{1574DC7E-ECE8-4CBE-BB0E-6BC420F0FA0C}"/>
            </a:ext>
          </a:extLst>
        </xdr:cNvPr>
        <xdr:cNvCxnSpPr/>
      </xdr:nvCxnSpPr>
      <xdr:spPr>
        <a:xfrm>
          <a:off x="18476404" y="1323987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731</xdr:row>
      <xdr:rowOff>107317</xdr:rowOff>
    </xdr:from>
    <xdr:to>
      <xdr:col>9</xdr:col>
      <xdr:colOff>1388870</xdr:colOff>
      <xdr:row>731</xdr:row>
      <xdr:rowOff>107317</xdr:rowOff>
    </xdr:to>
    <xdr:cxnSp macro="_xll.PtreeEvent_ObjectClick">
      <xdr:nvCxnSpPr>
        <xdr:cNvPr id="1471" name="PTObj_DBranchHLine_1_362">
          <a:extLst>
            <a:ext uri="{FF2B5EF4-FFF2-40B4-BE49-F238E27FC236}">
              <a16:creationId xmlns:a16="http://schemas.microsoft.com/office/drawing/2014/main" id="{1969739F-24CA-43F7-9024-18BDBCE780B1}"/>
            </a:ext>
          </a:extLst>
        </xdr:cNvPr>
        <xdr:cNvCxnSpPr/>
      </xdr:nvCxnSpPr>
      <xdr:spPr>
        <a:xfrm>
          <a:off x="17206720" y="132400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729</xdr:row>
      <xdr:rowOff>102233</xdr:rowOff>
    </xdr:from>
    <xdr:to>
      <xdr:col>9</xdr:col>
      <xdr:colOff>204595</xdr:colOff>
      <xdr:row>731</xdr:row>
      <xdr:rowOff>107317</xdr:rowOff>
    </xdr:to>
    <xdr:cxnSp macro="_xll.PtreeEvent_ObjectClick">
      <xdr:nvCxnSpPr>
        <xdr:cNvPr id="1470" name="PTObj_DBranchDLine_1_362">
          <a:extLst>
            <a:ext uri="{FF2B5EF4-FFF2-40B4-BE49-F238E27FC236}">
              <a16:creationId xmlns:a16="http://schemas.microsoft.com/office/drawing/2014/main" id="{A7B24418-98B9-4181-9381-6FD274CE4307}"/>
            </a:ext>
          </a:extLst>
        </xdr:cNvPr>
        <xdr:cNvCxnSpPr/>
      </xdr:nvCxnSpPr>
      <xdr:spPr>
        <a:xfrm>
          <a:off x="17054320" y="1320330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729</xdr:row>
      <xdr:rowOff>103510</xdr:rowOff>
    </xdr:from>
    <xdr:to>
      <xdr:col>8</xdr:col>
      <xdr:colOff>1392681</xdr:colOff>
      <xdr:row>729</xdr:row>
      <xdr:rowOff>103510</xdr:rowOff>
    </xdr:to>
    <xdr:cxnSp macro="_xll.PtreeEvent_ObjectClick">
      <xdr:nvCxnSpPr>
        <xdr:cNvPr id="1467" name="PTObj_DBranchHLine_1_361">
          <a:extLst>
            <a:ext uri="{FF2B5EF4-FFF2-40B4-BE49-F238E27FC236}">
              <a16:creationId xmlns:a16="http://schemas.microsoft.com/office/drawing/2014/main" id="{BD64D220-ACF4-45C3-B98C-48ED08202B57}"/>
            </a:ext>
          </a:extLst>
        </xdr:cNvPr>
        <xdr:cNvCxnSpPr/>
      </xdr:nvCxnSpPr>
      <xdr:spPr>
        <a:xfrm>
          <a:off x="15782734" y="132034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729</xdr:row>
      <xdr:rowOff>103510</xdr:rowOff>
    </xdr:from>
    <xdr:to>
      <xdr:col>8</xdr:col>
      <xdr:colOff>209359</xdr:colOff>
      <xdr:row>737</xdr:row>
      <xdr:rowOff>108917</xdr:rowOff>
    </xdr:to>
    <xdr:cxnSp macro="_xll.PtreeEvent_ObjectClick">
      <xdr:nvCxnSpPr>
        <xdr:cNvPr id="1466" name="PTObj_DBranchDLine_1_361">
          <a:extLst>
            <a:ext uri="{FF2B5EF4-FFF2-40B4-BE49-F238E27FC236}">
              <a16:creationId xmlns:a16="http://schemas.microsoft.com/office/drawing/2014/main" id="{210BD88A-D4E2-4C4C-8C24-B8BF8D03A885}"/>
            </a:ext>
          </a:extLst>
        </xdr:cNvPr>
        <xdr:cNvCxnSpPr/>
      </xdr:nvCxnSpPr>
      <xdr:spPr>
        <a:xfrm flipV="1">
          <a:off x="15630334" y="132034285"/>
          <a:ext cx="152400" cy="14532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737</xdr:row>
      <xdr:rowOff>118740</xdr:rowOff>
    </xdr:from>
    <xdr:to>
      <xdr:col>7</xdr:col>
      <xdr:colOff>1398397</xdr:colOff>
      <xdr:row>737</xdr:row>
      <xdr:rowOff>118740</xdr:rowOff>
    </xdr:to>
    <xdr:cxnSp macro="_xll.PtreeEvent_ObjectClick">
      <xdr:nvCxnSpPr>
        <xdr:cNvPr id="1463" name="PTObj_DBranchHLine_1_365">
          <a:extLst>
            <a:ext uri="{FF2B5EF4-FFF2-40B4-BE49-F238E27FC236}">
              <a16:creationId xmlns:a16="http://schemas.microsoft.com/office/drawing/2014/main" id="{F032C24C-4F3C-4000-8541-67FDC878723D}"/>
            </a:ext>
          </a:extLst>
        </xdr:cNvPr>
        <xdr:cNvCxnSpPr/>
      </xdr:nvCxnSpPr>
      <xdr:spPr>
        <a:xfrm>
          <a:off x="14360652" y="1334973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737</xdr:row>
      <xdr:rowOff>118740</xdr:rowOff>
    </xdr:from>
    <xdr:to>
      <xdr:col>7</xdr:col>
      <xdr:colOff>216027</xdr:colOff>
      <xdr:row>747</xdr:row>
      <xdr:rowOff>138447</xdr:rowOff>
    </xdr:to>
    <xdr:cxnSp macro="_xll.PtreeEvent_ObjectClick">
      <xdr:nvCxnSpPr>
        <xdr:cNvPr id="1462" name="PTObj_DBranchDLine_1_365">
          <a:extLst>
            <a:ext uri="{FF2B5EF4-FFF2-40B4-BE49-F238E27FC236}">
              <a16:creationId xmlns:a16="http://schemas.microsoft.com/office/drawing/2014/main" id="{AAE3B840-164D-4BDE-894B-7D47FE424AB4}"/>
            </a:ext>
          </a:extLst>
        </xdr:cNvPr>
        <xdr:cNvCxnSpPr/>
      </xdr:nvCxnSpPr>
      <xdr:spPr>
        <a:xfrm flipV="1">
          <a:off x="14208252" y="133497315"/>
          <a:ext cx="152400" cy="18294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747</xdr:row>
      <xdr:rowOff>137790</xdr:rowOff>
    </xdr:from>
    <xdr:to>
      <xdr:col>6</xdr:col>
      <xdr:colOff>1402207</xdr:colOff>
      <xdr:row>747</xdr:row>
      <xdr:rowOff>137790</xdr:rowOff>
    </xdr:to>
    <xdr:cxnSp macro="_xll.PtreeEvent_ObjectClick">
      <xdr:nvCxnSpPr>
        <xdr:cNvPr id="1459" name="PTObj_DBranchHLine_1_370">
          <a:extLst>
            <a:ext uri="{FF2B5EF4-FFF2-40B4-BE49-F238E27FC236}">
              <a16:creationId xmlns:a16="http://schemas.microsoft.com/office/drawing/2014/main" id="{0489E62F-B506-4346-A6D1-18021BC09500}"/>
            </a:ext>
          </a:extLst>
        </xdr:cNvPr>
        <xdr:cNvCxnSpPr/>
      </xdr:nvCxnSpPr>
      <xdr:spPr>
        <a:xfrm>
          <a:off x="12938569" y="1353261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747</xdr:row>
      <xdr:rowOff>137790</xdr:rowOff>
    </xdr:from>
    <xdr:to>
      <xdr:col>6</xdr:col>
      <xdr:colOff>222694</xdr:colOff>
      <xdr:row>767</xdr:row>
      <xdr:rowOff>176547</xdr:rowOff>
    </xdr:to>
    <xdr:cxnSp macro="_xll.PtreeEvent_ObjectClick">
      <xdr:nvCxnSpPr>
        <xdr:cNvPr id="1458" name="PTObj_DBranchDLine_1_370">
          <a:extLst>
            <a:ext uri="{FF2B5EF4-FFF2-40B4-BE49-F238E27FC236}">
              <a16:creationId xmlns:a16="http://schemas.microsoft.com/office/drawing/2014/main" id="{CCB8A299-4C09-4C14-A18C-23CFE5790CEB}"/>
            </a:ext>
          </a:extLst>
        </xdr:cNvPr>
        <xdr:cNvCxnSpPr/>
      </xdr:nvCxnSpPr>
      <xdr:spPr>
        <a:xfrm flipV="1">
          <a:off x="12786169" y="135326115"/>
          <a:ext cx="152400" cy="36582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767</xdr:row>
      <xdr:rowOff>175890</xdr:rowOff>
    </xdr:from>
    <xdr:to>
      <xdr:col>5</xdr:col>
      <xdr:colOff>1407922</xdr:colOff>
      <xdr:row>767</xdr:row>
      <xdr:rowOff>175890</xdr:rowOff>
    </xdr:to>
    <xdr:cxnSp macro="_xll.PtreeEvent_ObjectClick">
      <xdr:nvCxnSpPr>
        <xdr:cNvPr id="1455" name="PTObj_DBranchHLine_1_380">
          <a:extLst>
            <a:ext uri="{FF2B5EF4-FFF2-40B4-BE49-F238E27FC236}">
              <a16:creationId xmlns:a16="http://schemas.microsoft.com/office/drawing/2014/main" id="{8146DD65-83B4-4544-A080-4521242721A4}"/>
            </a:ext>
          </a:extLst>
        </xdr:cNvPr>
        <xdr:cNvCxnSpPr/>
      </xdr:nvCxnSpPr>
      <xdr:spPr>
        <a:xfrm>
          <a:off x="11512676" y="138983715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727</xdr:row>
      <xdr:rowOff>98437</xdr:rowOff>
    </xdr:from>
    <xdr:to>
      <xdr:col>5</xdr:col>
      <xdr:colOff>225551</xdr:colOff>
      <xdr:row>767</xdr:row>
      <xdr:rowOff>175890</xdr:rowOff>
    </xdr:to>
    <xdr:cxnSp macro="_xll.PtreeEvent_ObjectClick">
      <xdr:nvCxnSpPr>
        <xdr:cNvPr id="1454" name="PTObj_DBranchDLine_1_380">
          <a:extLst>
            <a:ext uri="{FF2B5EF4-FFF2-40B4-BE49-F238E27FC236}">
              <a16:creationId xmlns:a16="http://schemas.microsoft.com/office/drawing/2014/main" id="{4ADCEC36-F759-4E79-9807-ECD79FE6411C}"/>
            </a:ext>
          </a:extLst>
        </xdr:cNvPr>
        <xdr:cNvCxnSpPr/>
      </xdr:nvCxnSpPr>
      <xdr:spPr>
        <a:xfrm>
          <a:off x="11360276" y="131667262"/>
          <a:ext cx="152400" cy="73164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725</xdr:row>
      <xdr:rowOff>95883</xdr:rowOff>
    </xdr:from>
    <xdr:to>
      <xdr:col>11</xdr:col>
      <xdr:colOff>1384111</xdr:colOff>
      <xdr:row>725</xdr:row>
      <xdr:rowOff>95883</xdr:rowOff>
    </xdr:to>
    <xdr:cxnSp macro="_xll.PtreeEvent_ObjectClick">
      <xdr:nvCxnSpPr>
        <xdr:cNvPr id="1451" name="PTObj_DBranchHLine_1_359">
          <a:extLst>
            <a:ext uri="{FF2B5EF4-FFF2-40B4-BE49-F238E27FC236}">
              <a16:creationId xmlns:a16="http://schemas.microsoft.com/office/drawing/2014/main" id="{55E5AF23-1B8D-4DC0-A3BD-FE642829780B}"/>
            </a:ext>
          </a:extLst>
        </xdr:cNvPr>
        <xdr:cNvCxnSpPr/>
      </xdr:nvCxnSpPr>
      <xdr:spPr>
        <a:xfrm>
          <a:off x="20056601" y="1313027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723</xdr:row>
      <xdr:rowOff>86990</xdr:rowOff>
    </xdr:from>
    <xdr:to>
      <xdr:col>11</xdr:col>
      <xdr:colOff>196976</xdr:colOff>
      <xdr:row>725</xdr:row>
      <xdr:rowOff>95883</xdr:rowOff>
    </xdr:to>
    <xdr:cxnSp macro="_xll.PtreeEvent_ObjectClick">
      <xdr:nvCxnSpPr>
        <xdr:cNvPr id="1450" name="PTObj_DBranchDLine_1_359">
          <a:extLst>
            <a:ext uri="{FF2B5EF4-FFF2-40B4-BE49-F238E27FC236}">
              <a16:creationId xmlns:a16="http://schemas.microsoft.com/office/drawing/2014/main" id="{ADB3F960-7EDF-459A-BDDD-1CA6589F770C}"/>
            </a:ext>
          </a:extLst>
        </xdr:cNvPr>
        <xdr:cNvCxnSpPr/>
      </xdr:nvCxnSpPr>
      <xdr:spPr>
        <a:xfrm>
          <a:off x="19904201" y="1309319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723</xdr:row>
      <xdr:rowOff>92075</xdr:rowOff>
    </xdr:from>
    <xdr:to>
      <xdr:col>10</xdr:col>
      <xdr:colOff>1392681</xdr:colOff>
      <xdr:row>723</xdr:row>
      <xdr:rowOff>92075</xdr:rowOff>
    </xdr:to>
    <xdr:cxnSp macro="_xll.PtreeEvent_ObjectClick">
      <xdr:nvCxnSpPr>
        <xdr:cNvPr id="1447" name="PTObj_DBranchHLine_1_358">
          <a:extLst>
            <a:ext uri="{FF2B5EF4-FFF2-40B4-BE49-F238E27FC236}">
              <a16:creationId xmlns:a16="http://schemas.microsoft.com/office/drawing/2014/main" id="{E6774072-EA92-459E-9906-6417A43141D8}"/>
            </a:ext>
          </a:extLst>
        </xdr:cNvPr>
        <xdr:cNvCxnSpPr/>
      </xdr:nvCxnSpPr>
      <xdr:spPr>
        <a:xfrm>
          <a:off x="18628804" y="130937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721</xdr:row>
      <xdr:rowOff>76522</xdr:rowOff>
    </xdr:from>
    <xdr:to>
      <xdr:col>10</xdr:col>
      <xdr:colOff>197929</xdr:colOff>
      <xdr:row>723</xdr:row>
      <xdr:rowOff>92075</xdr:rowOff>
    </xdr:to>
    <xdr:cxnSp macro="_xll.PtreeEvent_ObjectClick">
      <xdr:nvCxnSpPr>
        <xdr:cNvPr id="1446" name="PTObj_DBranchDLine_1_358">
          <a:extLst>
            <a:ext uri="{FF2B5EF4-FFF2-40B4-BE49-F238E27FC236}">
              <a16:creationId xmlns:a16="http://schemas.microsoft.com/office/drawing/2014/main" id="{66B32130-72D5-4D06-85C7-A6A1EF5DED89}"/>
            </a:ext>
          </a:extLst>
        </xdr:cNvPr>
        <xdr:cNvCxnSpPr/>
      </xdr:nvCxnSpPr>
      <xdr:spPr>
        <a:xfrm>
          <a:off x="18476404" y="1305594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721</xdr:row>
      <xdr:rowOff>88267</xdr:rowOff>
    </xdr:from>
    <xdr:to>
      <xdr:col>9</xdr:col>
      <xdr:colOff>1388870</xdr:colOff>
      <xdr:row>721</xdr:row>
      <xdr:rowOff>88267</xdr:rowOff>
    </xdr:to>
    <xdr:cxnSp macro="_xll.PtreeEvent_ObjectClick">
      <xdr:nvCxnSpPr>
        <xdr:cNvPr id="1443" name="PTObj_DBranchHLine_1_357">
          <a:extLst>
            <a:ext uri="{FF2B5EF4-FFF2-40B4-BE49-F238E27FC236}">
              <a16:creationId xmlns:a16="http://schemas.microsoft.com/office/drawing/2014/main" id="{A63E8E24-97C9-4B9A-A48F-159E56580210}"/>
            </a:ext>
          </a:extLst>
        </xdr:cNvPr>
        <xdr:cNvCxnSpPr/>
      </xdr:nvCxnSpPr>
      <xdr:spPr>
        <a:xfrm>
          <a:off x="17206720" y="130571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719</xdr:row>
      <xdr:rowOff>75567</xdr:rowOff>
    </xdr:from>
    <xdr:to>
      <xdr:col>9</xdr:col>
      <xdr:colOff>204595</xdr:colOff>
      <xdr:row>721</xdr:row>
      <xdr:rowOff>88267</xdr:rowOff>
    </xdr:to>
    <xdr:cxnSp macro="_xll.PtreeEvent_ObjectClick">
      <xdr:nvCxnSpPr>
        <xdr:cNvPr id="1442" name="PTObj_DBranchDLine_1_357">
          <a:extLst>
            <a:ext uri="{FF2B5EF4-FFF2-40B4-BE49-F238E27FC236}">
              <a16:creationId xmlns:a16="http://schemas.microsoft.com/office/drawing/2014/main" id="{C2A2E432-A905-4223-8338-F57DB8692090}"/>
            </a:ext>
          </a:extLst>
        </xdr:cNvPr>
        <xdr:cNvCxnSpPr/>
      </xdr:nvCxnSpPr>
      <xdr:spPr>
        <a:xfrm>
          <a:off x="17054320" y="130196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719</xdr:row>
      <xdr:rowOff>84460</xdr:rowOff>
    </xdr:from>
    <xdr:to>
      <xdr:col>8</xdr:col>
      <xdr:colOff>1392681</xdr:colOff>
      <xdr:row>719</xdr:row>
      <xdr:rowOff>84460</xdr:rowOff>
    </xdr:to>
    <xdr:cxnSp macro="_xll.PtreeEvent_ObjectClick">
      <xdr:nvCxnSpPr>
        <xdr:cNvPr id="1439" name="PTObj_DBranchHLine_1_356">
          <a:extLst>
            <a:ext uri="{FF2B5EF4-FFF2-40B4-BE49-F238E27FC236}">
              <a16:creationId xmlns:a16="http://schemas.microsoft.com/office/drawing/2014/main" id="{F28AD857-2721-4391-B1C9-2FC6918E115E}"/>
            </a:ext>
          </a:extLst>
        </xdr:cNvPr>
        <xdr:cNvCxnSpPr/>
      </xdr:nvCxnSpPr>
      <xdr:spPr>
        <a:xfrm>
          <a:off x="15782734" y="130205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717</xdr:row>
      <xdr:rowOff>75567</xdr:rowOff>
    </xdr:from>
    <xdr:to>
      <xdr:col>8</xdr:col>
      <xdr:colOff>209359</xdr:colOff>
      <xdr:row>719</xdr:row>
      <xdr:rowOff>84460</xdr:rowOff>
    </xdr:to>
    <xdr:cxnSp macro="_xll.PtreeEvent_ObjectClick">
      <xdr:nvCxnSpPr>
        <xdr:cNvPr id="1438" name="PTObj_DBranchDLine_1_356">
          <a:extLst>
            <a:ext uri="{FF2B5EF4-FFF2-40B4-BE49-F238E27FC236}">
              <a16:creationId xmlns:a16="http://schemas.microsoft.com/office/drawing/2014/main" id="{10A2F76D-07E0-4696-BFEE-FC8DA134215D}"/>
            </a:ext>
          </a:extLst>
        </xdr:cNvPr>
        <xdr:cNvCxnSpPr/>
      </xdr:nvCxnSpPr>
      <xdr:spPr>
        <a:xfrm>
          <a:off x="15630334" y="1298346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715</xdr:row>
      <xdr:rowOff>76833</xdr:rowOff>
    </xdr:from>
    <xdr:to>
      <xdr:col>11</xdr:col>
      <xdr:colOff>1385063</xdr:colOff>
      <xdr:row>715</xdr:row>
      <xdr:rowOff>76833</xdr:rowOff>
    </xdr:to>
    <xdr:cxnSp macro="_xll.PtreeEvent_ObjectClick">
      <xdr:nvCxnSpPr>
        <xdr:cNvPr id="1435" name="PTObj_DBranchHLine_1_354">
          <a:extLst>
            <a:ext uri="{FF2B5EF4-FFF2-40B4-BE49-F238E27FC236}">
              <a16:creationId xmlns:a16="http://schemas.microsoft.com/office/drawing/2014/main" id="{5EBF76BD-4CD6-41BB-B016-BF7BA00DA946}"/>
            </a:ext>
          </a:extLst>
        </xdr:cNvPr>
        <xdr:cNvCxnSpPr/>
      </xdr:nvCxnSpPr>
      <xdr:spPr>
        <a:xfrm>
          <a:off x="20056601" y="129473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713</xdr:row>
      <xdr:rowOff>70805</xdr:rowOff>
    </xdr:from>
    <xdr:to>
      <xdr:col>11</xdr:col>
      <xdr:colOff>196976</xdr:colOff>
      <xdr:row>715</xdr:row>
      <xdr:rowOff>76833</xdr:rowOff>
    </xdr:to>
    <xdr:cxnSp macro="_xll.PtreeEvent_ObjectClick">
      <xdr:nvCxnSpPr>
        <xdr:cNvPr id="1434" name="PTObj_DBranchDLine_1_354">
          <a:extLst>
            <a:ext uri="{FF2B5EF4-FFF2-40B4-BE49-F238E27FC236}">
              <a16:creationId xmlns:a16="http://schemas.microsoft.com/office/drawing/2014/main" id="{323A25EC-C54A-4BEC-B2DC-1E8480488584}"/>
            </a:ext>
          </a:extLst>
        </xdr:cNvPr>
        <xdr:cNvCxnSpPr/>
      </xdr:nvCxnSpPr>
      <xdr:spPr>
        <a:xfrm>
          <a:off x="19904201" y="129105980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713</xdr:row>
      <xdr:rowOff>73025</xdr:rowOff>
    </xdr:from>
    <xdr:to>
      <xdr:col>10</xdr:col>
      <xdr:colOff>1392681</xdr:colOff>
      <xdr:row>713</xdr:row>
      <xdr:rowOff>73025</xdr:rowOff>
    </xdr:to>
    <xdr:cxnSp macro="_xll.PtreeEvent_ObjectClick">
      <xdr:nvCxnSpPr>
        <xdr:cNvPr id="1431" name="PTObj_DBranchHLine_1_353">
          <a:extLst>
            <a:ext uri="{FF2B5EF4-FFF2-40B4-BE49-F238E27FC236}">
              <a16:creationId xmlns:a16="http://schemas.microsoft.com/office/drawing/2014/main" id="{19E68639-C167-4222-906C-9D26E2C5C6B7}"/>
            </a:ext>
          </a:extLst>
        </xdr:cNvPr>
        <xdr:cNvCxnSpPr/>
      </xdr:nvCxnSpPr>
      <xdr:spPr>
        <a:xfrm>
          <a:off x="18628804" y="129108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711</xdr:row>
      <xdr:rowOff>68907</xdr:rowOff>
    </xdr:from>
    <xdr:to>
      <xdr:col>10</xdr:col>
      <xdr:colOff>197929</xdr:colOff>
      <xdr:row>713</xdr:row>
      <xdr:rowOff>73025</xdr:rowOff>
    </xdr:to>
    <xdr:cxnSp macro="_xll.PtreeEvent_ObjectClick">
      <xdr:nvCxnSpPr>
        <xdr:cNvPr id="1430" name="PTObj_DBranchDLine_1_353">
          <a:extLst>
            <a:ext uri="{FF2B5EF4-FFF2-40B4-BE49-F238E27FC236}">
              <a16:creationId xmlns:a16="http://schemas.microsoft.com/office/drawing/2014/main" id="{E4FFF483-A92C-4598-B1C5-62C84C3C7FA4}"/>
            </a:ext>
          </a:extLst>
        </xdr:cNvPr>
        <xdr:cNvCxnSpPr/>
      </xdr:nvCxnSpPr>
      <xdr:spPr>
        <a:xfrm>
          <a:off x="18476404" y="1287421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711</xdr:row>
      <xdr:rowOff>69217</xdr:rowOff>
    </xdr:from>
    <xdr:to>
      <xdr:col>9</xdr:col>
      <xdr:colOff>1388870</xdr:colOff>
      <xdr:row>711</xdr:row>
      <xdr:rowOff>69217</xdr:rowOff>
    </xdr:to>
    <xdr:cxnSp macro="_xll.PtreeEvent_ObjectClick">
      <xdr:nvCxnSpPr>
        <xdr:cNvPr id="1427" name="PTObj_DBranchHLine_1_352">
          <a:extLst>
            <a:ext uri="{FF2B5EF4-FFF2-40B4-BE49-F238E27FC236}">
              <a16:creationId xmlns:a16="http://schemas.microsoft.com/office/drawing/2014/main" id="{FC973082-9925-46B3-B29D-2C0BE272FE8C}"/>
            </a:ext>
          </a:extLst>
        </xdr:cNvPr>
        <xdr:cNvCxnSpPr/>
      </xdr:nvCxnSpPr>
      <xdr:spPr>
        <a:xfrm>
          <a:off x="17206720" y="128742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709</xdr:row>
      <xdr:rowOff>63190</xdr:rowOff>
    </xdr:from>
    <xdr:to>
      <xdr:col>9</xdr:col>
      <xdr:colOff>204595</xdr:colOff>
      <xdr:row>711</xdr:row>
      <xdr:rowOff>69217</xdr:rowOff>
    </xdr:to>
    <xdr:cxnSp macro="_xll.PtreeEvent_ObjectClick">
      <xdr:nvCxnSpPr>
        <xdr:cNvPr id="1426" name="PTObj_DBranchDLine_1_352">
          <a:extLst>
            <a:ext uri="{FF2B5EF4-FFF2-40B4-BE49-F238E27FC236}">
              <a16:creationId xmlns:a16="http://schemas.microsoft.com/office/drawing/2014/main" id="{B84F31C0-4353-4DD0-9626-6E6195295341}"/>
            </a:ext>
          </a:extLst>
        </xdr:cNvPr>
        <xdr:cNvCxnSpPr/>
      </xdr:nvCxnSpPr>
      <xdr:spPr>
        <a:xfrm>
          <a:off x="17054320" y="1283744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709</xdr:row>
      <xdr:rowOff>65410</xdr:rowOff>
    </xdr:from>
    <xdr:to>
      <xdr:col>8</xdr:col>
      <xdr:colOff>1392681</xdr:colOff>
      <xdr:row>709</xdr:row>
      <xdr:rowOff>65410</xdr:rowOff>
    </xdr:to>
    <xdr:cxnSp macro="_xll.PtreeEvent_ObjectClick">
      <xdr:nvCxnSpPr>
        <xdr:cNvPr id="1423" name="PTObj_DBranchHLine_1_351">
          <a:extLst>
            <a:ext uri="{FF2B5EF4-FFF2-40B4-BE49-F238E27FC236}">
              <a16:creationId xmlns:a16="http://schemas.microsoft.com/office/drawing/2014/main" id="{4F11F105-6D5A-4325-A30E-55F64E19EE6B}"/>
            </a:ext>
          </a:extLst>
        </xdr:cNvPr>
        <xdr:cNvCxnSpPr/>
      </xdr:nvCxnSpPr>
      <xdr:spPr>
        <a:xfrm>
          <a:off x="15782734" y="128376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709</xdr:row>
      <xdr:rowOff>65410</xdr:rowOff>
    </xdr:from>
    <xdr:to>
      <xdr:col>8</xdr:col>
      <xdr:colOff>209359</xdr:colOff>
      <xdr:row>717</xdr:row>
      <xdr:rowOff>75567</xdr:rowOff>
    </xdr:to>
    <xdr:cxnSp macro="_xll.PtreeEvent_ObjectClick">
      <xdr:nvCxnSpPr>
        <xdr:cNvPr id="1422" name="PTObj_DBranchDLine_1_351">
          <a:extLst>
            <a:ext uri="{FF2B5EF4-FFF2-40B4-BE49-F238E27FC236}">
              <a16:creationId xmlns:a16="http://schemas.microsoft.com/office/drawing/2014/main" id="{1928825E-C520-45E7-B9C5-61AAD7A9469A}"/>
            </a:ext>
          </a:extLst>
        </xdr:cNvPr>
        <xdr:cNvCxnSpPr/>
      </xdr:nvCxnSpPr>
      <xdr:spPr>
        <a:xfrm flipV="1">
          <a:off x="15630334" y="1283766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717</xdr:row>
      <xdr:rowOff>80640</xdr:rowOff>
    </xdr:from>
    <xdr:to>
      <xdr:col>7</xdr:col>
      <xdr:colOff>1398397</xdr:colOff>
      <xdr:row>717</xdr:row>
      <xdr:rowOff>80640</xdr:rowOff>
    </xdr:to>
    <xdr:cxnSp macro="_xll.PtreeEvent_ObjectClick">
      <xdr:nvCxnSpPr>
        <xdr:cNvPr id="1419" name="PTObj_DBranchHLine_1_355">
          <a:extLst>
            <a:ext uri="{FF2B5EF4-FFF2-40B4-BE49-F238E27FC236}">
              <a16:creationId xmlns:a16="http://schemas.microsoft.com/office/drawing/2014/main" id="{98B3B3F6-0D0B-4BD3-BE64-BE09D224410C}"/>
            </a:ext>
          </a:extLst>
        </xdr:cNvPr>
        <xdr:cNvCxnSpPr/>
      </xdr:nvCxnSpPr>
      <xdr:spPr>
        <a:xfrm>
          <a:off x="14362557" y="1298397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707</xdr:row>
      <xdr:rowOff>56517</xdr:rowOff>
    </xdr:from>
    <xdr:to>
      <xdr:col>7</xdr:col>
      <xdr:colOff>217932</xdr:colOff>
      <xdr:row>717</xdr:row>
      <xdr:rowOff>80640</xdr:rowOff>
    </xdr:to>
    <xdr:cxnSp macro="_xll.PtreeEvent_ObjectClick">
      <xdr:nvCxnSpPr>
        <xdr:cNvPr id="1418" name="PTObj_DBranchDLine_1_355">
          <a:extLst>
            <a:ext uri="{FF2B5EF4-FFF2-40B4-BE49-F238E27FC236}">
              <a16:creationId xmlns:a16="http://schemas.microsoft.com/office/drawing/2014/main" id="{F929BBA1-DE75-4BE9-BFA4-F7EAD5FCE08A}"/>
            </a:ext>
          </a:extLst>
        </xdr:cNvPr>
        <xdr:cNvCxnSpPr/>
      </xdr:nvCxnSpPr>
      <xdr:spPr>
        <a:xfrm>
          <a:off x="14210157" y="128005842"/>
          <a:ext cx="152400" cy="18338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705</xdr:row>
      <xdr:rowOff>57783</xdr:rowOff>
    </xdr:from>
    <xdr:to>
      <xdr:col>11</xdr:col>
      <xdr:colOff>1392682</xdr:colOff>
      <xdr:row>705</xdr:row>
      <xdr:rowOff>57783</xdr:rowOff>
    </xdr:to>
    <xdr:cxnSp macro="_xll.PtreeEvent_ObjectClick">
      <xdr:nvCxnSpPr>
        <xdr:cNvPr id="1415" name="PTObj_DBranchHLine_1_349">
          <a:extLst>
            <a:ext uri="{FF2B5EF4-FFF2-40B4-BE49-F238E27FC236}">
              <a16:creationId xmlns:a16="http://schemas.microsoft.com/office/drawing/2014/main" id="{CB3AFC6F-FEFC-4C39-9319-82F965F02A55}"/>
            </a:ext>
          </a:extLst>
        </xdr:cNvPr>
        <xdr:cNvCxnSpPr/>
      </xdr:nvCxnSpPr>
      <xdr:spPr>
        <a:xfrm>
          <a:off x="20056601" y="1276451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703</xdr:row>
      <xdr:rowOff>41287</xdr:rowOff>
    </xdr:from>
    <xdr:to>
      <xdr:col>11</xdr:col>
      <xdr:colOff>196976</xdr:colOff>
      <xdr:row>705</xdr:row>
      <xdr:rowOff>57783</xdr:rowOff>
    </xdr:to>
    <xdr:cxnSp macro="_xll.PtreeEvent_ObjectClick">
      <xdr:nvCxnSpPr>
        <xdr:cNvPr id="1414" name="PTObj_DBranchDLine_1_349">
          <a:extLst>
            <a:ext uri="{FF2B5EF4-FFF2-40B4-BE49-F238E27FC236}">
              <a16:creationId xmlns:a16="http://schemas.microsoft.com/office/drawing/2014/main" id="{8F1CDE82-1CE2-4EE5-AC5C-98405D8B95B6}"/>
            </a:ext>
          </a:extLst>
        </xdr:cNvPr>
        <xdr:cNvCxnSpPr/>
      </xdr:nvCxnSpPr>
      <xdr:spPr>
        <a:xfrm>
          <a:off x="19904201" y="127266712"/>
          <a:ext cx="152400" cy="37844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703</xdr:row>
      <xdr:rowOff>53975</xdr:rowOff>
    </xdr:from>
    <xdr:to>
      <xdr:col>10</xdr:col>
      <xdr:colOff>1392681</xdr:colOff>
      <xdr:row>703</xdr:row>
      <xdr:rowOff>53975</xdr:rowOff>
    </xdr:to>
    <xdr:cxnSp macro="_xll.PtreeEvent_ObjectClick">
      <xdr:nvCxnSpPr>
        <xdr:cNvPr id="1411" name="PTObj_DBranchHLine_1_348">
          <a:extLst>
            <a:ext uri="{FF2B5EF4-FFF2-40B4-BE49-F238E27FC236}">
              <a16:creationId xmlns:a16="http://schemas.microsoft.com/office/drawing/2014/main" id="{36AC2E1D-8AFF-47FD-936E-2E441501883E}"/>
            </a:ext>
          </a:extLst>
        </xdr:cNvPr>
        <xdr:cNvCxnSpPr/>
      </xdr:nvCxnSpPr>
      <xdr:spPr>
        <a:xfrm>
          <a:off x="18628804" y="127279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701</xdr:row>
      <xdr:rowOff>38422</xdr:rowOff>
    </xdr:from>
    <xdr:to>
      <xdr:col>10</xdr:col>
      <xdr:colOff>197929</xdr:colOff>
      <xdr:row>703</xdr:row>
      <xdr:rowOff>53975</xdr:rowOff>
    </xdr:to>
    <xdr:cxnSp macro="_xll.PtreeEvent_ObjectClick">
      <xdr:nvCxnSpPr>
        <xdr:cNvPr id="1410" name="PTObj_DBranchDLine_1_348">
          <a:extLst>
            <a:ext uri="{FF2B5EF4-FFF2-40B4-BE49-F238E27FC236}">
              <a16:creationId xmlns:a16="http://schemas.microsoft.com/office/drawing/2014/main" id="{451E49F3-DC12-4B62-A1C2-E48AFA39FAD8}"/>
            </a:ext>
          </a:extLst>
        </xdr:cNvPr>
        <xdr:cNvCxnSpPr/>
      </xdr:nvCxnSpPr>
      <xdr:spPr>
        <a:xfrm>
          <a:off x="18476404" y="1269018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701</xdr:row>
      <xdr:rowOff>50167</xdr:rowOff>
    </xdr:from>
    <xdr:to>
      <xdr:col>9</xdr:col>
      <xdr:colOff>1388870</xdr:colOff>
      <xdr:row>701</xdr:row>
      <xdr:rowOff>50167</xdr:rowOff>
    </xdr:to>
    <xdr:cxnSp macro="_xll.PtreeEvent_ObjectClick">
      <xdr:nvCxnSpPr>
        <xdr:cNvPr id="1407" name="PTObj_DBranchHLine_1_347">
          <a:extLst>
            <a:ext uri="{FF2B5EF4-FFF2-40B4-BE49-F238E27FC236}">
              <a16:creationId xmlns:a16="http://schemas.microsoft.com/office/drawing/2014/main" id="{0CCAF78D-2E61-42C9-A704-45E10F577A39}"/>
            </a:ext>
          </a:extLst>
        </xdr:cNvPr>
        <xdr:cNvCxnSpPr/>
      </xdr:nvCxnSpPr>
      <xdr:spPr>
        <a:xfrm>
          <a:off x="17206720" y="126913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699</xdr:row>
      <xdr:rowOff>37467</xdr:rowOff>
    </xdr:from>
    <xdr:to>
      <xdr:col>9</xdr:col>
      <xdr:colOff>204595</xdr:colOff>
      <xdr:row>701</xdr:row>
      <xdr:rowOff>50167</xdr:rowOff>
    </xdr:to>
    <xdr:cxnSp macro="_xll.PtreeEvent_ObjectClick">
      <xdr:nvCxnSpPr>
        <xdr:cNvPr id="1406" name="PTObj_DBranchDLine_1_347">
          <a:extLst>
            <a:ext uri="{FF2B5EF4-FFF2-40B4-BE49-F238E27FC236}">
              <a16:creationId xmlns:a16="http://schemas.microsoft.com/office/drawing/2014/main" id="{2B88D132-CAE8-43EE-BDD7-6F43C371B07A}"/>
            </a:ext>
          </a:extLst>
        </xdr:cNvPr>
        <xdr:cNvCxnSpPr/>
      </xdr:nvCxnSpPr>
      <xdr:spPr>
        <a:xfrm>
          <a:off x="17054320" y="126538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699</xdr:row>
      <xdr:rowOff>46360</xdr:rowOff>
    </xdr:from>
    <xdr:to>
      <xdr:col>8</xdr:col>
      <xdr:colOff>1392681</xdr:colOff>
      <xdr:row>699</xdr:row>
      <xdr:rowOff>46360</xdr:rowOff>
    </xdr:to>
    <xdr:cxnSp macro="_xll.PtreeEvent_ObjectClick">
      <xdr:nvCxnSpPr>
        <xdr:cNvPr id="1403" name="PTObj_DBranchHLine_1_346">
          <a:extLst>
            <a:ext uri="{FF2B5EF4-FFF2-40B4-BE49-F238E27FC236}">
              <a16:creationId xmlns:a16="http://schemas.microsoft.com/office/drawing/2014/main" id="{760DD002-0BCA-4260-AE76-55F6C1C3779F}"/>
            </a:ext>
          </a:extLst>
        </xdr:cNvPr>
        <xdr:cNvCxnSpPr/>
      </xdr:nvCxnSpPr>
      <xdr:spPr>
        <a:xfrm>
          <a:off x="15782734" y="126547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697</xdr:row>
      <xdr:rowOff>37467</xdr:rowOff>
    </xdr:from>
    <xdr:to>
      <xdr:col>8</xdr:col>
      <xdr:colOff>209359</xdr:colOff>
      <xdr:row>699</xdr:row>
      <xdr:rowOff>46360</xdr:rowOff>
    </xdr:to>
    <xdr:cxnSp macro="_xll.PtreeEvent_ObjectClick">
      <xdr:nvCxnSpPr>
        <xdr:cNvPr id="1402" name="PTObj_DBranchDLine_1_346">
          <a:extLst>
            <a:ext uri="{FF2B5EF4-FFF2-40B4-BE49-F238E27FC236}">
              <a16:creationId xmlns:a16="http://schemas.microsoft.com/office/drawing/2014/main" id="{DEB880F8-4C37-44D6-B05B-61A4555C91A1}"/>
            </a:ext>
          </a:extLst>
        </xdr:cNvPr>
        <xdr:cNvCxnSpPr/>
      </xdr:nvCxnSpPr>
      <xdr:spPr>
        <a:xfrm>
          <a:off x="15630334" y="1261770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695</xdr:row>
      <xdr:rowOff>38733</xdr:rowOff>
    </xdr:from>
    <xdr:to>
      <xdr:col>11</xdr:col>
      <xdr:colOff>1385063</xdr:colOff>
      <xdr:row>695</xdr:row>
      <xdr:rowOff>38733</xdr:rowOff>
    </xdr:to>
    <xdr:cxnSp macro="_xll.PtreeEvent_ObjectClick">
      <xdr:nvCxnSpPr>
        <xdr:cNvPr id="1399" name="PTObj_DBranchHLine_1_344">
          <a:extLst>
            <a:ext uri="{FF2B5EF4-FFF2-40B4-BE49-F238E27FC236}">
              <a16:creationId xmlns:a16="http://schemas.microsoft.com/office/drawing/2014/main" id="{7239A812-87D1-46A3-BA6E-82523F4F5FA5}"/>
            </a:ext>
          </a:extLst>
        </xdr:cNvPr>
        <xdr:cNvCxnSpPr/>
      </xdr:nvCxnSpPr>
      <xdr:spPr>
        <a:xfrm>
          <a:off x="20056601" y="125816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693</xdr:row>
      <xdr:rowOff>32705</xdr:rowOff>
    </xdr:from>
    <xdr:to>
      <xdr:col>11</xdr:col>
      <xdr:colOff>196976</xdr:colOff>
      <xdr:row>695</xdr:row>
      <xdr:rowOff>38733</xdr:rowOff>
    </xdr:to>
    <xdr:cxnSp macro="_xll.PtreeEvent_ObjectClick">
      <xdr:nvCxnSpPr>
        <xdr:cNvPr id="1398" name="PTObj_DBranchDLine_1_344">
          <a:extLst>
            <a:ext uri="{FF2B5EF4-FFF2-40B4-BE49-F238E27FC236}">
              <a16:creationId xmlns:a16="http://schemas.microsoft.com/office/drawing/2014/main" id="{F1B20098-C071-4046-9698-02D51BA07131}"/>
            </a:ext>
          </a:extLst>
        </xdr:cNvPr>
        <xdr:cNvCxnSpPr/>
      </xdr:nvCxnSpPr>
      <xdr:spPr>
        <a:xfrm>
          <a:off x="19904201" y="125448380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693</xdr:row>
      <xdr:rowOff>34925</xdr:rowOff>
    </xdr:from>
    <xdr:to>
      <xdr:col>10</xdr:col>
      <xdr:colOff>1392681</xdr:colOff>
      <xdr:row>693</xdr:row>
      <xdr:rowOff>34925</xdr:rowOff>
    </xdr:to>
    <xdr:cxnSp macro="_xll.PtreeEvent_ObjectClick">
      <xdr:nvCxnSpPr>
        <xdr:cNvPr id="1395" name="PTObj_DBranchHLine_1_343">
          <a:extLst>
            <a:ext uri="{FF2B5EF4-FFF2-40B4-BE49-F238E27FC236}">
              <a16:creationId xmlns:a16="http://schemas.microsoft.com/office/drawing/2014/main" id="{34A64005-4714-4F15-B369-D7F937C0484F}"/>
            </a:ext>
          </a:extLst>
        </xdr:cNvPr>
        <xdr:cNvCxnSpPr/>
      </xdr:nvCxnSpPr>
      <xdr:spPr>
        <a:xfrm>
          <a:off x="18628804" y="125450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691</xdr:row>
      <xdr:rowOff>30807</xdr:rowOff>
    </xdr:from>
    <xdr:to>
      <xdr:col>10</xdr:col>
      <xdr:colOff>197929</xdr:colOff>
      <xdr:row>693</xdr:row>
      <xdr:rowOff>34925</xdr:rowOff>
    </xdr:to>
    <xdr:cxnSp macro="_xll.PtreeEvent_ObjectClick">
      <xdr:nvCxnSpPr>
        <xdr:cNvPr id="1394" name="PTObj_DBranchDLine_1_343">
          <a:extLst>
            <a:ext uri="{FF2B5EF4-FFF2-40B4-BE49-F238E27FC236}">
              <a16:creationId xmlns:a16="http://schemas.microsoft.com/office/drawing/2014/main" id="{1FD4A675-7D76-4DD6-A84E-CA33A8FD60ED}"/>
            </a:ext>
          </a:extLst>
        </xdr:cNvPr>
        <xdr:cNvCxnSpPr/>
      </xdr:nvCxnSpPr>
      <xdr:spPr>
        <a:xfrm>
          <a:off x="18476404" y="1250845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691</xdr:row>
      <xdr:rowOff>31117</xdr:rowOff>
    </xdr:from>
    <xdr:to>
      <xdr:col>9</xdr:col>
      <xdr:colOff>1388870</xdr:colOff>
      <xdr:row>691</xdr:row>
      <xdr:rowOff>31117</xdr:rowOff>
    </xdr:to>
    <xdr:cxnSp macro="_xll.PtreeEvent_ObjectClick">
      <xdr:nvCxnSpPr>
        <xdr:cNvPr id="1391" name="PTObj_DBranchHLine_1_342">
          <a:extLst>
            <a:ext uri="{FF2B5EF4-FFF2-40B4-BE49-F238E27FC236}">
              <a16:creationId xmlns:a16="http://schemas.microsoft.com/office/drawing/2014/main" id="{C1DBB7D6-D552-431C-A577-A9DB90D17803}"/>
            </a:ext>
          </a:extLst>
        </xdr:cNvPr>
        <xdr:cNvCxnSpPr/>
      </xdr:nvCxnSpPr>
      <xdr:spPr>
        <a:xfrm>
          <a:off x="17206720" y="125084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689</xdr:row>
      <xdr:rowOff>25090</xdr:rowOff>
    </xdr:from>
    <xdr:to>
      <xdr:col>9</xdr:col>
      <xdr:colOff>204595</xdr:colOff>
      <xdr:row>691</xdr:row>
      <xdr:rowOff>31117</xdr:rowOff>
    </xdr:to>
    <xdr:cxnSp macro="_xll.PtreeEvent_ObjectClick">
      <xdr:nvCxnSpPr>
        <xdr:cNvPr id="1390" name="PTObj_DBranchDLine_1_342">
          <a:extLst>
            <a:ext uri="{FF2B5EF4-FFF2-40B4-BE49-F238E27FC236}">
              <a16:creationId xmlns:a16="http://schemas.microsoft.com/office/drawing/2014/main" id="{A71DC4E3-F63F-4FB4-81EB-84EEDBE40FBC}"/>
            </a:ext>
          </a:extLst>
        </xdr:cNvPr>
        <xdr:cNvCxnSpPr/>
      </xdr:nvCxnSpPr>
      <xdr:spPr>
        <a:xfrm>
          <a:off x="17054320" y="1247168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689</xdr:row>
      <xdr:rowOff>27310</xdr:rowOff>
    </xdr:from>
    <xdr:to>
      <xdr:col>8</xdr:col>
      <xdr:colOff>1392681</xdr:colOff>
      <xdr:row>689</xdr:row>
      <xdr:rowOff>27310</xdr:rowOff>
    </xdr:to>
    <xdr:cxnSp macro="_xll.PtreeEvent_ObjectClick">
      <xdr:nvCxnSpPr>
        <xdr:cNvPr id="1387" name="PTObj_DBranchHLine_1_341">
          <a:extLst>
            <a:ext uri="{FF2B5EF4-FFF2-40B4-BE49-F238E27FC236}">
              <a16:creationId xmlns:a16="http://schemas.microsoft.com/office/drawing/2014/main" id="{E798B385-939D-4614-9D16-E21C39EF1AE6}"/>
            </a:ext>
          </a:extLst>
        </xdr:cNvPr>
        <xdr:cNvCxnSpPr/>
      </xdr:nvCxnSpPr>
      <xdr:spPr>
        <a:xfrm>
          <a:off x="15782734" y="124719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689</xdr:row>
      <xdr:rowOff>27310</xdr:rowOff>
    </xdr:from>
    <xdr:to>
      <xdr:col>8</xdr:col>
      <xdr:colOff>209359</xdr:colOff>
      <xdr:row>697</xdr:row>
      <xdr:rowOff>37467</xdr:rowOff>
    </xdr:to>
    <xdr:cxnSp macro="_xll.PtreeEvent_ObjectClick">
      <xdr:nvCxnSpPr>
        <xdr:cNvPr id="1386" name="PTObj_DBranchDLine_1_341">
          <a:extLst>
            <a:ext uri="{FF2B5EF4-FFF2-40B4-BE49-F238E27FC236}">
              <a16:creationId xmlns:a16="http://schemas.microsoft.com/office/drawing/2014/main" id="{8B4D7A61-C9E9-410B-85B0-10716C0C93C0}"/>
            </a:ext>
          </a:extLst>
        </xdr:cNvPr>
        <xdr:cNvCxnSpPr/>
      </xdr:nvCxnSpPr>
      <xdr:spPr>
        <a:xfrm flipV="1">
          <a:off x="15630334" y="1247190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697</xdr:row>
      <xdr:rowOff>42540</xdr:rowOff>
    </xdr:from>
    <xdr:to>
      <xdr:col>7</xdr:col>
      <xdr:colOff>1398397</xdr:colOff>
      <xdr:row>697</xdr:row>
      <xdr:rowOff>42540</xdr:rowOff>
    </xdr:to>
    <xdr:cxnSp macro="_xll.PtreeEvent_ObjectClick">
      <xdr:nvCxnSpPr>
        <xdr:cNvPr id="1383" name="PTObj_DBranchHLine_1_345">
          <a:extLst>
            <a:ext uri="{FF2B5EF4-FFF2-40B4-BE49-F238E27FC236}">
              <a16:creationId xmlns:a16="http://schemas.microsoft.com/office/drawing/2014/main" id="{940D91BF-0D9F-4AB0-90E6-1A333335CD56}"/>
            </a:ext>
          </a:extLst>
        </xdr:cNvPr>
        <xdr:cNvCxnSpPr/>
      </xdr:nvCxnSpPr>
      <xdr:spPr>
        <a:xfrm>
          <a:off x="14360652" y="1261821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697</xdr:row>
      <xdr:rowOff>42540</xdr:rowOff>
    </xdr:from>
    <xdr:to>
      <xdr:col>7</xdr:col>
      <xdr:colOff>216027</xdr:colOff>
      <xdr:row>707</xdr:row>
      <xdr:rowOff>56517</xdr:rowOff>
    </xdr:to>
    <xdr:cxnSp macro="_xll.PtreeEvent_ObjectClick">
      <xdr:nvCxnSpPr>
        <xdr:cNvPr id="1382" name="PTObj_DBranchDLine_1_345">
          <a:extLst>
            <a:ext uri="{FF2B5EF4-FFF2-40B4-BE49-F238E27FC236}">
              <a16:creationId xmlns:a16="http://schemas.microsoft.com/office/drawing/2014/main" id="{FC6D3A43-DF6A-40C1-A7AE-85200EB59954}"/>
            </a:ext>
          </a:extLst>
        </xdr:cNvPr>
        <xdr:cNvCxnSpPr/>
      </xdr:nvCxnSpPr>
      <xdr:spPr>
        <a:xfrm flipV="1">
          <a:off x="14208252" y="1261821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707</xdr:row>
      <xdr:rowOff>61590</xdr:rowOff>
    </xdr:from>
    <xdr:to>
      <xdr:col>6</xdr:col>
      <xdr:colOff>1402207</xdr:colOff>
      <xdr:row>707</xdr:row>
      <xdr:rowOff>61590</xdr:rowOff>
    </xdr:to>
    <xdr:cxnSp macro="_xll.PtreeEvent_ObjectClick">
      <xdr:nvCxnSpPr>
        <xdr:cNvPr id="1379" name="PTObj_DBranchHLine_1_350">
          <a:extLst>
            <a:ext uri="{FF2B5EF4-FFF2-40B4-BE49-F238E27FC236}">
              <a16:creationId xmlns:a16="http://schemas.microsoft.com/office/drawing/2014/main" id="{31486607-EE1E-4FEC-B10A-45FCE695FFB7}"/>
            </a:ext>
          </a:extLst>
        </xdr:cNvPr>
        <xdr:cNvCxnSpPr/>
      </xdr:nvCxnSpPr>
      <xdr:spPr>
        <a:xfrm>
          <a:off x="12936665" y="1280109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687</xdr:row>
      <xdr:rowOff>18417</xdr:rowOff>
    </xdr:from>
    <xdr:to>
      <xdr:col>6</xdr:col>
      <xdr:colOff>220790</xdr:colOff>
      <xdr:row>707</xdr:row>
      <xdr:rowOff>61590</xdr:rowOff>
    </xdr:to>
    <xdr:cxnSp macro="_xll.PtreeEvent_ObjectClick">
      <xdr:nvCxnSpPr>
        <xdr:cNvPr id="1378" name="PTObj_DBranchDLine_1_350">
          <a:extLst>
            <a:ext uri="{FF2B5EF4-FFF2-40B4-BE49-F238E27FC236}">
              <a16:creationId xmlns:a16="http://schemas.microsoft.com/office/drawing/2014/main" id="{29316310-6321-4CD1-A547-249A91880B6B}"/>
            </a:ext>
          </a:extLst>
        </xdr:cNvPr>
        <xdr:cNvCxnSpPr/>
      </xdr:nvCxnSpPr>
      <xdr:spPr>
        <a:xfrm>
          <a:off x="12784265" y="124348242"/>
          <a:ext cx="152400" cy="36626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685</xdr:row>
      <xdr:rowOff>19683</xdr:rowOff>
    </xdr:from>
    <xdr:to>
      <xdr:col>11</xdr:col>
      <xdr:colOff>1392682</xdr:colOff>
      <xdr:row>685</xdr:row>
      <xdr:rowOff>19683</xdr:rowOff>
    </xdr:to>
    <xdr:cxnSp macro="_xll.PtreeEvent_ObjectClick">
      <xdr:nvCxnSpPr>
        <xdr:cNvPr id="1375" name="PTObj_DBranchHLine_1_339">
          <a:extLst>
            <a:ext uri="{FF2B5EF4-FFF2-40B4-BE49-F238E27FC236}">
              <a16:creationId xmlns:a16="http://schemas.microsoft.com/office/drawing/2014/main" id="{77A963FD-C26F-4925-834E-B9C82A4339D5}"/>
            </a:ext>
          </a:extLst>
        </xdr:cNvPr>
        <xdr:cNvCxnSpPr/>
      </xdr:nvCxnSpPr>
      <xdr:spPr>
        <a:xfrm>
          <a:off x="20056601" y="1239875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683</xdr:row>
      <xdr:rowOff>3187</xdr:rowOff>
    </xdr:from>
    <xdr:to>
      <xdr:col>11</xdr:col>
      <xdr:colOff>196976</xdr:colOff>
      <xdr:row>685</xdr:row>
      <xdr:rowOff>19683</xdr:rowOff>
    </xdr:to>
    <xdr:cxnSp macro="_xll.PtreeEvent_ObjectClick">
      <xdr:nvCxnSpPr>
        <xdr:cNvPr id="1374" name="PTObj_DBranchDLine_1_339">
          <a:extLst>
            <a:ext uri="{FF2B5EF4-FFF2-40B4-BE49-F238E27FC236}">
              <a16:creationId xmlns:a16="http://schemas.microsoft.com/office/drawing/2014/main" id="{3D6FBF76-722D-42A7-9E6B-351E4B164755}"/>
            </a:ext>
          </a:extLst>
        </xdr:cNvPr>
        <xdr:cNvCxnSpPr/>
      </xdr:nvCxnSpPr>
      <xdr:spPr>
        <a:xfrm>
          <a:off x="19904201" y="123609112"/>
          <a:ext cx="152400" cy="37844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683</xdr:row>
      <xdr:rowOff>15875</xdr:rowOff>
    </xdr:from>
    <xdr:to>
      <xdr:col>10</xdr:col>
      <xdr:colOff>1392681</xdr:colOff>
      <xdr:row>683</xdr:row>
      <xdr:rowOff>15875</xdr:rowOff>
    </xdr:to>
    <xdr:cxnSp macro="_xll.PtreeEvent_ObjectClick">
      <xdr:nvCxnSpPr>
        <xdr:cNvPr id="1371" name="PTObj_DBranchHLine_1_338">
          <a:extLst>
            <a:ext uri="{FF2B5EF4-FFF2-40B4-BE49-F238E27FC236}">
              <a16:creationId xmlns:a16="http://schemas.microsoft.com/office/drawing/2014/main" id="{B1B84CB0-3F3E-4624-BA28-066F9B61B710}"/>
            </a:ext>
          </a:extLst>
        </xdr:cNvPr>
        <xdr:cNvCxnSpPr/>
      </xdr:nvCxnSpPr>
      <xdr:spPr>
        <a:xfrm>
          <a:off x="18628804" y="123621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681</xdr:row>
      <xdr:rowOff>322</xdr:rowOff>
    </xdr:from>
    <xdr:to>
      <xdr:col>10</xdr:col>
      <xdr:colOff>197929</xdr:colOff>
      <xdr:row>683</xdr:row>
      <xdr:rowOff>15875</xdr:rowOff>
    </xdr:to>
    <xdr:cxnSp macro="_xll.PtreeEvent_ObjectClick">
      <xdr:nvCxnSpPr>
        <xdr:cNvPr id="1370" name="PTObj_DBranchDLine_1_338">
          <a:extLst>
            <a:ext uri="{FF2B5EF4-FFF2-40B4-BE49-F238E27FC236}">
              <a16:creationId xmlns:a16="http://schemas.microsoft.com/office/drawing/2014/main" id="{D56C697D-E9C6-4B4C-B910-F5438D966755}"/>
            </a:ext>
          </a:extLst>
        </xdr:cNvPr>
        <xdr:cNvCxnSpPr/>
      </xdr:nvCxnSpPr>
      <xdr:spPr>
        <a:xfrm>
          <a:off x="18476404" y="1232442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681</xdr:row>
      <xdr:rowOff>12067</xdr:rowOff>
    </xdr:from>
    <xdr:to>
      <xdr:col>9</xdr:col>
      <xdr:colOff>1388870</xdr:colOff>
      <xdr:row>681</xdr:row>
      <xdr:rowOff>12067</xdr:rowOff>
    </xdr:to>
    <xdr:cxnSp macro="_xll.PtreeEvent_ObjectClick">
      <xdr:nvCxnSpPr>
        <xdr:cNvPr id="1367" name="PTObj_DBranchHLine_1_337">
          <a:extLst>
            <a:ext uri="{FF2B5EF4-FFF2-40B4-BE49-F238E27FC236}">
              <a16:creationId xmlns:a16="http://schemas.microsoft.com/office/drawing/2014/main" id="{093D2138-2DD8-44D0-907E-93F4832C4B84}"/>
            </a:ext>
          </a:extLst>
        </xdr:cNvPr>
        <xdr:cNvCxnSpPr/>
      </xdr:nvCxnSpPr>
      <xdr:spPr>
        <a:xfrm>
          <a:off x="17206720" y="123256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678</xdr:row>
      <xdr:rowOff>180342</xdr:rowOff>
    </xdr:from>
    <xdr:to>
      <xdr:col>9</xdr:col>
      <xdr:colOff>204595</xdr:colOff>
      <xdr:row>681</xdr:row>
      <xdr:rowOff>12067</xdr:rowOff>
    </xdr:to>
    <xdr:cxnSp macro="_xll.PtreeEvent_ObjectClick">
      <xdr:nvCxnSpPr>
        <xdr:cNvPr id="1366" name="PTObj_DBranchDLine_1_337">
          <a:extLst>
            <a:ext uri="{FF2B5EF4-FFF2-40B4-BE49-F238E27FC236}">
              <a16:creationId xmlns:a16="http://schemas.microsoft.com/office/drawing/2014/main" id="{628FC0E3-C322-450A-B71F-48CB3BA346BB}"/>
            </a:ext>
          </a:extLst>
        </xdr:cNvPr>
        <xdr:cNvCxnSpPr/>
      </xdr:nvCxnSpPr>
      <xdr:spPr>
        <a:xfrm>
          <a:off x="17054320" y="1228813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679</xdr:row>
      <xdr:rowOff>8260</xdr:rowOff>
    </xdr:from>
    <xdr:to>
      <xdr:col>8</xdr:col>
      <xdr:colOff>1392681</xdr:colOff>
      <xdr:row>679</xdr:row>
      <xdr:rowOff>8260</xdr:rowOff>
    </xdr:to>
    <xdr:cxnSp macro="_xll.PtreeEvent_ObjectClick">
      <xdr:nvCxnSpPr>
        <xdr:cNvPr id="1363" name="PTObj_DBranchHLine_1_336">
          <a:extLst>
            <a:ext uri="{FF2B5EF4-FFF2-40B4-BE49-F238E27FC236}">
              <a16:creationId xmlns:a16="http://schemas.microsoft.com/office/drawing/2014/main" id="{70978035-1802-4E92-A276-06ADD7FB592D}"/>
            </a:ext>
          </a:extLst>
        </xdr:cNvPr>
        <xdr:cNvCxnSpPr/>
      </xdr:nvCxnSpPr>
      <xdr:spPr>
        <a:xfrm>
          <a:off x="15782734" y="122890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676</xdr:row>
      <xdr:rowOff>180342</xdr:rowOff>
    </xdr:from>
    <xdr:to>
      <xdr:col>8</xdr:col>
      <xdr:colOff>209359</xdr:colOff>
      <xdr:row>679</xdr:row>
      <xdr:rowOff>8260</xdr:rowOff>
    </xdr:to>
    <xdr:cxnSp macro="_xll.PtreeEvent_ObjectClick">
      <xdr:nvCxnSpPr>
        <xdr:cNvPr id="1362" name="PTObj_DBranchDLine_1_336">
          <a:extLst>
            <a:ext uri="{FF2B5EF4-FFF2-40B4-BE49-F238E27FC236}">
              <a16:creationId xmlns:a16="http://schemas.microsoft.com/office/drawing/2014/main" id="{09CF5D23-3948-4C1D-88F4-EB4C138A9A12}"/>
            </a:ext>
          </a:extLst>
        </xdr:cNvPr>
        <xdr:cNvCxnSpPr/>
      </xdr:nvCxnSpPr>
      <xdr:spPr>
        <a:xfrm>
          <a:off x="15630334" y="1225194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675</xdr:row>
      <xdr:rowOff>633</xdr:rowOff>
    </xdr:from>
    <xdr:to>
      <xdr:col>11</xdr:col>
      <xdr:colOff>1385063</xdr:colOff>
      <xdr:row>675</xdr:row>
      <xdr:rowOff>633</xdr:rowOff>
    </xdr:to>
    <xdr:cxnSp macro="_xll.PtreeEvent_ObjectClick">
      <xdr:nvCxnSpPr>
        <xdr:cNvPr id="1359" name="PTObj_DBranchHLine_1_334">
          <a:extLst>
            <a:ext uri="{FF2B5EF4-FFF2-40B4-BE49-F238E27FC236}">
              <a16:creationId xmlns:a16="http://schemas.microsoft.com/office/drawing/2014/main" id="{31A4D5BA-BEE6-4C57-A7E4-B85C2A9241D8}"/>
            </a:ext>
          </a:extLst>
        </xdr:cNvPr>
        <xdr:cNvCxnSpPr/>
      </xdr:nvCxnSpPr>
      <xdr:spPr>
        <a:xfrm>
          <a:off x="20056601" y="122158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672</xdr:row>
      <xdr:rowOff>175580</xdr:rowOff>
    </xdr:from>
    <xdr:to>
      <xdr:col>11</xdr:col>
      <xdr:colOff>196976</xdr:colOff>
      <xdr:row>675</xdr:row>
      <xdr:rowOff>633</xdr:rowOff>
    </xdr:to>
    <xdr:cxnSp macro="_xll.PtreeEvent_ObjectClick">
      <xdr:nvCxnSpPr>
        <xdr:cNvPr id="1358" name="PTObj_DBranchDLine_1_334">
          <a:extLst>
            <a:ext uri="{FF2B5EF4-FFF2-40B4-BE49-F238E27FC236}">
              <a16:creationId xmlns:a16="http://schemas.microsoft.com/office/drawing/2014/main" id="{DDBF75B8-EB08-4F2F-A7FD-39E771895F8E}"/>
            </a:ext>
          </a:extLst>
        </xdr:cNvPr>
        <xdr:cNvCxnSpPr/>
      </xdr:nvCxnSpPr>
      <xdr:spPr>
        <a:xfrm>
          <a:off x="19904201" y="121790780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672</xdr:row>
      <xdr:rowOff>177800</xdr:rowOff>
    </xdr:from>
    <xdr:to>
      <xdr:col>10</xdr:col>
      <xdr:colOff>1392681</xdr:colOff>
      <xdr:row>672</xdr:row>
      <xdr:rowOff>177800</xdr:rowOff>
    </xdr:to>
    <xdr:cxnSp macro="_xll.PtreeEvent_ObjectClick">
      <xdr:nvCxnSpPr>
        <xdr:cNvPr id="1355" name="PTObj_DBranchHLine_1_333">
          <a:extLst>
            <a:ext uri="{FF2B5EF4-FFF2-40B4-BE49-F238E27FC236}">
              <a16:creationId xmlns:a16="http://schemas.microsoft.com/office/drawing/2014/main" id="{536FCE86-9A39-4D0A-8650-CD9C22CA9FAC}"/>
            </a:ext>
          </a:extLst>
        </xdr:cNvPr>
        <xdr:cNvCxnSpPr/>
      </xdr:nvCxnSpPr>
      <xdr:spPr>
        <a:xfrm>
          <a:off x="18628804" y="121793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670</xdr:row>
      <xdr:rowOff>173682</xdr:rowOff>
    </xdr:from>
    <xdr:to>
      <xdr:col>10</xdr:col>
      <xdr:colOff>197929</xdr:colOff>
      <xdr:row>672</xdr:row>
      <xdr:rowOff>177800</xdr:rowOff>
    </xdr:to>
    <xdr:cxnSp macro="_xll.PtreeEvent_ObjectClick">
      <xdr:nvCxnSpPr>
        <xdr:cNvPr id="1354" name="PTObj_DBranchDLine_1_333">
          <a:extLst>
            <a:ext uri="{FF2B5EF4-FFF2-40B4-BE49-F238E27FC236}">
              <a16:creationId xmlns:a16="http://schemas.microsoft.com/office/drawing/2014/main" id="{42137D21-8CB2-4457-8393-A49F159EF50F}"/>
            </a:ext>
          </a:extLst>
        </xdr:cNvPr>
        <xdr:cNvCxnSpPr/>
      </xdr:nvCxnSpPr>
      <xdr:spPr>
        <a:xfrm>
          <a:off x="18476404" y="1214269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670</xdr:row>
      <xdr:rowOff>173992</xdr:rowOff>
    </xdr:from>
    <xdr:to>
      <xdr:col>9</xdr:col>
      <xdr:colOff>1388870</xdr:colOff>
      <xdr:row>670</xdr:row>
      <xdr:rowOff>173992</xdr:rowOff>
    </xdr:to>
    <xdr:cxnSp macro="_xll.PtreeEvent_ObjectClick">
      <xdr:nvCxnSpPr>
        <xdr:cNvPr id="1351" name="PTObj_DBranchHLine_1_332">
          <a:extLst>
            <a:ext uri="{FF2B5EF4-FFF2-40B4-BE49-F238E27FC236}">
              <a16:creationId xmlns:a16="http://schemas.microsoft.com/office/drawing/2014/main" id="{9449672A-AFB7-48E3-BE86-72586A88EF16}"/>
            </a:ext>
          </a:extLst>
        </xdr:cNvPr>
        <xdr:cNvCxnSpPr/>
      </xdr:nvCxnSpPr>
      <xdr:spPr>
        <a:xfrm>
          <a:off x="17206720" y="121427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668</xdr:row>
      <xdr:rowOff>167965</xdr:rowOff>
    </xdr:from>
    <xdr:to>
      <xdr:col>9</xdr:col>
      <xdr:colOff>204595</xdr:colOff>
      <xdr:row>670</xdr:row>
      <xdr:rowOff>173992</xdr:rowOff>
    </xdr:to>
    <xdr:cxnSp macro="_xll.PtreeEvent_ObjectClick">
      <xdr:nvCxnSpPr>
        <xdr:cNvPr id="1350" name="PTObj_DBranchDLine_1_332">
          <a:extLst>
            <a:ext uri="{FF2B5EF4-FFF2-40B4-BE49-F238E27FC236}">
              <a16:creationId xmlns:a16="http://schemas.microsoft.com/office/drawing/2014/main" id="{9F4ED54A-A5D7-4598-BE69-1D3EC97A608E}"/>
            </a:ext>
          </a:extLst>
        </xdr:cNvPr>
        <xdr:cNvCxnSpPr/>
      </xdr:nvCxnSpPr>
      <xdr:spPr>
        <a:xfrm>
          <a:off x="17054320" y="1210592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668</xdr:row>
      <xdr:rowOff>170185</xdr:rowOff>
    </xdr:from>
    <xdr:to>
      <xdr:col>8</xdr:col>
      <xdr:colOff>1392681</xdr:colOff>
      <xdr:row>668</xdr:row>
      <xdr:rowOff>170185</xdr:rowOff>
    </xdr:to>
    <xdr:cxnSp macro="_xll.PtreeEvent_ObjectClick">
      <xdr:nvCxnSpPr>
        <xdr:cNvPr id="1347" name="PTObj_DBranchHLine_1_331">
          <a:extLst>
            <a:ext uri="{FF2B5EF4-FFF2-40B4-BE49-F238E27FC236}">
              <a16:creationId xmlns:a16="http://schemas.microsoft.com/office/drawing/2014/main" id="{A2010BDD-EB09-45D5-86A4-07B406F1C702}"/>
            </a:ext>
          </a:extLst>
        </xdr:cNvPr>
        <xdr:cNvCxnSpPr/>
      </xdr:nvCxnSpPr>
      <xdr:spPr>
        <a:xfrm>
          <a:off x="15782734" y="121061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668</xdr:row>
      <xdr:rowOff>170185</xdr:rowOff>
    </xdr:from>
    <xdr:to>
      <xdr:col>8</xdr:col>
      <xdr:colOff>209359</xdr:colOff>
      <xdr:row>676</xdr:row>
      <xdr:rowOff>180342</xdr:rowOff>
    </xdr:to>
    <xdr:cxnSp macro="_xll.PtreeEvent_ObjectClick">
      <xdr:nvCxnSpPr>
        <xdr:cNvPr id="1346" name="PTObj_DBranchDLine_1_331">
          <a:extLst>
            <a:ext uri="{FF2B5EF4-FFF2-40B4-BE49-F238E27FC236}">
              <a16:creationId xmlns:a16="http://schemas.microsoft.com/office/drawing/2014/main" id="{C0DAC071-3557-42BC-AF79-694DA23D2464}"/>
            </a:ext>
          </a:extLst>
        </xdr:cNvPr>
        <xdr:cNvCxnSpPr/>
      </xdr:nvCxnSpPr>
      <xdr:spPr>
        <a:xfrm flipV="1">
          <a:off x="15630334" y="1210614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677</xdr:row>
      <xdr:rowOff>4440</xdr:rowOff>
    </xdr:from>
    <xdr:to>
      <xdr:col>7</xdr:col>
      <xdr:colOff>1398397</xdr:colOff>
      <xdr:row>677</xdr:row>
      <xdr:rowOff>4440</xdr:rowOff>
    </xdr:to>
    <xdr:cxnSp macro="_xll.PtreeEvent_ObjectClick">
      <xdr:nvCxnSpPr>
        <xdr:cNvPr id="1343" name="PTObj_DBranchHLine_1_335">
          <a:extLst>
            <a:ext uri="{FF2B5EF4-FFF2-40B4-BE49-F238E27FC236}">
              <a16:creationId xmlns:a16="http://schemas.microsoft.com/office/drawing/2014/main" id="{89926CAD-F7FA-424A-BADF-D4DE4C198837}"/>
            </a:ext>
          </a:extLst>
        </xdr:cNvPr>
        <xdr:cNvCxnSpPr/>
      </xdr:nvCxnSpPr>
      <xdr:spPr>
        <a:xfrm>
          <a:off x="14362557" y="1225245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666</xdr:row>
      <xdr:rowOff>161292</xdr:rowOff>
    </xdr:from>
    <xdr:to>
      <xdr:col>7</xdr:col>
      <xdr:colOff>217932</xdr:colOff>
      <xdr:row>677</xdr:row>
      <xdr:rowOff>4440</xdr:rowOff>
    </xdr:to>
    <xdr:cxnSp macro="_xll.PtreeEvent_ObjectClick">
      <xdr:nvCxnSpPr>
        <xdr:cNvPr id="1342" name="PTObj_DBranchDLine_1_335">
          <a:extLst>
            <a:ext uri="{FF2B5EF4-FFF2-40B4-BE49-F238E27FC236}">
              <a16:creationId xmlns:a16="http://schemas.microsoft.com/office/drawing/2014/main" id="{403CD81C-9A2A-472C-8373-9FD2BFCF0270}"/>
            </a:ext>
          </a:extLst>
        </xdr:cNvPr>
        <xdr:cNvCxnSpPr/>
      </xdr:nvCxnSpPr>
      <xdr:spPr>
        <a:xfrm>
          <a:off x="14210157" y="120690642"/>
          <a:ext cx="152400" cy="18338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664</xdr:row>
      <xdr:rowOff>162558</xdr:rowOff>
    </xdr:from>
    <xdr:to>
      <xdr:col>11</xdr:col>
      <xdr:colOff>1392682</xdr:colOff>
      <xdr:row>664</xdr:row>
      <xdr:rowOff>162558</xdr:rowOff>
    </xdr:to>
    <xdr:cxnSp macro="_xll.PtreeEvent_ObjectClick">
      <xdr:nvCxnSpPr>
        <xdr:cNvPr id="1339" name="PTObj_DBranchHLine_1_329">
          <a:extLst>
            <a:ext uri="{FF2B5EF4-FFF2-40B4-BE49-F238E27FC236}">
              <a16:creationId xmlns:a16="http://schemas.microsoft.com/office/drawing/2014/main" id="{C708A94A-F3C1-42EC-8E89-66106D739D60}"/>
            </a:ext>
          </a:extLst>
        </xdr:cNvPr>
        <xdr:cNvCxnSpPr/>
      </xdr:nvCxnSpPr>
      <xdr:spPr>
        <a:xfrm>
          <a:off x="20056601" y="1203299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662</xdr:row>
      <xdr:rowOff>146062</xdr:rowOff>
    </xdr:from>
    <xdr:to>
      <xdr:col>11</xdr:col>
      <xdr:colOff>196976</xdr:colOff>
      <xdr:row>664</xdr:row>
      <xdr:rowOff>162558</xdr:rowOff>
    </xdr:to>
    <xdr:cxnSp macro="_xll.PtreeEvent_ObjectClick">
      <xdr:nvCxnSpPr>
        <xdr:cNvPr id="1338" name="PTObj_DBranchDLine_1_329">
          <a:extLst>
            <a:ext uri="{FF2B5EF4-FFF2-40B4-BE49-F238E27FC236}">
              <a16:creationId xmlns:a16="http://schemas.microsoft.com/office/drawing/2014/main" id="{F4563647-0B39-4626-BD5C-F1EE98E36723}"/>
            </a:ext>
          </a:extLst>
        </xdr:cNvPr>
        <xdr:cNvCxnSpPr/>
      </xdr:nvCxnSpPr>
      <xdr:spPr>
        <a:xfrm>
          <a:off x="19904201" y="119951512"/>
          <a:ext cx="152400" cy="37844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662</xdr:row>
      <xdr:rowOff>158750</xdr:rowOff>
    </xdr:from>
    <xdr:to>
      <xdr:col>10</xdr:col>
      <xdr:colOff>1392681</xdr:colOff>
      <xdr:row>662</xdr:row>
      <xdr:rowOff>158750</xdr:rowOff>
    </xdr:to>
    <xdr:cxnSp macro="_xll.PtreeEvent_ObjectClick">
      <xdr:nvCxnSpPr>
        <xdr:cNvPr id="1335" name="PTObj_DBranchHLine_1_328">
          <a:extLst>
            <a:ext uri="{FF2B5EF4-FFF2-40B4-BE49-F238E27FC236}">
              <a16:creationId xmlns:a16="http://schemas.microsoft.com/office/drawing/2014/main" id="{4050655F-B21A-4A48-AC60-ADFED8B4A5F0}"/>
            </a:ext>
          </a:extLst>
        </xdr:cNvPr>
        <xdr:cNvCxnSpPr/>
      </xdr:nvCxnSpPr>
      <xdr:spPr>
        <a:xfrm>
          <a:off x="18628804" y="119964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660</xdr:row>
      <xdr:rowOff>143197</xdr:rowOff>
    </xdr:from>
    <xdr:to>
      <xdr:col>10</xdr:col>
      <xdr:colOff>197929</xdr:colOff>
      <xdr:row>662</xdr:row>
      <xdr:rowOff>158750</xdr:rowOff>
    </xdr:to>
    <xdr:cxnSp macro="_xll.PtreeEvent_ObjectClick">
      <xdr:nvCxnSpPr>
        <xdr:cNvPr id="1334" name="PTObj_DBranchDLine_1_328">
          <a:extLst>
            <a:ext uri="{FF2B5EF4-FFF2-40B4-BE49-F238E27FC236}">
              <a16:creationId xmlns:a16="http://schemas.microsoft.com/office/drawing/2014/main" id="{60183531-4C58-4EEA-A46E-6BD6BF8FA9D8}"/>
            </a:ext>
          </a:extLst>
        </xdr:cNvPr>
        <xdr:cNvCxnSpPr/>
      </xdr:nvCxnSpPr>
      <xdr:spPr>
        <a:xfrm>
          <a:off x="18476404" y="1195866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660</xdr:row>
      <xdr:rowOff>154942</xdr:rowOff>
    </xdr:from>
    <xdr:to>
      <xdr:col>9</xdr:col>
      <xdr:colOff>1388870</xdr:colOff>
      <xdr:row>660</xdr:row>
      <xdr:rowOff>154942</xdr:rowOff>
    </xdr:to>
    <xdr:cxnSp macro="_xll.PtreeEvent_ObjectClick">
      <xdr:nvCxnSpPr>
        <xdr:cNvPr id="1331" name="PTObj_DBranchHLine_1_327">
          <a:extLst>
            <a:ext uri="{FF2B5EF4-FFF2-40B4-BE49-F238E27FC236}">
              <a16:creationId xmlns:a16="http://schemas.microsoft.com/office/drawing/2014/main" id="{F9C0A6D0-2435-4CE4-AB14-F41A92C24DDE}"/>
            </a:ext>
          </a:extLst>
        </xdr:cNvPr>
        <xdr:cNvCxnSpPr/>
      </xdr:nvCxnSpPr>
      <xdr:spPr>
        <a:xfrm>
          <a:off x="17206720" y="119598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658</xdr:row>
      <xdr:rowOff>142242</xdr:rowOff>
    </xdr:from>
    <xdr:to>
      <xdr:col>9</xdr:col>
      <xdr:colOff>204595</xdr:colOff>
      <xdr:row>660</xdr:row>
      <xdr:rowOff>154942</xdr:rowOff>
    </xdr:to>
    <xdr:cxnSp macro="_xll.PtreeEvent_ObjectClick">
      <xdr:nvCxnSpPr>
        <xdr:cNvPr id="1330" name="PTObj_DBranchDLine_1_327">
          <a:extLst>
            <a:ext uri="{FF2B5EF4-FFF2-40B4-BE49-F238E27FC236}">
              <a16:creationId xmlns:a16="http://schemas.microsoft.com/office/drawing/2014/main" id="{F7572E1A-6EF6-4A8E-A8AF-CCDA9CBEB811}"/>
            </a:ext>
          </a:extLst>
        </xdr:cNvPr>
        <xdr:cNvCxnSpPr/>
      </xdr:nvCxnSpPr>
      <xdr:spPr>
        <a:xfrm>
          <a:off x="17054320" y="1192237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658</xdr:row>
      <xdr:rowOff>151135</xdr:rowOff>
    </xdr:from>
    <xdr:to>
      <xdr:col>8</xdr:col>
      <xdr:colOff>1392681</xdr:colOff>
      <xdr:row>658</xdr:row>
      <xdr:rowOff>151135</xdr:rowOff>
    </xdr:to>
    <xdr:cxnSp macro="_xll.PtreeEvent_ObjectClick">
      <xdr:nvCxnSpPr>
        <xdr:cNvPr id="1327" name="PTObj_DBranchHLine_1_326">
          <a:extLst>
            <a:ext uri="{FF2B5EF4-FFF2-40B4-BE49-F238E27FC236}">
              <a16:creationId xmlns:a16="http://schemas.microsoft.com/office/drawing/2014/main" id="{04937B2D-1384-4B89-9A91-D897019051AD}"/>
            </a:ext>
          </a:extLst>
        </xdr:cNvPr>
        <xdr:cNvCxnSpPr/>
      </xdr:nvCxnSpPr>
      <xdr:spPr>
        <a:xfrm>
          <a:off x="15782734" y="119232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656</xdr:row>
      <xdr:rowOff>142242</xdr:rowOff>
    </xdr:from>
    <xdr:to>
      <xdr:col>8</xdr:col>
      <xdr:colOff>209359</xdr:colOff>
      <xdr:row>658</xdr:row>
      <xdr:rowOff>151135</xdr:rowOff>
    </xdr:to>
    <xdr:cxnSp macro="_xll.PtreeEvent_ObjectClick">
      <xdr:nvCxnSpPr>
        <xdr:cNvPr id="1326" name="PTObj_DBranchDLine_1_326">
          <a:extLst>
            <a:ext uri="{FF2B5EF4-FFF2-40B4-BE49-F238E27FC236}">
              <a16:creationId xmlns:a16="http://schemas.microsoft.com/office/drawing/2014/main" id="{244D05F1-2EFA-4107-8904-17B0E955A33E}"/>
            </a:ext>
          </a:extLst>
        </xdr:cNvPr>
        <xdr:cNvCxnSpPr/>
      </xdr:nvCxnSpPr>
      <xdr:spPr>
        <a:xfrm>
          <a:off x="15630334" y="1188618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654</xdr:row>
      <xdr:rowOff>143508</xdr:rowOff>
    </xdr:from>
    <xdr:to>
      <xdr:col>11</xdr:col>
      <xdr:colOff>1385063</xdr:colOff>
      <xdr:row>654</xdr:row>
      <xdr:rowOff>143508</xdr:rowOff>
    </xdr:to>
    <xdr:cxnSp macro="_xll.PtreeEvent_ObjectClick">
      <xdr:nvCxnSpPr>
        <xdr:cNvPr id="1323" name="PTObj_DBranchHLine_1_324">
          <a:extLst>
            <a:ext uri="{FF2B5EF4-FFF2-40B4-BE49-F238E27FC236}">
              <a16:creationId xmlns:a16="http://schemas.microsoft.com/office/drawing/2014/main" id="{444BA54A-F1B6-4F8C-B83D-06984EF94560}"/>
            </a:ext>
          </a:extLst>
        </xdr:cNvPr>
        <xdr:cNvCxnSpPr/>
      </xdr:nvCxnSpPr>
      <xdr:spPr>
        <a:xfrm>
          <a:off x="20056601" y="118501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652</xdr:row>
      <xdr:rowOff>137480</xdr:rowOff>
    </xdr:from>
    <xdr:to>
      <xdr:col>11</xdr:col>
      <xdr:colOff>196976</xdr:colOff>
      <xdr:row>654</xdr:row>
      <xdr:rowOff>143508</xdr:rowOff>
    </xdr:to>
    <xdr:cxnSp macro="_xll.PtreeEvent_ObjectClick">
      <xdr:nvCxnSpPr>
        <xdr:cNvPr id="1322" name="PTObj_DBranchDLine_1_324">
          <a:extLst>
            <a:ext uri="{FF2B5EF4-FFF2-40B4-BE49-F238E27FC236}">
              <a16:creationId xmlns:a16="http://schemas.microsoft.com/office/drawing/2014/main" id="{6A0A7E84-FB08-4D66-B735-C46BDC70B990}"/>
            </a:ext>
          </a:extLst>
        </xdr:cNvPr>
        <xdr:cNvCxnSpPr/>
      </xdr:nvCxnSpPr>
      <xdr:spPr>
        <a:xfrm>
          <a:off x="19904201" y="118133180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652</xdr:row>
      <xdr:rowOff>139700</xdr:rowOff>
    </xdr:from>
    <xdr:to>
      <xdr:col>10</xdr:col>
      <xdr:colOff>1392681</xdr:colOff>
      <xdr:row>652</xdr:row>
      <xdr:rowOff>139700</xdr:rowOff>
    </xdr:to>
    <xdr:cxnSp macro="_xll.PtreeEvent_ObjectClick">
      <xdr:nvCxnSpPr>
        <xdr:cNvPr id="1319" name="PTObj_DBranchHLine_1_323">
          <a:extLst>
            <a:ext uri="{FF2B5EF4-FFF2-40B4-BE49-F238E27FC236}">
              <a16:creationId xmlns:a16="http://schemas.microsoft.com/office/drawing/2014/main" id="{C2AC8C2D-6F92-46D2-BC82-519EE90995D2}"/>
            </a:ext>
          </a:extLst>
        </xdr:cNvPr>
        <xdr:cNvCxnSpPr/>
      </xdr:nvCxnSpPr>
      <xdr:spPr>
        <a:xfrm>
          <a:off x="18628804" y="118135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650</xdr:row>
      <xdr:rowOff>135582</xdr:rowOff>
    </xdr:from>
    <xdr:to>
      <xdr:col>10</xdr:col>
      <xdr:colOff>197929</xdr:colOff>
      <xdr:row>652</xdr:row>
      <xdr:rowOff>139700</xdr:rowOff>
    </xdr:to>
    <xdr:cxnSp macro="_xll.PtreeEvent_ObjectClick">
      <xdr:nvCxnSpPr>
        <xdr:cNvPr id="1318" name="PTObj_DBranchDLine_1_323">
          <a:extLst>
            <a:ext uri="{FF2B5EF4-FFF2-40B4-BE49-F238E27FC236}">
              <a16:creationId xmlns:a16="http://schemas.microsoft.com/office/drawing/2014/main" id="{38238B72-BC97-4C68-AFB6-DB0F6D77D15B}"/>
            </a:ext>
          </a:extLst>
        </xdr:cNvPr>
        <xdr:cNvCxnSpPr/>
      </xdr:nvCxnSpPr>
      <xdr:spPr>
        <a:xfrm>
          <a:off x="18476404" y="1177693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650</xdr:row>
      <xdr:rowOff>135892</xdr:rowOff>
    </xdr:from>
    <xdr:to>
      <xdr:col>9</xdr:col>
      <xdr:colOff>1388870</xdr:colOff>
      <xdr:row>650</xdr:row>
      <xdr:rowOff>135892</xdr:rowOff>
    </xdr:to>
    <xdr:cxnSp macro="_xll.PtreeEvent_ObjectClick">
      <xdr:nvCxnSpPr>
        <xdr:cNvPr id="1315" name="PTObj_DBranchHLine_1_322">
          <a:extLst>
            <a:ext uri="{FF2B5EF4-FFF2-40B4-BE49-F238E27FC236}">
              <a16:creationId xmlns:a16="http://schemas.microsoft.com/office/drawing/2014/main" id="{F31EEF1C-9C57-45B0-A089-D2305C616406}"/>
            </a:ext>
          </a:extLst>
        </xdr:cNvPr>
        <xdr:cNvCxnSpPr/>
      </xdr:nvCxnSpPr>
      <xdr:spPr>
        <a:xfrm>
          <a:off x="17206720" y="117769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648</xdr:row>
      <xdr:rowOff>129865</xdr:rowOff>
    </xdr:from>
    <xdr:to>
      <xdr:col>9</xdr:col>
      <xdr:colOff>204595</xdr:colOff>
      <xdr:row>650</xdr:row>
      <xdr:rowOff>135892</xdr:rowOff>
    </xdr:to>
    <xdr:cxnSp macro="_xll.PtreeEvent_ObjectClick">
      <xdr:nvCxnSpPr>
        <xdr:cNvPr id="1314" name="PTObj_DBranchDLine_1_322">
          <a:extLst>
            <a:ext uri="{FF2B5EF4-FFF2-40B4-BE49-F238E27FC236}">
              <a16:creationId xmlns:a16="http://schemas.microsoft.com/office/drawing/2014/main" id="{E010459C-3F55-46BD-94FF-094A4718FC0D}"/>
            </a:ext>
          </a:extLst>
        </xdr:cNvPr>
        <xdr:cNvCxnSpPr/>
      </xdr:nvCxnSpPr>
      <xdr:spPr>
        <a:xfrm>
          <a:off x="17054320" y="1174016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648</xdr:row>
      <xdr:rowOff>132085</xdr:rowOff>
    </xdr:from>
    <xdr:to>
      <xdr:col>8</xdr:col>
      <xdr:colOff>1392681</xdr:colOff>
      <xdr:row>648</xdr:row>
      <xdr:rowOff>132085</xdr:rowOff>
    </xdr:to>
    <xdr:cxnSp macro="_xll.PtreeEvent_ObjectClick">
      <xdr:nvCxnSpPr>
        <xdr:cNvPr id="1311" name="PTObj_DBranchHLine_1_321">
          <a:extLst>
            <a:ext uri="{FF2B5EF4-FFF2-40B4-BE49-F238E27FC236}">
              <a16:creationId xmlns:a16="http://schemas.microsoft.com/office/drawing/2014/main" id="{FD531E48-D606-4989-969E-72F00DE3EAD0}"/>
            </a:ext>
          </a:extLst>
        </xdr:cNvPr>
        <xdr:cNvCxnSpPr/>
      </xdr:nvCxnSpPr>
      <xdr:spPr>
        <a:xfrm>
          <a:off x="15782734" y="117403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648</xdr:row>
      <xdr:rowOff>132085</xdr:rowOff>
    </xdr:from>
    <xdr:to>
      <xdr:col>8</xdr:col>
      <xdr:colOff>209359</xdr:colOff>
      <xdr:row>656</xdr:row>
      <xdr:rowOff>142242</xdr:rowOff>
    </xdr:to>
    <xdr:cxnSp macro="_xll.PtreeEvent_ObjectClick">
      <xdr:nvCxnSpPr>
        <xdr:cNvPr id="1310" name="PTObj_DBranchDLine_1_321">
          <a:extLst>
            <a:ext uri="{FF2B5EF4-FFF2-40B4-BE49-F238E27FC236}">
              <a16:creationId xmlns:a16="http://schemas.microsoft.com/office/drawing/2014/main" id="{CAA68D51-7B7A-4F4B-A901-4BD57F98067C}"/>
            </a:ext>
          </a:extLst>
        </xdr:cNvPr>
        <xdr:cNvCxnSpPr/>
      </xdr:nvCxnSpPr>
      <xdr:spPr>
        <a:xfrm flipV="1">
          <a:off x="15630334" y="1174038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656</xdr:row>
      <xdr:rowOff>147315</xdr:rowOff>
    </xdr:from>
    <xdr:to>
      <xdr:col>7</xdr:col>
      <xdr:colOff>1398397</xdr:colOff>
      <xdr:row>656</xdr:row>
      <xdr:rowOff>147315</xdr:rowOff>
    </xdr:to>
    <xdr:cxnSp macro="_xll.PtreeEvent_ObjectClick">
      <xdr:nvCxnSpPr>
        <xdr:cNvPr id="1307" name="PTObj_DBranchHLine_1_325">
          <a:extLst>
            <a:ext uri="{FF2B5EF4-FFF2-40B4-BE49-F238E27FC236}">
              <a16:creationId xmlns:a16="http://schemas.microsoft.com/office/drawing/2014/main" id="{2E4DC187-70DD-4D1A-8F8D-4FA2DD3A68EE}"/>
            </a:ext>
          </a:extLst>
        </xdr:cNvPr>
        <xdr:cNvCxnSpPr/>
      </xdr:nvCxnSpPr>
      <xdr:spPr>
        <a:xfrm>
          <a:off x="14360652" y="1188669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656</xdr:row>
      <xdr:rowOff>147315</xdr:rowOff>
    </xdr:from>
    <xdr:to>
      <xdr:col>7</xdr:col>
      <xdr:colOff>216027</xdr:colOff>
      <xdr:row>666</xdr:row>
      <xdr:rowOff>161292</xdr:rowOff>
    </xdr:to>
    <xdr:cxnSp macro="_xll.PtreeEvent_ObjectClick">
      <xdr:nvCxnSpPr>
        <xdr:cNvPr id="1306" name="PTObj_DBranchDLine_1_325">
          <a:extLst>
            <a:ext uri="{FF2B5EF4-FFF2-40B4-BE49-F238E27FC236}">
              <a16:creationId xmlns:a16="http://schemas.microsoft.com/office/drawing/2014/main" id="{25F1C678-F4E5-46BD-BB81-8F73CF2F0A74}"/>
            </a:ext>
          </a:extLst>
        </xdr:cNvPr>
        <xdr:cNvCxnSpPr/>
      </xdr:nvCxnSpPr>
      <xdr:spPr>
        <a:xfrm flipV="1">
          <a:off x="14208252" y="118866915"/>
          <a:ext cx="152400" cy="18237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666</xdr:row>
      <xdr:rowOff>166365</xdr:rowOff>
    </xdr:from>
    <xdr:to>
      <xdr:col>6</xdr:col>
      <xdr:colOff>1402207</xdr:colOff>
      <xdr:row>666</xdr:row>
      <xdr:rowOff>166365</xdr:rowOff>
    </xdr:to>
    <xdr:cxnSp macro="_xll.PtreeEvent_ObjectClick">
      <xdr:nvCxnSpPr>
        <xdr:cNvPr id="1303" name="PTObj_DBranchHLine_1_330">
          <a:extLst>
            <a:ext uri="{FF2B5EF4-FFF2-40B4-BE49-F238E27FC236}">
              <a16:creationId xmlns:a16="http://schemas.microsoft.com/office/drawing/2014/main" id="{DE1D2AB5-5BD5-4CF0-B787-27FC27C03A1D}"/>
            </a:ext>
          </a:extLst>
        </xdr:cNvPr>
        <xdr:cNvCxnSpPr/>
      </xdr:nvCxnSpPr>
      <xdr:spPr>
        <a:xfrm>
          <a:off x="12938569" y="1206957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666</xdr:row>
      <xdr:rowOff>166365</xdr:rowOff>
    </xdr:from>
    <xdr:to>
      <xdr:col>6</xdr:col>
      <xdr:colOff>222694</xdr:colOff>
      <xdr:row>687</xdr:row>
      <xdr:rowOff>18417</xdr:rowOff>
    </xdr:to>
    <xdr:cxnSp macro="_xll.PtreeEvent_ObjectClick">
      <xdr:nvCxnSpPr>
        <xdr:cNvPr id="1302" name="PTObj_DBranchDLine_1_330">
          <a:extLst>
            <a:ext uri="{FF2B5EF4-FFF2-40B4-BE49-F238E27FC236}">
              <a16:creationId xmlns:a16="http://schemas.microsoft.com/office/drawing/2014/main" id="{689D593E-7A9B-452B-BAC3-E7DDA209B876}"/>
            </a:ext>
          </a:extLst>
        </xdr:cNvPr>
        <xdr:cNvCxnSpPr/>
      </xdr:nvCxnSpPr>
      <xdr:spPr>
        <a:xfrm flipV="1">
          <a:off x="12786169" y="120695715"/>
          <a:ext cx="152400" cy="365252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687</xdr:row>
      <xdr:rowOff>23490</xdr:rowOff>
    </xdr:from>
    <xdr:to>
      <xdr:col>5</xdr:col>
      <xdr:colOff>1407922</xdr:colOff>
      <xdr:row>687</xdr:row>
      <xdr:rowOff>23490</xdr:rowOff>
    </xdr:to>
    <xdr:cxnSp macro="_xll.PtreeEvent_ObjectClick">
      <xdr:nvCxnSpPr>
        <xdr:cNvPr id="1299" name="PTObj_DBranchHLine_1_340">
          <a:extLst>
            <a:ext uri="{FF2B5EF4-FFF2-40B4-BE49-F238E27FC236}">
              <a16:creationId xmlns:a16="http://schemas.microsoft.com/office/drawing/2014/main" id="{D0675215-72F3-4E58-9A5E-3CA2A3B0D50E}"/>
            </a:ext>
          </a:extLst>
        </xdr:cNvPr>
        <xdr:cNvCxnSpPr/>
      </xdr:nvCxnSpPr>
      <xdr:spPr>
        <a:xfrm>
          <a:off x="11510772" y="124353315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687</xdr:row>
      <xdr:rowOff>23490</xdr:rowOff>
    </xdr:from>
    <xdr:to>
      <xdr:col>5</xdr:col>
      <xdr:colOff>223647</xdr:colOff>
      <xdr:row>727</xdr:row>
      <xdr:rowOff>100347</xdr:rowOff>
    </xdr:to>
    <xdr:cxnSp macro="_xll.PtreeEvent_ObjectClick">
      <xdr:nvCxnSpPr>
        <xdr:cNvPr id="1298" name="PTObj_DBranchDLine_1_340">
          <a:extLst>
            <a:ext uri="{FF2B5EF4-FFF2-40B4-BE49-F238E27FC236}">
              <a16:creationId xmlns:a16="http://schemas.microsoft.com/office/drawing/2014/main" id="{EE391863-576C-4778-B4FC-BB3C18E70D24}"/>
            </a:ext>
          </a:extLst>
        </xdr:cNvPr>
        <xdr:cNvCxnSpPr/>
      </xdr:nvCxnSpPr>
      <xdr:spPr>
        <a:xfrm flipV="1">
          <a:off x="11358372" y="124353315"/>
          <a:ext cx="152400" cy="73158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226505</xdr:colOff>
      <xdr:row>727</xdr:row>
      <xdr:rowOff>99690</xdr:rowOff>
    </xdr:from>
    <xdr:to>
      <xdr:col>4</xdr:col>
      <xdr:colOff>1411732</xdr:colOff>
      <xdr:row>727</xdr:row>
      <xdr:rowOff>99690</xdr:rowOff>
    </xdr:to>
    <xdr:cxnSp macro="_xll.PtreeEvent_ObjectClick">
      <xdr:nvCxnSpPr>
        <xdr:cNvPr id="1295" name="PTObj_DBranchHLine_1_360">
          <a:extLst>
            <a:ext uri="{FF2B5EF4-FFF2-40B4-BE49-F238E27FC236}">
              <a16:creationId xmlns:a16="http://schemas.microsoft.com/office/drawing/2014/main" id="{71D4F4F2-1460-4697-AF10-54D69EEAC743}"/>
            </a:ext>
          </a:extLst>
        </xdr:cNvPr>
        <xdr:cNvCxnSpPr/>
      </xdr:nvCxnSpPr>
      <xdr:spPr>
        <a:xfrm>
          <a:off x="10084880" y="131668515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74105</xdr:colOff>
      <xdr:row>727</xdr:row>
      <xdr:rowOff>99690</xdr:rowOff>
    </xdr:from>
    <xdr:to>
      <xdr:col>4</xdr:col>
      <xdr:colOff>226505</xdr:colOff>
      <xdr:row>808</xdr:row>
      <xdr:rowOff>69862</xdr:rowOff>
    </xdr:to>
    <xdr:cxnSp macro="_xll.PtreeEvent_ObjectClick">
      <xdr:nvCxnSpPr>
        <xdr:cNvPr id="1294" name="PTObj_DBranchDLine_1_360">
          <a:extLst>
            <a:ext uri="{FF2B5EF4-FFF2-40B4-BE49-F238E27FC236}">
              <a16:creationId xmlns:a16="http://schemas.microsoft.com/office/drawing/2014/main" id="{A38BF789-95AA-42FF-A982-8DF17D4315D4}"/>
            </a:ext>
          </a:extLst>
        </xdr:cNvPr>
        <xdr:cNvCxnSpPr/>
      </xdr:nvCxnSpPr>
      <xdr:spPr>
        <a:xfrm flipV="1">
          <a:off x="9932480" y="131668515"/>
          <a:ext cx="152400" cy="1462914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228409</xdr:colOff>
      <xdr:row>808</xdr:row>
      <xdr:rowOff>71115</xdr:rowOff>
    </xdr:from>
    <xdr:to>
      <xdr:col>3</xdr:col>
      <xdr:colOff>1417447</xdr:colOff>
      <xdr:row>808</xdr:row>
      <xdr:rowOff>71115</xdr:rowOff>
    </xdr:to>
    <xdr:cxnSp macro="_xll.PtreeEvent_ObjectClick">
      <xdr:nvCxnSpPr>
        <xdr:cNvPr id="1291" name="PTObj_DBranchHLine_1_400">
          <a:extLst>
            <a:ext uri="{FF2B5EF4-FFF2-40B4-BE49-F238E27FC236}">
              <a16:creationId xmlns:a16="http://schemas.microsoft.com/office/drawing/2014/main" id="{BC0737AD-4137-458B-BEE6-1CEC7DCD430C}"/>
            </a:ext>
          </a:extLst>
        </xdr:cNvPr>
        <xdr:cNvCxnSpPr/>
      </xdr:nvCxnSpPr>
      <xdr:spPr>
        <a:xfrm>
          <a:off x="8658034" y="146298915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76009</xdr:colOff>
      <xdr:row>808</xdr:row>
      <xdr:rowOff>71115</xdr:rowOff>
    </xdr:from>
    <xdr:to>
      <xdr:col>3</xdr:col>
      <xdr:colOff>228409</xdr:colOff>
      <xdr:row>970</xdr:row>
      <xdr:rowOff>4142</xdr:rowOff>
    </xdr:to>
    <xdr:cxnSp macro="_xll.PtreeEvent_ObjectClick">
      <xdr:nvCxnSpPr>
        <xdr:cNvPr id="1290" name="PTObj_DBranchDLine_1_400">
          <a:extLst>
            <a:ext uri="{FF2B5EF4-FFF2-40B4-BE49-F238E27FC236}">
              <a16:creationId xmlns:a16="http://schemas.microsoft.com/office/drawing/2014/main" id="{F61AE6D1-94E0-4312-B021-344459D80E87}"/>
            </a:ext>
          </a:extLst>
        </xdr:cNvPr>
        <xdr:cNvCxnSpPr/>
      </xdr:nvCxnSpPr>
      <xdr:spPr>
        <a:xfrm flipV="1">
          <a:off x="8505634" y="146298915"/>
          <a:ext cx="152400" cy="29250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233172</xdr:colOff>
      <xdr:row>970</xdr:row>
      <xdr:rowOff>13965</xdr:rowOff>
    </xdr:from>
    <xdr:to>
      <xdr:col>2</xdr:col>
      <xdr:colOff>1421257</xdr:colOff>
      <xdr:row>970</xdr:row>
      <xdr:rowOff>13965</xdr:rowOff>
    </xdr:to>
    <xdr:cxnSp macro="_xll.PtreeEvent_ObjectClick">
      <xdr:nvCxnSpPr>
        <xdr:cNvPr id="1287" name="PTObj_DBranchHLine_1_480">
          <a:extLst>
            <a:ext uri="{FF2B5EF4-FFF2-40B4-BE49-F238E27FC236}">
              <a16:creationId xmlns:a16="http://schemas.microsoft.com/office/drawing/2014/main" id="{64D46E46-4AC9-492E-81DA-6542BDF13B45}"/>
            </a:ext>
          </a:extLst>
        </xdr:cNvPr>
        <xdr:cNvCxnSpPr/>
      </xdr:nvCxnSpPr>
      <xdr:spPr>
        <a:xfrm>
          <a:off x="7234047" y="175559715"/>
          <a:ext cx="118808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80772</xdr:colOff>
      <xdr:row>646</xdr:row>
      <xdr:rowOff>123192</xdr:rowOff>
    </xdr:from>
    <xdr:to>
      <xdr:col>2</xdr:col>
      <xdr:colOff>233172</xdr:colOff>
      <xdr:row>970</xdr:row>
      <xdr:rowOff>13965</xdr:rowOff>
    </xdr:to>
    <xdr:cxnSp macro="_xll.PtreeEvent_ObjectClick">
      <xdr:nvCxnSpPr>
        <xdr:cNvPr id="1286" name="PTObj_DBranchDLine_1_480">
          <a:extLst>
            <a:ext uri="{FF2B5EF4-FFF2-40B4-BE49-F238E27FC236}">
              <a16:creationId xmlns:a16="http://schemas.microsoft.com/office/drawing/2014/main" id="{F84B44F9-4624-4355-B560-D21DDF1855A4}"/>
            </a:ext>
          </a:extLst>
        </xdr:cNvPr>
        <xdr:cNvCxnSpPr/>
      </xdr:nvCxnSpPr>
      <xdr:spPr>
        <a:xfrm>
          <a:off x="7081647" y="117033042"/>
          <a:ext cx="152400" cy="5852667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644</xdr:row>
      <xdr:rowOff>124458</xdr:rowOff>
    </xdr:from>
    <xdr:to>
      <xdr:col>11</xdr:col>
      <xdr:colOff>1392682</xdr:colOff>
      <xdr:row>644</xdr:row>
      <xdr:rowOff>124458</xdr:rowOff>
    </xdr:to>
    <xdr:cxnSp macro="_xll.PtreeEvent_ObjectClick">
      <xdr:nvCxnSpPr>
        <xdr:cNvPr id="1283" name="PTObj_DBranchHLine_1_319">
          <a:extLst>
            <a:ext uri="{FF2B5EF4-FFF2-40B4-BE49-F238E27FC236}">
              <a16:creationId xmlns:a16="http://schemas.microsoft.com/office/drawing/2014/main" id="{FACB957B-F383-4BE7-9056-50FF481CB8F4}"/>
            </a:ext>
          </a:extLst>
        </xdr:cNvPr>
        <xdr:cNvCxnSpPr/>
      </xdr:nvCxnSpPr>
      <xdr:spPr>
        <a:xfrm>
          <a:off x="20056601" y="1166723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642</xdr:row>
      <xdr:rowOff>107962</xdr:rowOff>
    </xdr:from>
    <xdr:to>
      <xdr:col>11</xdr:col>
      <xdr:colOff>196976</xdr:colOff>
      <xdr:row>644</xdr:row>
      <xdr:rowOff>124458</xdr:rowOff>
    </xdr:to>
    <xdr:cxnSp macro="_xll.PtreeEvent_ObjectClick">
      <xdr:nvCxnSpPr>
        <xdr:cNvPr id="1282" name="PTObj_DBranchDLine_1_319">
          <a:extLst>
            <a:ext uri="{FF2B5EF4-FFF2-40B4-BE49-F238E27FC236}">
              <a16:creationId xmlns:a16="http://schemas.microsoft.com/office/drawing/2014/main" id="{0C862801-A319-41C4-BC1F-E2C6EFE9803F}"/>
            </a:ext>
          </a:extLst>
        </xdr:cNvPr>
        <xdr:cNvCxnSpPr/>
      </xdr:nvCxnSpPr>
      <xdr:spPr>
        <a:xfrm>
          <a:off x="19904201" y="116293912"/>
          <a:ext cx="152400" cy="37844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642</xdr:row>
      <xdr:rowOff>120650</xdr:rowOff>
    </xdr:from>
    <xdr:to>
      <xdr:col>10</xdr:col>
      <xdr:colOff>1392681</xdr:colOff>
      <xdr:row>642</xdr:row>
      <xdr:rowOff>120650</xdr:rowOff>
    </xdr:to>
    <xdr:cxnSp macro="_xll.PtreeEvent_ObjectClick">
      <xdr:nvCxnSpPr>
        <xdr:cNvPr id="1279" name="PTObj_DBranchHLine_1_318">
          <a:extLst>
            <a:ext uri="{FF2B5EF4-FFF2-40B4-BE49-F238E27FC236}">
              <a16:creationId xmlns:a16="http://schemas.microsoft.com/office/drawing/2014/main" id="{E9A033F4-AFEC-4F89-8E3C-43C150C8D48B}"/>
            </a:ext>
          </a:extLst>
        </xdr:cNvPr>
        <xdr:cNvCxnSpPr/>
      </xdr:nvCxnSpPr>
      <xdr:spPr>
        <a:xfrm>
          <a:off x="18628804" y="116306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640</xdr:row>
      <xdr:rowOff>105097</xdr:rowOff>
    </xdr:from>
    <xdr:to>
      <xdr:col>10</xdr:col>
      <xdr:colOff>197929</xdr:colOff>
      <xdr:row>642</xdr:row>
      <xdr:rowOff>120650</xdr:rowOff>
    </xdr:to>
    <xdr:cxnSp macro="_xll.PtreeEvent_ObjectClick">
      <xdr:nvCxnSpPr>
        <xdr:cNvPr id="1278" name="PTObj_DBranchDLine_1_318">
          <a:extLst>
            <a:ext uri="{FF2B5EF4-FFF2-40B4-BE49-F238E27FC236}">
              <a16:creationId xmlns:a16="http://schemas.microsoft.com/office/drawing/2014/main" id="{CB4565AE-5FE9-46EF-8133-6E8169F93AE7}"/>
            </a:ext>
          </a:extLst>
        </xdr:cNvPr>
        <xdr:cNvCxnSpPr/>
      </xdr:nvCxnSpPr>
      <xdr:spPr>
        <a:xfrm>
          <a:off x="18476404" y="1159290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640</xdr:row>
      <xdr:rowOff>116842</xdr:rowOff>
    </xdr:from>
    <xdr:to>
      <xdr:col>9</xdr:col>
      <xdr:colOff>1388870</xdr:colOff>
      <xdr:row>640</xdr:row>
      <xdr:rowOff>116842</xdr:rowOff>
    </xdr:to>
    <xdr:cxnSp macro="_xll.PtreeEvent_ObjectClick">
      <xdr:nvCxnSpPr>
        <xdr:cNvPr id="1275" name="PTObj_DBranchHLine_1_317">
          <a:extLst>
            <a:ext uri="{FF2B5EF4-FFF2-40B4-BE49-F238E27FC236}">
              <a16:creationId xmlns:a16="http://schemas.microsoft.com/office/drawing/2014/main" id="{E4F42F51-8D7C-43D5-B7BF-5748AA05BB77}"/>
            </a:ext>
          </a:extLst>
        </xdr:cNvPr>
        <xdr:cNvCxnSpPr/>
      </xdr:nvCxnSpPr>
      <xdr:spPr>
        <a:xfrm>
          <a:off x="17206720" y="115940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638</xdr:row>
      <xdr:rowOff>104142</xdr:rowOff>
    </xdr:from>
    <xdr:to>
      <xdr:col>9</xdr:col>
      <xdr:colOff>204595</xdr:colOff>
      <xdr:row>640</xdr:row>
      <xdr:rowOff>116842</xdr:rowOff>
    </xdr:to>
    <xdr:cxnSp macro="_xll.PtreeEvent_ObjectClick">
      <xdr:nvCxnSpPr>
        <xdr:cNvPr id="1274" name="PTObj_DBranchDLine_1_317">
          <a:extLst>
            <a:ext uri="{FF2B5EF4-FFF2-40B4-BE49-F238E27FC236}">
              <a16:creationId xmlns:a16="http://schemas.microsoft.com/office/drawing/2014/main" id="{558999E3-94E7-49F1-8D74-6290F3FF46F3}"/>
            </a:ext>
          </a:extLst>
        </xdr:cNvPr>
        <xdr:cNvCxnSpPr/>
      </xdr:nvCxnSpPr>
      <xdr:spPr>
        <a:xfrm>
          <a:off x="17054320" y="115566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638</xdr:row>
      <xdr:rowOff>113035</xdr:rowOff>
    </xdr:from>
    <xdr:to>
      <xdr:col>8</xdr:col>
      <xdr:colOff>1392681</xdr:colOff>
      <xdr:row>638</xdr:row>
      <xdr:rowOff>113035</xdr:rowOff>
    </xdr:to>
    <xdr:cxnSp macro="_xll.PtreeEvent_ObjectClick">
      <xdr:nvCxnSpPr>
        <xdr:cNvPr id="1271" name="PTObj_DBranchHLine_1_316">
          <a:extLst>
            <a:ext uri="{FF2B5EF4-FFF2-40B4-BE49-F238E27FC236}">
              <a16:creationId xmlns:a16="http://schemas.microsoft.com/office/drawing/2014/main" id="{EE4B0F39-5378-40E0-8127-E03557A7A486}"/>
            </a:ext>
          </a:extLst>
        </xdr:cNvPr>
        <xdr:cNvCxnSpPr/>
      </xdr:nvCxnSpPr>
      <xdr:spPr>
        <a:xfrm>
          <a:off x="15782734" y="115575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636</xdr:row>
      <xdr:rowOff>104142</xdr:rowOff>
    </xdr:from>
    <xdr:to>
      <xdr:col>8</xdr:col>
      <xdr:colOff>209359</xdr:colOff>
      <xdr:row>638</xdr:row>
      <xdr:rowOff>113035</xdr:rowOff>
    </xdr:to>
    <xdr:cxnSp macro="_xll.PtreeEvent_ObjectClick">
      <xdr:nvCxnSpPr>
        <xdr:cNvPr id="1270" name="PTObj_DBranchDLine_1_316">
          <a:extLst>
            <a:ext uri="{FF2B5EF4-FFF2-40B4-BE49-F238E27FC236}">
              <a16:creationId xmlns:a16="http://schemas.microsoft.com/office/drawing/2014/main" id="{B10DB746-7263-4ED8-AACA-98D47B9B8718}"/>
            </a:ext>
          </a:extLst>
        </xdr:cNvPr>
        <xdr:cNvCxnSpPr/>
      </xdr:nvCxnSpPr>
      <xdr:spPr>
        <a:xfrm>
          <a:off x="15630334" y="115204242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634</xdr:row>
      <xdr:rowOff>105408</xdr:rowOff>
    </xdr:from>
    <xdr:to>
      <xdr:col>11</xdr:col>
      <xdr:colOff>1385063</xdr:colOff>
      <xdr:row>634</xdr:row>
      <xdr:rowOff>105408</xdr:rowOff>
    </xdr:to>
    <xdr:cxnSp macro="_xll.PtreeEvent_ObjectClick">
      <xdr:nvCxnSpPr>
        <xdr:cNvPr id="1267" name="PTObj_DBranchHLine_1_314">
          <a:extLst>
            <a:ext uri="{FF2B5EF4-FFF2-40B4-BE49-F238E27FC236}">
              <a16:creationId xmlns:a16="http://schemas.microsoft.com/office/drawing/2014/main" id="{E7FEBB71-1E79-4B48-9251-C13EFC77F2ED}"/>
            </a:ext>
          </a:extLst>
        </xdr:cNvPr>
        <xdr:cNvCxnSpPr/>
      </xdr:nvCxnSpPr>
      <xdr:spPr>
        <a:xfrm>
          <a:off x="20056601" y="114843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632</xdr:row>
      <xdr:rowOff>99380</xdr:rowOff>
    </xdr:from>
    <xdr:to>
      <xdr:col>11</xdr:col>
      <xdr:colOff>196976</xdr:colOff>
      <xdr:row>634</xdr:row>
      <xdr:rowOff>105408</xdr:rowOff>
    </xdr:to>
    <xdr:cxnSp macro="_xll.PtreeEvent_ObjectClick">
      <xdr:nvCxnSpPr>
        <xdr:cNvPr id="1266" name="PTObj_DBranchDLine_1_314">
          <a:extLst>
            <a:ext uri="{FF2B5EF4-FFF2-40B4-BE49-F238E27FC236}">
              <a16:creationId xmlns:a16="http://schemas.microsoft.com/office/drawing/2014/main" id="{6665C961-784E-428B-931C-F98B1E6B0C53}"/>
            </a:ext>
          </a:extLst>
        </xdr:cNvPr>
        <xdr:cNvCxnSpPr/>
      </xdr:nvCxnSpPr>
      <xdr:spPr>
        <a:xfrm>
          <a:off x="19904201" y="114475580"/>
          <a:ext cx="152400" cy="3679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632</xdr:row>
      <xdr:rowOff>101600</xdr:rowOff>
    </xdr:from>
    <xdr:to>
      <xdr:col>10</xdr:col>
      <xdr:colOff>1392681</xdr:colOff>
      <xdr:row>632</xdr:row>
      <xdr:rowOff>101600</xdr:rowOff>
    </xdr:to>
    <xdr:cxnSp macro="_xll.PtreeEvent_ObjectClick">
      <xdr:nvCxnSpPr>
        <xdr:cNvPr id="1263" name="PTObj_DBranchHLine_1_313">
          <a:extLst>
            <a:ext uri="{FF2B5EF4-FFF2-40B4-BE49-F238E27FC236}">
              <a16:creationId xmlns:a16="http://schemas.microsoft.com/office/drawing/2014/main" id="{C807E884-1D02-41C7-9D12-7EBAE7B78B48}"/>
            </a:ext>
          </a:extLst>
        </xdr:cNvPr>
        <xdr:cNvCxnSpPr/>
      </xdr:nvCxnSpPr>
      <xdr:spPr>
        <a:xfrm>
          <a:off x="18628804" y="114477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630</xdr:row>
      <xdr:rowOff>97482</xdr:rowOff>
    </xdr:from>
    <xdr:to>
      <xdr:col>10</xdr:col>
      <xdr:colOff>197929</xdr:colOff>
      <xdr:row>632</xdr:row>
      <xdr:rowOff>101600</xdr:rowOff>
    </xdr:to>
    <xdr:cxnSp macro="_xll.PtreeEvent_ObjectClick">
      <xdr:nvCxnSpPr>
        <xdr:cNvPr id="1262" name="PTObj_DBranchDLine_1_313">
          <a:extLst>
            <a:ext uri="{FF2B5EF4-FFF2-40B4-BE49-F238E27FC236}">
              <a16:creationId xmlns:a16="http://schemas.microsoft.com/office/drawing/2014/main" id="{E3CB1DDF-A7BC-44AB-8034-2E815700089A}"/>
            </a:ext>
          </a:extLst>
        </xdr:cNvPr>
        <xdr:cNvCxnSpPr/>
      </xdr:nvCxnSpPr>
      <xdr:spPr>
        <a:xfrm>
          <a:off x="18476404" y="114111732"/>
          <a:ext cx="152400" cy="3660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630</xdr:row>
      <xdr:rowOff>97792</xdr:rowOff>
    </xdr:from>
    <xdr:to>
      <xdr:col>9</xdr:col>
      <xdr:colOff>1388870</xdr:colOff>
      <xdr:row>630</xdr:row>
      <xdr:rowOff>97792</xdr:rowOff>
    </xdr:to>
    <xdr:cxnSp macro="_xll.PtreeEvent_ObjectClick">
      <xdr:nvCxnSpPr>
        <xdr:cNvPr id="1259" name="PTObj_DBranchHLine_1_312">
          <a:extLst>
            <a:ext uri="{FF2B5EF4-FFF2-40B4-BE49-F238E27FC236}">
              <a16:creationId xmlns:a16="http://schemas.microsoft.com/office/drawing/2014/main" id="{8BA1EB4B-1031-4FA0-B356-97956F32C93E}"/>
            </a:ext>
          </a:extLst>
        </xdr:cNvPr>
        <xdr:cNvCxnSpPr/>
      </xdr:nvCxnSpPr>
      <xdr:spPr>
        <a:xfrm>
          <a:off x="17206720" y="114112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628</xdr:row>
      <xdr:rowOff>91765</xdr:rowOff>
    </xdr:from>
    <xdr:to>
      <xdr:col>9</xdr:col>
      <xdr:colOff>204595</xdr:colOff>
      <xdr:row>630</xdr:row>
      <xdr:rowOff>97792</xdr:rowOff>
    </xdr:to>
    <xdr:cxnSp macro="_xll.PtreeEvent_ObjectClick">
      <xdr:nvCxnSpPr>
        <xdr:cNvPr id="1258" name="PTObj_DBranchDLine_1_312">
          <a:extLst>
            <a:ext uri="{FF2B5EF4-FFF2-40B4-BE49-F238E27FC236}">
              <a16:creationId xmlns:a16="http://schemas.microsoft.com/office/drawing/2014/main" id="{F091E3EC-445D-4F8C-8991-ADF64D98AA4E}"/>
            </a:ext>
          </a:extLst>
        </xdr:cNvPr>
        <xdr:cNvCxnSpPr/>
      </xdr:nvCxnSpPr>
      <xdr:spPr>
        <a:xfrm>
          <a:off x="17054320" y="113744065"/>
          <a:ext cx="152400" cy="367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628</xdr:row>
      <xdr:rowOff>93985</xdr:rowOff>
    </xdr:from>
    <xdr:to>
      <xdr:col>8</xdr:col>
      <xdr:colOff>1392681</xdr:colOff>
      <xdr:row>628</xdr:row>
      <xdr:rowOff>93985</xdr:rowOff>
    </xdr:to>
    <xdr:cxnSp macro="_xll.PtreeEvent_ObjectClick">
      <xdr:nvCxnSpPr>
        <xdr:cNvPr id="1255" name="PTObj_DBranchHLine_1_311">
          <a:extLst>
            <a:ext uri="{FF2B5EF4-FFF2-40B4-BE49-F238E27FC236}">
              <a16:creationId xmlns:a16="http://schemas.microsoft.com/office/drawing/2014/main" id="{3FB1A8F8-4C65-44A9-BE9A-24645C706E74}"/>
            </a:ext>
          </a:extLst>
        </xdr:cNvPr>
        <xdr:cNvCxnSpPr/>
      </xdr:nvCxnSpPr>
      <xdr:spPr>
        <a:xfrm>
          <a:off x="15782734" y="113746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628</xdr:row>
      <xdr:rowOff>93985</xdr:rowOff>
    </xdr:from>
    <xdr:to>
      <xdr:col>8</xdr:col>
      <xdr:colOff>209359</xdr:colOff>
      <xdr:row>636</xdr:row>
      <xdr:rowOff>104142</xdr:rowOff>
    </xdr:to>
    <xdr:cxnSp macro="_xll.PtreeEvent_ObjectClick">
      <xdr:nvCxnSpPr>
        <xdr:cNvPr id="1254" name="PTObj_DBranchDLine_1_311">
          <a:extLst>
            <a:ext uri="{FF2B5EF4-FFF2-40B4-BE49-F238E27FC236}">
              <a16:creationId xmlns:a16="http://schemas.microsoft.com/office/drawing/2014/main" id="{44108290-57C8-48BC-ACDE-435475EB3B9B}"/>
            </a:ext>
          </a:extLst>
        </xdr:cNvPr>
        <xdr:cNvCxnSpPr/>
      </xdr:nvCxnSpPr>
      <xdr:spPr>
        <a:xfrm flipV="1">
          <a:off x="15630334" y="113746285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636</xdr:row>
      <xdr:rowOff>109215</xdr:rowOff>
    </xdr:from>
    <xdr:to>
      <xdr:col>7</xdr:col>
      <xdr:colOff>1398397</xdr:colOff>
      <xdr:row>636</xdr:row>
      <xdr:rowOff>109215</xdr:rowOff>
    </xdr:to>
    <xdr:cxnSp macro="_xll.PtreeEvent_ObjectClick">
      <xdr:nvCxnSpPr>
        <xdr:cNvPr id="1251" name="PTObj_DBranchHLine_1_315">
          <a:extLst>
            <a:ext uri="{FF2B5EF4-FFF2-40B4-BE49-F238E27FC236}">
              <a16:creationId xmlns:a16="http://schemas.microsoft.com/office/drawing/2014/main" id="{6A21E091-E71A-4641-AB2F-6D037ADEEED2}"/>
            </a:ext>
          </a:extLst>
        </xdr:cNvPr>
        <xdr:cNvCxnSpPr/>
      </xdr:nvCxnSpPr>
      <xdr:spPr>
        <a:xfrm>
          <a:off x="14362557" y="1152093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626</xdr:row>
      <xdr:rowOff>84150</xdr:rowOff>
    </xdr:from>
    <xdr:to>
      <xdr:col>7</xdr:col>
      <xdr:colOff>217932</xdr:colOff>
      <xdr:row>636</xdr:row>
      <xdr:rowOff>109215</xdr:rowOff>
    </xdr:to>
    <xdr:cxnSp macro="_xll.PtreeEvent_ObjectClick">
      <xdr:nvCxnSpPr>
        <xdr:cNvPr id="1250" name="PTObj_DBranchDLine_1_315">
          <a:extLst>
            <a:ext uri="{FF2B5EF4-FFF2-40B4-BE49-F238E27FC236}">
              <a16:creationId xmlns:a16="http://schemas.microsoft.com/office/drawing/2014/main" id="{B2F99DA7-D876-4125-A6C5-675E800482D9}"/>
            </a:ext>
          </a:extLst>
        </xdr:cNvPr>
        <xdr:cNvCxnSpPr/>
      </xdr:nvCxnSpPr>
      <xdr:spPr>
        <a:xfrm>
          <a:off x="14210157" y="113374500"/>
          <a:ext cx="152400" cy="18348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624</xdr:row>
      <xdr:rowOff>86358</xdr:rowOff>
    </xdr:from>
    <xdr:to>
      <xdr:col>11</xdr:col>
      <xdr:colOff>1385063</xdr:colOff>
      <xdr:row>624</xdr:row>
      <xdr:rowOff>86358</xdr:rowOff>
    </xdr:to>
    <xdr:cxnSp macro="_xll.PtreeEvent_ObjectClick">
      <xdr:nvCxnSpPr>
        <xdr:cNvPr id="1247" name="PTObj_DBranchHLine_1_309">
          <a:extLst>
            <a:ext uri="{FF2B5EF4-FFF2-40B4-BE49-F238E27FC236}">
              <a16:creationId xmlns:a16="http://schemas.microsoft.com/office/drawing/2014/main" id="{C3B77C55-EB11-417C-8419-0ABD6A0FBE3A}"/>
            </a:ext>
          </a:extLst>
        </xdr:cNvPr>
        <xdr:cNvCxnSpPr/>
      </xdr:nvCxnSpPr>
      <xdr:spPr>
        <a:xfrm>
          <a:off x="20056601" y="113014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622</xdr:row>
      <xdr:rowOff>73658</xdr:rowOff>
    </xdr:from>
    <xdr:to>
      <xdr:col>11</xdr:col>
      <xdr:colOff>196976</xdr:colOff>
      <xdr:row>624</xdr:row>
      <xdr:rowOff>86358</xdr:rowOff>
    </xdr:to>
    <xdr:cxnSp macro="_xll.PtreeEvent_ObjectClick">
      <xdr:nvCxnSpPr>
        <xdr:cNvPr id="1246" name="PTObj_DBranchDLine_1_309">
          <a:extLst>
            <a:ext uri="{FF2B5EF4-FFF2-40B4-BE49-F238E27FC236}">
              <a16:creationId xmlns:a16="http://schemas.microsoft.com/office/drawing/2014/main" id="{327B323F-5050-40BF-AA7F-CDB29F22D392}"/>
            </a:ext>
          </a:extLst>
        </xdr:cNvPr>
        <xdr:cNvCxnSpPr/>
      </xdr:nvCxnSpPr>
      <xdr:spPr>
        <a:xfrm>
          <a:off x="19904201" y="1126401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622</xdr:row>
      <xdr:rowOff>82550</xdr:rowOff>
    </xdr:from>
    <xdr:to>
      <xdr:col>10</xdr:col>
      <xdr:colOff>1392681</xdr:colOff>
      <xdr:row>622</xdr:row>
      <xdr:rowOff>82550</xdr:rowOff>
    </xdr:to>
    <xdr:cxnSp macro="_xll.PtreeEvent_ObjectClick">
      <xdr:nvCxnSpPr>
        <xdr:cNvPr id="1243" name="PTObj_DBranchHLine_1_308">
          <a:extLst>
            <a:ext uri="{FF2B5EF4-FFF2-40B4-BE49-F238E27FC236}">
              <a16:creationId xmlns:a16="http://schemas.microsoft.com/office/drawing/2014/main" id="{46D30F11-F6BF-4665-8ACB-B6967E5D4D4C}"/>
            </a:ext>
          </a:extLst>
        </xdr:cNvPr>
        <xdr:cNvCxnSpPr/>
      </xdr:nvCxnSpPr>
      <xdr:spPr>
        <a:xfrm>
          <a:off x="18628804" y="112649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620</xdr:row>
      <xdr:rowOff>77465</xdr:rowOff>
    </xdr:from>
    <xdr:to>
      <xdr:col>10</xdr:col>
      <xdr:colOff>197929</xdr:colOff>
      <xdr:row>622</xdr:row>
      <xdr:rowOff>82550</xdr:rowOff>
    </xdr:to>
    <xdr:cxnSp macro="_xll.PtreeEvent_ObjectClick">
      <xdr:nvCxnSpPr>
        <xdr:cNvPr id="1242" name="PTObj_DBranchDLine_1_308">
          <a:extLst>
            <a:ext uri="{FF2B5EF4-FFF2-40B4-BE49-F238E27FC236}">
              <a16:creationId xmlns:a16="http://schemas.microsoft.com/office/drawing/2014/main" id="{9E127917-BBC7-4495-99B2-463841E3F148}"/>
            </a:ext>
          </a:extLst>
        </xdr:cNvPr>
        <xdr:cNvCxnSpPr/>
      </xdr:nvCxnSpPr>
      <xdr:spPr>
        <a:xfrm>
          <a:off x="18476404" y="1122819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620</xdr:row>
      <xdr:rowOff>78742</xdr:rowOff>
    </xdr:from>
    <xdr:to>
      <xdr:col>9</xdr:col>
      <xdr:colOff>1388870</xdr:colOff>
      <xdr:row>620</xdr:row>
      <xdr:rowOff>78742</xdr:rowOff>
    </xdr:to>
    <xdr:cxnSp macro="_xll.PtreeEvent_ObjectClick">
      <xdr:nvCxnSpPr>
        <xdr:cNvPr id="1239" name="PTObj_DBranchHLine_1_307">
          <a:extLst>
            <a:ext uri="{FF2B5EF4-FFF2-40B4-BE49-F238E27FC236}">
              <a16:creationId xmlns:a16="http://schemas.microsoft.com/office/drawing/2014/main" id="{AF9E5254-57B6-45A6-9B2C-4110EF776BFD}"/>
            </a:ext>
          </a:extLst>
        </xdr:cNvPr>
        <xdr:cNvCxnSpPr/>
      </xdr:nvCxnSpPr>
      <xdr:spPr>
        <a:xfrm>
          <a:off x="17206720" y="112283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618</xdr:row>
      <xdr:rowOff>73658</xdr:rowOff>
    </xdr:from>
    <xdr:to>
      <xdr:col>9</xdr:col>
      <xdr:colOff>204595</xdr:colOff>
      <xdr:row>620</xdr:row>
      <xdr:rowOff>78742</xdr:rowOff>
    </xdr:to>
    <xdr:cxnSp macro="_xll.PtreeEvent_ObjectClick">
      <xdr:nvCxnSpPr>
        <xdr:cNvPr id="1238" name="PTObj_DBranchDLine_1_307">
          <a:extLst>
            <a:ext uri="{FF2B5EF4-FFF2-40B4-BE49-F238E27FC236}">
              <a16:creationId xmlns:a16="http://schemas.microsoft.com/office/drawing/2014/main" id="{133286A5-2D87-49D6-B0F0-2870F623C16C}"/>
            </a:ext>
          </a:extLst>
        </xdr:cNvPr>
        <xdr:cNvCxnSpPr/>
      </xdr:nvCxnSpPr>
      <xdr:spPr>
        <a:xfrm>
          <a:off x="17054320" y="1119162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618</xdr:row>
      <xdr:rowOff>74935</xdr:rowOff>
    </xdr:from>
    <xdr:to>
      <xdr:col>8</xdr:col>
      <xdr:colOff>1392681</xdr:colOff>
      <xdr:row>618</xdr:row>
      <xdr:rowOff>74935</xdr:rowOff>
    </xdr:to>
    <xdr:cxnSp macro="_xll.PtreeEvent_ObjectClick">
      <xdr:nvCxnSpPr>
        <xdr:cNvPr id="1235" name="PTObj_DBranchHLine_1_306">
          <a:extLst>
            <a:ext uri="{FF2B5EF4-FFF2-40B4-BE49-F238E27FC236}">
              <a16:creationId xmlns:a16="http://schemas.microsoft.com/office/drawing/2014/main" id="{6EC15912-408F-45D8-89B7-234279E09273}"/>
            </a:ext>
          </a:extLst>
        </xdr:cNvPr>
        <xdr:cNvCxnSpPr/>
      </xdr:nvCxnSpPr>
      <xdr:spPr>
        <a:xfrm>
          <a:off x="15782734" y="1119174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616</xdr:row>
      <xdr:rowOff>71772</xdr:rowOff>
    </xdr:from>
    <xdr:to>
      <xdr:col>8</xdr:col>
      <xdr:colOff>209359</xdr:colOff>
      <xdr:row>618</xdr:row>
      <xdr:rowOff>74935</xdr:rowOff>
    </xdr:to>
    <xdr:cxnSp macro="_xll.PtreeEvent_ObjectClick">
      <xdr:nvCxnSpPr>
        <xdr:cNvPr id="1234" name="PTObj_DBranchDLine_1_306">
          <a:extLst>
            <a:ext uri="{FF2B5EF4-FFF2-40B4-BE49-F238E27FC236}">
              <a16:creationId xmlns:a16="http://schemas.microsoft.com/office/drawing/2014/main" id="{0CB1230F-4FEC-417D-A956-383D250ECA79}"/>
            </a:ext>
          </a:extLst>
        </xdr:cNvPr>
        <xdr:cNvCxnSpPr/>
      </xdr:nvCxnSpPr>
      <xdr:spPr>
        <a:xfrm>
          <a:off x="15630334" y="1115523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614</xdr:row>
      <xdr:rowOff>67308</xdr:rowOff>
    </xdr:from>
    <xdr:to>
      <xdr:col>11</xdr:col>
      <xdr:colOff>1384111</xdr:colOff>
      <xdr:row>614</xdr:row>
      <xdr:rowOff>67308</xdr:rowOff>
    </xdr:to>
    <xdr:cxnSp macro="_xll.PtreeEvent_ObjectClick">
      <xdr:nvCxnSpPr>
        <xdr:cNvPr id="1231" name="PTObj_DBranchHLine_1_304">
          <a:extLst>
            <a:ext uri="{FF2B5EF4-FFF2-40B4-BE49-F238E27FC236}">
              <a16:creationId xmlns:a16="http://schemas.microsoft.com/office/drawing/2014/main" id="{78C0690D-20DE-4919-86DE-74AADEABA106}"/>
            </a:ext>
          </a:extLst>
        </xdr:cNvPr>
        <xdr:cNvCxnSpPr/>
      </xdr:nvCxnSpPr>
      <xdr:spPr>
        <a:xfrm>
          <a:off x="20056601" y="1111859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612</xdr:row>
      <xdr:rowOff>58415</xdr:rowOff>
    </xdr:from>
    <xdr:to>
      <xdr:col>11</xdr:col>
      <xdr:colOff>196976</xdr:colOff>
      <xdr:row>614</xdr:row>
      <xdr:rowOff>67308</xdr:rowOff>
    </xdr:to>
    <xdr:cxnSp macro="_xll.PtreeEvent_ObjectClick">
      <xdr:nvCxnSpPr>
        <xdr:cNvPr id="1230" name="PTObj_DBranchDLine_1_304">
          <a:extLst>
            <a:ext uri="{FF2B5EF4-FFF2-40B4-BE49-F238E27FC236}">
              <a16:creationId xmlns:a16="http://schemas.microsoft.com/office/drawing/2014/main" id="{D456BC95-C249-487D-B2BC-04D497F473E3}"/>
            </a:ext>
          </a:extLst>
        </xdr:cNvPr>
        <xdr:cNvCxnSpPr/>
      </xdr:nvCxnSpPr>
      <xdr:spPr>
        <a:xfrm>
          <a:off x="19904201" y="1108151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612</xdr:row>
      <xdr:rowOff>63500</xdr:rowOff>
    </xdr:from>
    <xdr:to>
      <xdr:col>10</xdr:col>
      <xdr:colOff>1392681</xdr:colOff>
      <xdr:row>612</xdr:row>
      <xdr:rowOff>63500</xdr:rowOff>
    </xdr:to>
    <xdr:cxnSp macro="_xll.PtreeEvent_ObjectClick">
      <xdr:nvCxnSpPr>
        <xdr:cNvPr id="1227" name="PTObj_DBranchHLine_1_303">
          <a:extLst>
            <a:ext uri="{FF2B5EF4-FFF2-40B4-BE49-F238E27FC236}">
              <a16:creationId xmlns:a16="http://schemas.microsoft.com/office/drawing/2014/main" id="{ED064FCC-5364-4F39-ABD4-E0C4EA5D3721}"/>
            </a:ext>
          </a:extLst>
        </xdr:cNvPr>
        <xdr:cNvCxnSpPr/>
      </xdr:nvCxnSpPr>
      <xdr:spPr>
        <a:xfrm>
          <a:off x="18628804" y="110820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610</xdr:row>
      <xdr:rowOff>54608</xdr:rowOff>
    </xdr:from>
    <xdr:to>
      <xdr:col>10</xdr:col>
      <xdr:colOff>197929</xdr:colOff>
      <xdr:row>612</xdr:row>
      <xdr:rowOff>63500</xdr:rowOff>
    </xdr:to>
    <xdr:cxnSp macro="_xll.PtreeEvent_ObjectClick">
      <xdr:nvCxnSpPr>
        <xdr:cNvPr id="1226" name="PTObj_DBranchDLine_1_303">
          <a:extLst>
            <a:ext uri="{FF2B5EF4-FFF2-40B4-BE49-F238E27FC236}">
              <a16:creationId xmlns:a16="http://schemas.microsoft.com/office/drawing/2014/main" id="{663F86D9-0F9E-4C31-B7F4-A4953C9E5C9E}"/>
            </a:ext>
          </a:extLst>
        </xdr:cNvPr>
        <xdr:cNvCxnSpPr/>
      </xdr:nvCxnSpPr>
      <xdr:spPr>
        <a:xfrm>
          <a:off x="18476404" y="1104493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610</xdr:row>
      <xdr:rowOff>59692</xdr:rowOff>
    </xdr:from>
    <xdr:to>
      <xdr:col>9</xdr:col>
      <xdr:colOff>1388870</xdr:colOff>
      <xdr:row>610</xdr:row>
      <xdr:rowOff>59692</xdr:rowOff>
    </xdr:to>
    <xdr:cxnSp macro="_xll.PtreeEvent_ObjectClick">
      <xdr:nvCxnSpPr>
        <xdr:cNvPr id="1223" name="PTObj_DBranchHLine_1_302">
          <a:extLst>
            <a:ext uri="{FF2B5EF4-FFF2-40B4-BE49-F238E27FC236}">
              <a16:creationId xmlns:a16="http://schemas.microsoft.com/office/drawing/2014/main" id="{CCA94A8C-BE0F-48C9-84EC-61755606ACD1}"/>
            </a:ext>
          </a:extLst>
        </xdr:cNvPr>
        <xdr:cNvCxnSpPr/>
      </xdr:nvCxnSpPr>
      <xdr:spPr>
        <a:xfrm>
          <a:off x="17206720" y="110454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608</xdr:row>
      <xdr:rowOff>46992</xdr:rowOff>
    </xdr:from>
    <xdr:to>
      <xdr:col>9</xdr:col>
      <xdr:colOff>204595</xdr:colOff>
      <xdr:row>610</xdr:row>
      <xdr:rowOff>59692</xdr:rowOff>
    </xdr:to>
    <xdr:cxnSp macro="_xll.PtreeEvent_ObjectClick">
      <xdr:nvCxnSpPr>
        <xdr:cNvPr id="1222" name="PTObj_DBranchDLine_1_302">
          <a:extLst>
            <a:ext uri="{FF2B5EF4-FFF2-40B4-BE49-F238E27FC236}">
              <a16:creationId xmlns:a16="http://schemas.microsoft.com/office/drawing/2014/main" id="{0DBEA1AC-8941-4A7C-94D2-A404EAF6256F}"/>
            </a:ext>
          </a:extLst>
        </xdr:cNvPr>
        <xdr:cNvCxnSpPr/>
      </xdr:nvCxnSpPr>
      <xdr:spPr>
        <a:xfrm>
          <a:off x="17054320" y="1100797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608</xdr:row>
      <xdr:rowOff>55885</xdr:rowOff>
    </xdr:from>
    <xdr:to>
      <xdr:col>8</xdr:col>
      <xdr:colOff>1392681</xdr:colOff>
      <xdr:row>608</xdr:row>
      <xdr:rowOff>55885</xdr:rowOff>
    </xdr:to>
    <xdr:cxnSp macro="_xll.PtreeEvent_ObjectClick">
      <xdr:nvCxnSpPr>
        <xdr:cNvPr id="1219" name="PTObj_DBranchHLine_1_301">
          <a:extLst>
            <a:ext uri="{FF2B5EF4-FFF2-40B4-BE49-F238E27FC236}">
              <a16:creationId xmlns:a16="http://schemas.microsoft.com/office/drawing/2014/main" id="{B7044FB2-F65A-4299-AED1-0B41B020AEEA}"/>
            </a:ext>
          </a:extLst>
        </xdr:cNvPr>
        <xdr:cNvCxnSpPr/>
      </xdr:nvCxnSpPr>
      <xdr:spPr>
        <a:xfrm>
          <a:off x="15782734" y="1100886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608</xdr:row>
      <xdr:rowOff>55885</xdr:rowOff>
    </xdr:from>
    <xdr:to>
      <xdr:col>8</xdr:col>
      <xdr:colOff>209359</xdr:colOff>
      <xdr:row>616</xdr:row>
      <xdr:rowOff>71772</xdr:rowOff>
    </xdr:to>
    <xdr:cxnSp macro="_xll.PtreeEvent_ObjectClick">
      <xdr:nvCxnSpPr>
        <xdr:cNvPr id="1218" name="PTObj_DBranchDLine_1_301">
          <a:extLst>
            <a:ext uri="{FF2B5EF4-FFF2-40B4-BE49-F238E27FC236}">
              <a16:creationId xmlns:a16="http://schemas.microsoft.com/office/drawing/2014/main" id="{0874A401-00A2-462F-A3E9-E736EE655BF1}"/>
            </a:ext>
          </a:extLst>
        </xdr:cNvPr>
        <xdr:cNvCxnSpPr/>
      </xdr:nvCxnSpPr>
      <xdr:spPr>
        <a:xfrm flipV="1">
          <a:off x="15630334" y="1100886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616</xdr:row>
      <xdr:rowOff>71115</xdr:rowOff>
    </xdr:from>
    <xdr:to>
      <xdr:col>7</xdr:col>
      <xdr:colOff>1398397</xdr:colOff>
      <xdr:row>616</xdr:row>
      <xdr:rowOff>71115</xdr:rowOff>
    </xdr:to>
    <xdr:cxnSp macro="_xll.PtreeEvent_ObjectClick">
      <xdr:nvCxnSpPr>
        <xdr:cNvPr id="1215" name="PTObj_DBranchHLine_1_305">
          <a:extLst>
            <a:ext uri="{FF2B5EF4-FFF2-40B4-BE49-F238E27FC236}">
              <a16:creationId xmlns:a16="http://schemas.microsoft.com/office/drawing/2014/main" id="{B5A9242E-AA92-46EC-80FD-EC610FDE6755}"/>
            </a:ext>
          </a:extLst>
        </xdr:cNvPr>
        <xdr:cNvCxnSpPr/>
      </xdr:nvCxnSpPr>
      <xdr:spPr>
        <a:xfrm>
          <a:off x="14360652" y="1115517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616</xdr:row>
      <xdr:rowOff>71115</xdr:rowOff>
    </xdr:from>
    <xdr:to>
      <xdr:col>7</xdr:col>
      <xdr:colOff>216027</xdr:colOff>
      <xdr:row>626</xdr:row>
      <xdr:rowOff>84150</xdr:rowOff>
    </xdr:to>
    <xdr:cxnSp macro="_xll.PtreeEvent_ObjectClick">
      <xdr:nvCxnSpPr>
        <xdr:cNvPr id="1214" name="PTObj_DBranchDLine_1_305">
          <a:extLst>
            <a:ext uri="{FF2B5EF4-FFF2-40B4-BE49-F238E27FC236}">
              <a16:creationId xmlns:a16="http://schemas.microsoft.com/office/drawing/2014/main" id="{CC988B12-B065-407D-9E8D-CC021516F88A}"/>
            </a:ext>
          </a:extLst>
        </xdr:cNvPr>
        <xdr:cNvCxnSpPr/>
      </xdr:nvCxnSpPr>
      <xdr:spPr>
        <a:xfrm flipV="1">
          <a:off x="14208252" y="111551715"/>
          <a:ext cx="152400" cy="182278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626</xdr:row>
      <xdr:rowOff>90165</xdr:rowOff>
    </xdr:from>
    <xdr:to>
      <xdr:col>6</xdr:col>
      <xdr:colOff>1402207</xdr:colOff>
      <xdr:row>626</xdr:row>
      <xdr:rowOff>90165</xdr:rowOff>
    </xdr:to>
    <xdr:cxnSp macro="_xll.PtreeEvent_ObjectClick">
      <xdr:nvCxnSpPr>
        <xdr:cNvPr id="1211" name="PTObj_DBranchHLine_1_310">
          <a:extLst>
            <a:ext uri="{FF2B5EF4-FFF2-40B4-BE49-F238E27FC236}">
              <a16:creationId xmlns:a16="http://schemas.microsoft.com/office/drawing/2014/main" id="{E2A3D0A8-98DB-479D-AC62-E3E11F5C511E}"/>
            </a:ext>
          </a:extLst>
        </xdr:cNvPr>
        <xdr:cNvCxnSpPr/>
      </xdr:nvCxnSpPr>
      <xdr:spPr>
        <a:xfrm>
          <a:off x="12936665" y="113380515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606</xdr:row>
      <xdr:rowOff>40332</xdr:rowOff>
    </xdr:from>
    <xdr:to>
      <xdr:col>6</xdr:col>
      <xdr:colOff>220790</xdr:colOff>
      <xdr:row>626</xdr:row>
      <xdr:rowOff>90165</xdr:rowOff>
    </xdr:to>
    <xdr:cxnSp macro="_xll.PtreeEvent_ObjectClick">
      <xdr:nvCxnSpPr>
        <xdr:cNvPr id="1210" name="PTObj_DBranchDLine_1_310">
          <a:extLst>
            <a:ext uri="{FF2B5EF4-FFF2-40B4-BE49-F238E27FC236}">
              <a16:creationId xmlns:a16="http://schemas.microsoft.com/office/drawing/2014/main" id="{5EBAB4CB-1B95-4446-9F21-AB5868A07836}"/>
            </a:ext>
          </a:extLst>
        </xdr:cNvPr>
        <xdr:cNvCxnSpPr/>
      </xdr:nvCxnSpPr>
      <xdr:spPr>
        <a:xfrm>
          <a:off x="12784265" y="109711182"/>
          <a:ext cx="152400" cy="36693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604</xdr:row>
      <xdr:rowOff>48258</xdr:rowOff>
    </xdr:from>
    <xdr:to>
      <xdr:col>11</xdr:col>
      <xdr:colOff>1385063</xdr:colOff>
      <xdr:row>604</xdr:row>
      <xdr:rowOff>48258</xdr:rowOff>
    </xdr:to>
    <xdr:cxnSp macro="_xll.PtreeEvent_ObjectClick">
      <xdr:nvCxnSpPr>
        <xdr:cNvPr id="1207" name="PTObj_DBranchHLine_1_299">
          <a:extLst>
            <a:ext uri="{FF2B5EF4-FFF2-40B4-BE49-F238E27FC236}">
              <a16:creationId xmlns:a16="http://schemas.microsoft.com/office/drawing/2014/main" id="{8A948991-141E-4BE8-AEBA-4B74CAD3EE6D}"/>
            </a:ext>
          </a:extLst>
        </xdr:cNvPr>
        <xdr:cNvCxnSpPr/>
      </xdr:nvCxnSpPr>
      <xdr:spPr>
        <a:xfrm>
          <a:off x="20056601" y="109357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602</xdr:row>
      <xdr:rowOff>35558</xdr:rowOff>
    </xdr:from>
    <xdr:to>
      <xdr:col>11</xdr:col>
      <xdr:colOff>196976</xdr:colOff>
      <xdr:row>604</xdr:row>
      <xdr:rowOff>48258</xdr:rowOff>
    </xdr:to>
    <xdr:cxnSp macro="_xll.PtreeEvent_ObjectClick">
      <xdr:nvCxnSpPr>
        <xdr:cNvPr id="1206" name="PTObj_DBranchDLine_1_299">
          <a:extLst>
            <a:ext uri="{FF2B5EF4-FFF2-40B4-BE49-F238E27FC236}">
              <a16:creationId xmlns:a16="http://schemas.microsoft.com/office/drawing/2014/main" id="{E8FAFFF6-A03F-43CD-BEE6-D2BD86FC5E33}"/>
            </a:ext>
          </a:extLst>
        </xdr:cNvPr>
        <xdr:cNvCxnSpPr/>
      </xdr:nvCxnSpPr>
      <xdr:spPr>
        <a:xfrm>
          <a:off x="19904201" y="1089825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602</xdr:row>
      <xdr:rowOff>44450</xdr:rowOff>
    </xdr:from>
    <xdr:to>
      <xdr:col>10</xdr:col>
      <xdr:colOff>1392681</xdr:colOff>
      <xdr:row>602</xdr:row>
      <xdr:rowOff>44450</xdr:rowOff>
    </xdr:to>
    <xdr:cxnSp macro="_xll.PtreeEvent_ObjectClick">
      <xdr:nvCxnSpPr>
        <xdr:cNvPr id="1203" name="PTObj_DBranchHLine_1_298">
          <a:extLst>
            <a:ext uri="{FF2B5EF4-FFF2-40B4-BE49-F238E27FC236}">
              <a16:creationId xmlns:a16="http://schemas.microsoft.com/office/drawing/2014/main" id="{DB55B9EC-AABC-402C-926C-D22F1840CD82}"/>
            </a:ext>
          </a:extLst>
        </xdr:cNvPr>
        <xdr:cNvCxnSpPr/>
      </xdr:nvCxnSpPr>
      <xdr:spPr>
        <a:xfrm>
          <a:off x="18628804" y="108991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600</xdr:row>
      <xdr:rowOff>39365</xdr:rowOff>
    </xdr:from>
    <xdr:to>
      <xdr:col>10</xdr:col>
      <xdr:colOff>197929</xdr:colOff>
      <xdr:row>602</xdr:row>
      <xdr:rowOff>44450</xdr:rowOff>
    </xdr:to>
    <xdr:cxnSp macro="_xll.PtreeEvent_ObjectClick">
      <xdr:nvCxnSpPr>
        <xdr:cNvPr id="1202" name="PTObj_DBranchDLine_1_298">
          <a:extLst>
            <a:ext uri="{FF2B5EF4-FFF2-40B4-BE49-F238E27FC236}">
              <a16:creationId xmlns:a16="http://schemas.microsoft.com/office/drawing/2014/main" id="{D5170BC8-4A1E-4CE0-9212-DA748872A7D6}"/>
            </a:ext>
          </a:extLst>
        </xdr:cNvPr>
        <xdr:cNvCxnSpPr/>
      </xdr:nvCxnSpPr>
      <xdr:spPr>
        <a:xfrm>
          <a:off x="18476404" y="1086243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600</xdr:row>
      <xdr:rowOff>40642</xdr:rowOff>
    </xdr:from>
    <xdr:to>
      <xdr:col>9</xdr:col>
      <xdr:colOff>1388870</xdr:colOff>
      <xdr:row>600</xdr:row>
      <xdr:rowOff>40642</xdr:rowOff>
    </xdr:to>
    <xdr:cxnSp macro="_xll.PtreeEvent_ObjectClick">
      <xdr:nvCxnSpPr>
        <xdr:cNvPr id="1199" name="PTObj_DBranchHLine_1_297">
          <a:extLst>
            <a:ext uri="{FF2B5EF4-FFF2-40B4-BE49-F238E27FC236}">
              <a16:creationId xmlns:a16="http://schemas.microsoft.com/office/drawing/2014/main" id="{039B9DE0-42C5-4EC7-A7F2-7CA95AE99907}"/>
            </a:ext>
          </a:extLst>
        </xdr:cNvPr>
        <xdr:cNvCxnSpPr/>
      </xdr:nvCxnSpPr>
      <xdr:spPr>
        <a:xfrm>
          <a:off x="17206720" y="108625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598</xdr:row>
      <xdr:rowOff>35558</xdr:rowOff>
    </xdr:from>
    <xdr:to>
      <xdr:col>9</xdr:col>
      <xdr:colOff>204595</xdr:colOff>
      <xdr:row>600</xdr:row>
      <xdr:rowOff>40642</xdr:rowOff>
    </xdr:to>
    <xdr:cxnSp macro="_xll.PtreeEvent_ObjectClick">
      <xdr:nvCxnSpPr>
        <xdr:cNvPr id="1198" name="PTObj_DBranchDLine_1_297">
          <a:extLst>
            <a:ext uri="{FF2B5EF4-FFF2-40B4-BE49-F238E27FC236}">
              <a16:creationId xmlns:a16="http://schemas.microsoft.com/office/drawing/2014/main" id="{B564AE47-820C-4CF3-BF29-3D781AA6E011}"/>
            </a:ext>
          </a:extLst>
        </xdr:cNvPr>
        <xdr:cNvCxnSpPr/>
      </xdr:nvCxnSpPr>
      <xdr:spPr>
        <a:xfrm>
          <a:off x="17054320" y="1082586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598</xdr:row>
      <xdr:rowOff>36835</xdr:rowOff>
    </xdr:from>
    <xdr:to>
      <xdr:col>8</xdr:col>
      <xdr:colOff>1392681</xdr:colOff>
      <xdr:row>598</xdr:row>
      <xdr:rowOff>36835</xdr:rowOff>
    </xdr:to>
    <xdr:cxnSp macro="_xll.PtreeEvent_ObjectClick">
      <xdr:nvCxnSpPr>
        <xdr:cNvPr id="1195" name="PTObj_DBranchHLine_1_296">
          <a:extLst>
            <a:ext uri="{FF2B5EF4-FFF2-40B4-BE49-F238E27FC236}">
              <a16:creationId xmlns:a16="http://schemas.microsoft.com/office/drawing/2014/main" id="{3E7CBAFE-4D64-4582-8C76-B1460B168C10}"/>
            </a:ext>
          </a:extLst>
        </xdr:cNvPr>
        <xdr:cNvCxnSpPr/>
      </xdr:nvCxnSpPr>
      <xdr:spPr>
        <a:xfrm>
          <a:off x="15782734" y="1082598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596</xdr:row>
      <xdr:rowOff>33672</xdr:rowOff>
    </xdr:from>
    <xdr:to>
      <xdr:col>8</xdr:col>
      <xdr:colOff>209359</xdr:colOff>
      <xdr:row>598</xdr:row>
      <xdr:rowOff>36835</xdr:rowOff>
    </xdr:to>
    <xdr:cxnSp macro="_xll.PtreeEvent_ObjectClick">
      <xdr:nvCxnSpPr>
        <xdr:cNvPr id="1194" name="PTObj_DBranchDLine_1_296">
          <a:extLst>
            <a:ext uri="{FF2B5EF4-FFF2-40B4-BE49-F238E27FC236}">
              <a16:creationId xmlns:a16="http://schemas.microsoft.com/office/drawing/2014/main" id="{515EE3C2-4BAD-43C5-8F23-760C0AC1F046}"/>
            </a:ext>
          </a:extLst>
        </xdr:cNvPr>
        <xdr:cNvCxnSpPr/>
      </xdr:nvCxnSpPr>
      <xdr:spPr>
        <a:xfrm>
          <a:off x="15630334" y="1078947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594</xdr:row>
      <xdr:rowOff>29208</xdr:rowOff>
    </xdr:from>
    <xdr:to>
      <xdr:col>11</xdr:col>
      <xdr:colOff>1384111</xdr:colOff>
      <xdr:row>594</xdr:row>
      <xdr:rowOff>29208</xdr:rowOff>
    </xdr:to>
    <xdr:cxnSp macro="_xll.PtreeEvent_ObjectClick">
      <xdr:nvCxnSpPr>
        <xdr:cNvPr id="1191" name="PTObj_DBranchHLine_1_294">
          <a:extLst>
            <a:ext uri="{FF2B5EF4-FFF2-40B4-BE49-F238E27FC236}">
              <a16:creationId xmlns:a16="http://schemas.microsoft.com/office/drawing/2014/main" id="{8E63F677-03C5-4D7B-AAD5-BFAC02760117}"/>
            </a:ext>
          </a:extLst>
        </xdr:cNvPr>
        <xdr:cNvCxnSpPr/>
      </xdr:nvCxnSpPr>
      <xdr:spPr>
        <a:xfrm>
          <a:off x="20056601" y="1075283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592</xdr:row>
      <xdr:rowOff>20315</xdr:rowOff>
    </xdr:from>
    <xdr:to>
      <xdr:col>11</xdr:col>
      <xdr:colOff>196976</xdr:colOff>
      <xdr:row>594</xdr:row>
      <xdr:rowOff>29208</xdr:rowOff>
    </xdr:to>
    <xdr:cxnSp macro="_xll.PtreeEvent_ObjectClick">
      <xdr:nvCxnSpPr>
        <xdr:cNvPr id="1190" name="PTObj_DBranchDLine_1_294">
          <a:extLst>
            <a:ext uri="{FF2B5EF4-FFF2-40B4-BE49-F238E27FC236}">
              <a16:creationId xmlns:a16="http://schemas.microsoft.com/office/drawing/2014/main" id="{81B708FC-61CA-4AF0-9A9A-61EBD14F3883}"/>
            </a:ext>
          </a:extLst>
        </xdr:cNvPr>
        <xdr:cNvCxnSpPr/>
      </xdr:nvCxnSpPr>
      <xdr:spPr>
        <a:xfrm>
          <a:off x="19904201" y="1071575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592</xdr:row>
      <xdr:rowOff>25400</xdr:rowOff>
    </xdr:from>
    <xdr:to>
      <xdr:col>10</xdr:col>
      <xdr:colOff>1392681</xdr:colOff>
      <xdr:row>592</xdr:row>
      <xdr:rowOff>25400</xdr:rowOff>
    </xdr:to>
    <xdr:cxnSp macro="_xll.PtreeEvent_ObjectClick">
      <xdr:nvCxnSpPr>
        <xdr:cNvPr id="1187" name="PTObj_DBranchHLine_1_293">
          <a:extLst>
            <a:ext uri="{FF2B5EF4-FFF2-40B4-BE49-F238E27FC236}">
              <a16:creationId xmlns:a16="http://schemas.microsoft.com/office/drawing/2014/main" id="{88241564-DBDA-4C05-AE11-5648E6301876}"/>
            </a:ext>
          </a:extLst>
        </xdr:cNvPr>
        <xdr:cNvCxnSpPr/>
      </xdr:nvCxnSpPr>
      <xdr:spPr>
        <a:xfrm>
          <a:off x="18628804" y="107162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590</xdr:row>
      <xdr:rowOff>16508</xdr:rowOff>
    </xdr:from>
    <xdr:to>
      <xdr:col>10</xdr:col>
      <xdr:colOff>197929</xdr:colOff>
      <xdr:row>592</xdr:row>
      <xdr:rowOff>25400</xdr:rowOff>
    </xdr:to>
    <xdr:cxnSp macro="_xll.PtreeEvent_ObjectClick">
      <xdr:nvCxnSpPr>
        <xdr:cNvPr id="1186" name="PTObj_DBranchDLine_1_293">
          <a:extLst>
            <a:ext uri="{FF2B5EF4-FFF2-40B4-BE49-F238E27FC236}">
              <a16:creationId xmlns:a16="http://schemas.microsoft.com/office/drawing/2014/main" id="{7E03135C-BD6A-4BCF-A3AA-F807830B7898}"/>
            </a:ext>
          </a:extLst>
        </xdr:cNvPr>
        <xdr:cNvCxnSpPr/>
      </xdr:nvCxnSpPr>
      <xdr:spPr>
        <a:xfrm>
          <a:off x="18476404" y="1067917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590</xdr:row>
      <xdr:rowOff>21592</xdr:rowOff>
    </xdr:from>
    <xdr:to>
      <xdr:col>9</xdr:col>
      <xdr:colOff>1388870</xdr:colOff>
      <xdr:row>590</xdr:row>
      <xdr:rowOff>21592</xdr:rowOff>
    </xdr:to>
    <xdr:cxnSp macro="_xll.PtreeEvent_ObjectClick">
      <xdr:nvCxnSpPr>
        <xdr:cNvPr id="1183" name="PTObj_DBranchHLine_1_292">
          <a:extLst>
            <a:ext uri="{FF2B5EF4-FFF2-40B4-BE49-F238E27FC236}">
              <a16:creationId xmlns:a16="http://schemas.microsoft.com/office/drawing/2014/main" id="{94939A2D-B014-40D1-AA5A-6AD3B9870067}"/>
            </a:ext>
          </a:extLst>
        </xdr:cNvPr>
        <xdr:cNvCxnSpPr/>
      </xdr:nvCxnSpPr>
      <xdr:spPr>
        <a:xfrm>
          <a:off x="17206720" y="106796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588</xdr:row>
      <xdr:rowOff>8892</xdr:rowOff>
    </xdr:from>
    <xdr:to>
      <xdr:col>9</xdr:col>
      <xdr:colOff>204595</xdr:colOff>
      <xdr:row>590</xdr:row>
      <xdr:rowOff>21592</xdr:rowOff>
    </xdr:to>
    <xdr:cxnSp macro="_xll.PtreeEvent_ObjectClick">
      <xdr:nvCxnSpPr>
        <xdr:cNvPr id="1182" name="PTObj_DBranchDLine_1_292">
          <a:extLst>
            <a:ext uri="{FF2B5EF4-FFF2-40B4-BE49-F238E27FC236}">
              <a16:creationId xmlns:a16="http://schemas.microsoft.com/office/drawing/2014/main" id="{067D4366-3AFE-481E-B43F-84BA6AEB3A82}"/>
            </a:ext>
          </a:extLst>
        </xdr:cNvPr>
        <xdr:cNvCxnSpPr/>
      </xdr:nvCxnSpPr>
      <xdr:spPr>
        <a:xfrm>
          <a:off x="17054320" y="106422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588</xdr:row>
      <xdr:rowOff>17785</xdr:rowOff>
    </xdr:from>
    <xdr:to>
      <xdr:col>8</xdr:col>
      <xdr:colOff>1392681</xdr:colOff>
      <xdr:row>588</xdr:row>
      <xdr:rowOff>17785</xdr:rowOff>
    </xdr:to>
    <xdr:cxnSp macro="_xll.PtreeEvent_ObjectClick">
      <xdr:nvCxnSpPr>
        <xdr:cNvPr id="1179" name="PTObj_DBranchHLine_1_291">
          <a:extLst>
            <a:ext uri="{FF2B5EF4-FFF2-40B4-BE49-F238E27FC236}">
              <a16:creationId xmlns:a16="http://schemas.microsoft.com/office/drawing/2014/main" id="{465320E8-534A-4C56-A06B-B72D4A800669}"/>
            </a:ext>
          </a:extLst>
        </xdr:cNvPr>
        <xdr:cNvCxnSpPr/>
      </xdr:nvCxnSpPr>
      <xdr:spPr>
        <a:xfrm>
          <a:off x="15782734" y="1064310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588</xdr:row>
      <xdr:rowOff>17785</xdr:rowOff>
    </xdr:from>
    <xdr:to>
      <xdr:col>8</xdr:col>
      <xdr:colOff>209359</xdr:colOff>
      <xdr:row>596</xdr:row>
      <xdr:rowOff>33672</xdr:rowOff>
    </xdr:to>
    <xdr:cxnSp macro="_xll.PtreeEvent_ObjectClick">
      <xdr:nvCxnSpPr>
        <xdr:cNvPr id="1178" name="PTObj_DBranchDLine_1_291">
          <a:extLst>
            <a:ext uri="{FF2B5EF4-FFF2-40B4-BE49-F238E27FC236}">
              <a16:creationId xmlns:a16="http://schemas.microsoft.com/office/drawing/2014/main" id="{E7D94333-0AC0-451B-B9A5-4EABE335D0FA}"/>
            </a:ext>
          </a:extLst>
        </xdr:cNvPr>
        <xdr:cNvCxnSpPr/>
      </xdr:nvCxnSpPr>
      <xdr:spPr>
        <a:xfrm flipV="1">
          <a:off x="15630334" y="106431085"/>
          <a:ext cx="152400" cy="146368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596</xdr:row>
      <xdr:rowOff>33015</xdr:rowOff>
    </xdr:from>
    <xdr:to>
      <xdr:col>7</xdr:col>
      <xdr:colOff>1398397</xdr:colOff>
      <xdr:row>596</xdr:row>
      <xdr:rowOff>33015</xdr:rowOff>
    </xdr:to>
    <xdr:cxnSp macro="_xll.PtreeEvent_ObjectClick">
      <xdr:nvCxnSpPr>
        <xdr:cNvPr id="1175" name="PTObj_DBranchHLine_1_295">
          <a:extLst>
            <a:ext uri="{FF2B5EF4-FFF2-40B4-BE49-F238E27FC236}">
              <a16:creationId xmlns:a16="http://schemas.microsoft.com/office/drawing/2014/main" id="{A48D89A9-CB67-4522-815F-DC63DCF2AF9E}"/>
            </a:ext>
          </a:extLst>
        </xdr:cNvPr>
        <xdr:cNvCxnSpPr/>
      </xdr:nvCxnSpPr>
      <xdr:spPr>
        <a:xfrm>
          <a:off x="14362557" y="107894115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586</xdr:row>
      <xdr:rowOff>2232</xdr:rowOff>
    </xdr:from>
    <xdr:to>
      <xdr:col>7</xdr:col>
      <xdr:colOff>217932</xdr:colOff>
      <xdr:row>596</xdr:row>
      <xdr:rowOff>33015</xdr:rowOff>
    </xdr:to>
    <xdr:cxnSp macro="_xll.PtreeEvent_ObjectClick">
      <xdr:nvCxnSpPr>
        <xdr:cNvPr id="1174" name="PTObj_DBranchDLine_1_295">
          <a:extLst>
            <a:ext uri="{FF2B5EF4-FFF2-40B4-BE49-F238E27FC236}">
              <a16:creationId xmlns:a16="http://schemas.microsoft.com/office/drawing/2014/main" id="{A4573387-059E-46F2-9A3F-AA5B66BBB497}"/>
            </a:ext>
          </a:extLst>
        </xdr:cNvPr>
        <xdr:cNvCxnSpPr/>
      </xdr:nvCxnSpPr>
      <xdr:spPr>
        <a:xfrm>
          <a:off x="14210157" y="106053582"/>
          <a:ext cx="152400" cy="18405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584</xdr:row>
      <xdr:rowOff>10158</xdr:rowOff>
    </xdr:from>
    <xdr:to>
      <xdr:col>11</xdr:col>
      <xdr:colOff>1385063</xdr:colOff>
      <xdr:row>584</xdr:row>
      <xdr:rowOff>10158</xdr:rowOff>
    </xdr:to>
    <xdr:cxnSp macro="_xll.PtreeEvent_ObjectClick">
      <xdr:nvCxnSpPr>
        <xdr:cNvPr id="1171" name="PTObj_DBranchHLine_1_289">
          <a:extLst>
            <a:ext uri="{FF2B5EF4-FFF2-40B4-BE49-F238E27FC236}">
              <a16:creationId xmlns:a16="http://schemas.microsoft.com/office/drawing/2014/main" id="{5AB6D7B1-A24C-4BB0-9FA5-29C7FB9ACBB7}"/>
            </a:ext>
          </a:extLst>
        </xdr:cNvPr>
        <xdr:cNvCxnSpPr/>
      </xdr:nvCxnSpPr>
      <xdr:spPr>
        <a:xfrm>
          <a:off x="20056601" y="105699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581</xdr:row>
      <xdr:rowOff>178433</xdr:rowOff>
    </xdr:from>
    <xdr:to>
      <xdr:col>11</xdr:col>
      <xdr:colOff>196976</xdr:colOff>
      <xdr:row>584</xdr:row>
      <xdr:rowOff>10158</xdr:rowOff>
    </xdr:to>
    <xdr:cxnSp macro="_xll.PtreeEvent_ObjectClick">
      <xdr:nvCxnSpPr>
        <xdr:cNvPr id="1170" name="PTObj_DBranchDLine_1_289">
          <a:extLst>
            <a:ext uri="{FF2B5EF4-FFF2-40B4-BE49-F238E27FC236}">
              <a16:creationId xmlns:a16="http://schemas.microsoft.com/office/drawing/2014/main" id="{F250122B-0557-4190-8BD5-04F87B1F0C07}"/>
            </a:ext>
          </a:extLst>
        </xdr:cNvPr>
        <xdr:cNvCxnSpPr/>
      </xdr:nvCxnSpPr>
      <xdr:spPr>
        <a:xfrm>
          <a:off x="19904201" y="1053249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582</xdr:row>
      <xdr:rowOff>6350</xdr:rowOff>
    </xdr:from>
    <xdr:to>
      <xdr:col>10</xdr:col>
      <xdr:colOff>1392681</xdr:colOff>
      <xdr:row>582</xdr:row>
      <xdr:rowOff>6350</xdr:rowOff>
    </xdr:to>
    <xdr:cxnSp macro="_xll.PtreeEvent_ObjectClick">
      <xdr:nvCxnSpPr>
        <xdr:cNvPr id="1167" name="PTObj_DBranchHLine_1_288">
          <a:extLst>
            <a:ext uri="{FF2B5EF4-FFF2-40B4-BE49-F238E27FC236}">
              <a16:creationId xmlns:a16="http://schemas.microsoft.com/office/drawing/2014/main" id="{5E1DBC37-E87F-4877-9222-62355E27C289}"/>
            </a:ext>
          </a:extLst>
        </xdr:cNvPr>
        <xdr:cNvCxnSpPr/>
      </xdr:nvCxnSpPr>
      <xdr:spPr>
        <a:xfrm>
          <a:off x="18628804" y="105333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580</xdr:row>
      <xdr:rowOff>1265</xdr:rowOff>
    </xdr:from>
    <xdr:to>
      <xdr:col>10</xdr:col>
      <xdr:colOff>197929</xdr:colOff>
      <xdr:row>582</xdr:row>
      <xdr:rowOff>6350</xdr:rowOff>
    </xdr:to>
    <xdr:cxnSp macro="_xll.PtreeEvent_ObjectClick">
      <xdr:nvCxnSpPr>
        <xdr:cNvPr id="1166" name="PTObj_DBranchDLine_1_288">
          <a:extLst>
            <a:ext uri="{FF2B5EF4-FFF2-40B4-BE49-F238E27FC236}">
              <a16:creationId xmlns:a16="http://schemas.microsoft.com/office/drawing/2014/main" id="{C552EB2C-88EF-4163-B5C0-AC2073D32CA7}"/>
            </a:ext>
          </a:extLst>
        </xdr:cNvPr>
        <xdr:cNvCxnSpPr/>
      </xdr:nvCxnSpPr>
      <xdr:spPr>
        <a:xfrm>
          <a:off x="18476404" y="1049667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580</xdr:row>
      <xdr:rowOff>2542</xdr:rowOff>
    </xdr:from>
    <xdr:to>
      <xdr:col>9</xdr:col>
      <xdr:colOff>1388870</xdr:colOff>
      <xdr:row>580</xdr:row>
      <xdr:rowOff>2542</xdr:rowOff>
    </xdr:to>
    <xdr:cxnSp macro="_xll.PtreeEvent_ObjectClick">
      <xdr:nvCxnSpPr>
        <xdr:cNvPr id="1163" name="PTObj_DBranchHLine_1_287">
          <a:extLst>
            <a:ext uri="{FF2B5EF4-FFF2-40B4-BE49-F238E27FC236}">
              <a16:creationId xmlns:a16="http://schemas.microsoft.com/office/drawing/2014/main" id="{B14DD462-E300-498F-96BF-71760D4DF03D}"/>
            </a:ext>
          </a:extLst>
        </xdr:cNvPr>
        <xdr:cNvCxnSpPr/>
      </xdr:nvCxnSpPr>
      <xdr:spPr>
        <a:xfrm>
          <a:off x="17206720" y="104968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577</xdr:row>
      <xdr:rowOff>178433</xdr:rowOff>
    </xdr:from>
    <xdr:to>
      <xdr:col>9</xdr:col>
      <xdr:colOff>204595</xdr:colOff>
      <xdr:row>580</xdr:row>
      <xdr:rowOff>2542</xdr:rowOff>
    </xdr:to>
    <xdr:cxnSp macro="_xll.PtreeEvent_ObjectClick">
      <xdr:nvCxnSpPr>
        <xdr:cNvPr id="1162" name="PTObj_DBranchDLine_1_287">
          <a:extLst>
            <a:ext uri="{FF2B5EF4-FFF2-40B4-BE49-F238E27FC236}">
              <a16:creationId xmlns:a16="http://schemas.microsoft.com/office/drawing/2014/main" id="{E0B8A5E8-5CA0-4FC0-9FD9-DEF9D71FEE16}"/>
            </a:ext>
          </a:extLst>
        </xdr:cNvPr>
        <xdr:cNvCxnSpPr/>
      </xdr:nvCxnSpPr>
      <xdr:spPr>
        <a:xfrm>
          <a:off x="17054320" y="1046010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577</xdr:row>
      <xdr:rowOff>179710</xdr:rowOff>
    </xdr:from>
    <xdr:to>
      <xdr:col>8</xdr:col>
      <xdr:colOff>1392681</xdr:colOff>
      <xdr:row>577</xdr:row>
      <xdr:rowOff>179710</xdr:rowOff>
    </xdr:to>
    <xdr:cxnSp macro="_xll.PtreeEvent_ObjectClick">
      <xdr:nvCxnSpPr>
        <xdr:cNvPr id="1159" name="PTObj_DBranchHLine_1_286">
          <a:extLst>
            <a:ext uri="{FF2B5EF4-FFF2-40B4-BE49-F238E27FC236}">
              <a16:creationId xmlns:a16="http://schemas.microsoft.com/office/drawing/2014/main" id="{0BA514A1-6E7E-44BE-8F6A-E6C9B836DFD0}"/>
            </a:ext>
          </a:extLst>
        </xdr:cNvPr>
        <xdr:cNvCxnSpPr/>
      </xdr:nvCxnSpPr>
      <xdr:spPr>
        <a:xfrm>
          <a:off x="15782734" y="104602285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575</xdr:row>
      <xdr:rowOff>176547</xdr:rowOff>
    </xdr:from>
    <xdr:to>
      <xdr:col>8</xdr:col>
      <xdr:colOff>209359</xdr:colOff>
      <xdr:row>577</xdr:row>
      <xdr:rowOff>179710</xdr:rowOff>
    </xdr:to>
    <xdr:cxnSp macro="_xll.PtreeEvent_ObjectClick">
      <xdr:nvCxnSpPr>
        <xdr:cNvPr id="1158" name="PTObj_DBranchDLine_1_286">
          <a:extLst>
            <a:ext uri="{FF2B5EF4-FFF2-40B4-BE49-F238E27FC236}">
              <a16:creationId xmlns:a16="http://schemas.microsoft.com/office/drawing/2014/main" id="{9FCD3292-01CA-42B5-9A60-75E03A5510C0}"/>
            </a:ext>
          </a:extLst>
        </xdr:cNvPr>
        <xdr:cNvCxnSpPr/>
      </xdr:nvCxnSpPr>
      <xdr:spPr>
        <a:xfrm>
          <a:off x="15630334" y="104237172"/>
          <a:ext cx="152400" cy="36511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573</xdr:row>
      <xdr:rowOff>172083</xdr:rowOff>
    </xdr:from>
    <xdr:to>
      <xdr:col>11</xdr:col>
      <xdr:colOff>1384111</xdr:colOff>
      <xdr:row>573</xdr:row>
      <xdr:rowOff>172083</xdr:rowOff>
    </xdr:to>
    <xdr:cxnSp macro="_xll.PtreeEvent_ObjectClick">
      <xdr:nvCxnSpPr>
        <xdr:cNvPr id="1155" name="PTObj_DBranchHLine_1_284">
          <a:extLst>
            <a:ext uri="{FF2B5EF4-FFF2-40B4-BE49-F238E27FC236}">
              <a16:creationId xmlns:a16="http://schemas.microsoft.com/office/drawing/2014/main" id="{D16DF8E5-50B6-47C6-9EAA-9542C01E7D1C}"/>
            </a:ext>
          </a:extLst>
        </xdr:cNvPr>
        <xdr:cNvCxnSpPr/>
      </xdr:nvCxnSpPr>
      <xdr:spPr>
        <a:xfrm>
          <a:off x="20056601" y="1038707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571</xdr:row>
      <xdr:rowOff>163190</xdr:rowOff>
    </xdr:from>
    <xdr:to>
      <xdr:col>11</xdr:col>
      <xdr:colOff>196976</xdr:colOff>
      <xdr:row>573</xdr:row>
      <xdr:rowOff>172083</xdr:rowOff>
    </xdr:to>
    <xdr:cxnSp macro="_xll.PtreeEvent_ObjectClick">
      <xdr:nvCxnSpPr>
        <xdr:cNvPr id="1154" name="PTObj_DBranchDLine_1_284">
          <a:extLst>
            <a:ext uri="{FF2B5EF4-FFF2-40B4-BE49-F238E27FC236}">
              <a16:creationId xmlns:a16="http://schemas.microsoft.com/office/drawing/2014/main" id="{FAA77C8E-5DF1-4BA1-AD23-681E9076C7F2}"/>
            </a:ext>
          </a:extLst>
        </xdr:cNvPr>
        <xdr:cNvCxnSpPr/>
      </xdr:nvCxnSpPr>
      <xdr:spPr>
        <a:xfrm>
          <a:off x="19904201" y="1034999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571</xdr:row>
      <xdr:rowOff>168275</xdr:rowOff>
    </xdr:from>
    <xdr:to>
      <xdr:col>10</xdr:col>
      <xdr:colOff>1392681</xdr:colOff>
      <xdr:row>571</xdr:row>
      <xdr:rowOff>168275</xdr:rowOff>
    </xdr:to>
    <xdr:cxnSp macro="_xll.PtreeEvent_ObjectClick">
      <xdr:nvCxnSpPr>
        <xdr:cNvPr id="1151" name="PTObj_DBranchHLine_1_283">
          <a:extLst>
            <a:ext uri="{FF2B5EF4-FFF2-40B4-BE49-F238E27FC236}">
              <a16:creationId xmlns:a16="http://schemas.microsoft.com/office/drawing/2014/main" id="{C52AD54B-B23D-466D-A874-A8B9C51EF9C6}"/>
            </a:ext>
          </a:extLst>
        </xdr:cNvPr>
        <xdr:cNvCxnSpPr/>
      </xdr:nvCxnSpPr>
      <xdr:spPr>
        <a:xfrm>
          <a:off x="18628804" y="103505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569</xdr:row>
      <xdr:rowOff>159383</xdr:rowOff>
    </xdr:from>
    <xdr:to>
      <xdr:col>10</xdr:col>
      <xdr:colOff>197929</xdr:colOff>
      <xdr:row>571</xdr:row>
      <xdr:rowOff>168275</xdr:rowOff>
    </xdr:to>
    <xdr:cxnSp macro="_xll.PtreeEvent_ObjectClick">
      <xdr:nvCxnSpPr>
        <xdr:cNvPr id="1150" name="PTObj_DBranchDLine_1_283">
          <a:extLst>
            <a:ext uri="{FF2B5EF4-FFF2-40B4-BE49-F238E27FC236}">
              <a16:creationId xmlns:a16="http://schemas.microsoft.com/office/drawing/2014/main" id="{836688CF-76E7-4CC7-831B-8E93F1565CA9}"/>
            </a:ext>
          </a:extLst>
        </xdr:cNvPr>
        <xdr:cNvCxnSpPr/>
      </xdr:nvCxnSpPr>
      <xdr:spPr>
        <a:xfrm>
          <a:off x="18476404" y="1031341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569</xdr:row>
      <xdr:rowOff>164467</xdr:rowOff>
    </xdr:from>
    <xdr:to>
      <xdr:col>9</xdr:col>
      <xdr:colOff>1388870</xdr:colOff>
      <xdr:row>569</xdr:row>
      <xdr:rowOff>164467</xdr:rowOff>
    </xdr:to>
    <xdr:cxnSp macro="_xll.PtreeEvent_ObjectClick">
      <xdr:nvCxnSpPr>
        <xdr:cNvPr id="1147" name="PTObj_DBranchHLine_1_282">
          <a:extLst>
            <a:ext uri="{FF2B5EF4-FFF2-40B4-BE49-F238E27FC236}">
              <a16:creationId xmlns:a16="http://schemas.microsoft.com/office/drawing/2014/main" id="{5A415C2D-7FD2-48B7-AE90-5841656881A2}"/>
            </a:ext>
          </a:extLst>
        </xdr:cNvPr>
        <xdr:cNvCxnSpPr/>
      </xdr:nvCxnSpPr>
      <xdr:spPr>
        <a:xfrm>
          <a:off x="17206720" y="103139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567</xdr:row>
      <xdr:rowOff>151767</xdr:rowOff>
    </xdr:from>
    <xdr:to>
      <xdr:col>9</xdr:col>
      <xdr:colOff>204595</xdr:colOff>
      <xdr:row>569</xdr:row>
      <xdr:rowOff>164467</xdr:rowOff>
    </xdr:to>
    <xdr:cxnSp macro="_xll.PtreeEvent_ObjectClick">
      <xdr:nvCxnSpPr>
        <xdr:cNvPr id="1146" name="PTObj_DBranchDLine_1_282">
          <a:extLst>
            <a:ext uri="{FF2B5EF4-FFF2-40B4-BE49-F238E27FC236}">
              <a16:creationId xmlns:a16="http://schemas.microsoft.com/office/drawing/2014/main" id="{FC36348B-3073-4E07-AE23-67672A47F73F}"/>
            </a:ext>
          </a:extLst>
        </xdr:cNvPr>
        <xdr:cNvCxnSpPr/>
      </xdr:nvCxnSpPr>
      <xdr:spPr>
        <a:xfrm>
          <a:off x="17054320" y="102764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567</xdr:row>
      <xdr:rowOff>160654</xdr:rowOff>
    </xdr:from>
    <xdr:to>
      <xdr:col>8</xdr:col>
      <xdr:colOff>1392681</xdr:colOff>
      <xdr:row>567</xdr:row>
      <xdr:rowOff>160654</xdr:rowOff>
    </xdr:to>
    <xdr:cxnSp macro="_xll.PtreeEvent_ObjectClick">
      <xdr:nvCxnSpPr>
        <xdr:cNvPr id="1143" name="PTObj_DBranchHLine_1_281">
          <a:extLst>
            <a:ext uri="{FF2B5EF4-FFF2-40B4-BE49-F238E27FC236}">
              <a16:creationId xmlns:a16="http://schemas.microsoft.com/office/drawing/2014/main" id="{B0A1E703-4E18-465E-A83F-F6F11FD03572}"/>
            </a:ext>
          </a:extLst>
        </xdr:cNvPr>
        <xdr:cNvCxnSpPr/>
      </xdr:nvCxnSpPr>
      <xdr:spPr>
        <a:xfrm>
          <a:off x="15782734" y="102773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567</xdr:row>
      <xdr:rowOff>160654</xdr:rowOff>
    </xdr:from>
    <xdr:to>
      <xdr:col>8</xdr:col>
      <xdr:colOff>209359</xdr:colOff>
      <xdr:row>575</xdr:row>
      <xdr:rowOff>176547</xdr:rowOff>
    </xdr:to>
    <xdr:cxnSp macro="_xll.PtreeEvent_ObjectClick">
      <xdr:nvCxnSpPr>
        <xdr:cNvPr id="1142" name="PTObj_DBranchDLine_1_281">
          <a:extLst>
            <a:ext uri="{FF2B5EF4-FFF2-40B4-BE49-F238E27FC236}">
              <a16:creationId xmlns:a16="http://schemas.microsoft.com/office/drawing/2014/main" id="{517F063E-3622-4BA7-BF6A-C73D35726930}"/>
            </a:ext>
          </a:extLst>
        </xdr:cNvPr>
        <xdr:cNvCxnSpPr/>
      </xdr:nvCxnSpPr>
      <xdr:spPr>
        <a:xfrm flipV="1">
          <a:off x="15630334" y="102773479"/>
          <a:ext cx="152400" cy="14636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575</xdr:row>
      <xdr:rowOff>175890</xdr:rowOff>
    </xdr:from>
    <xdr:to>
      <xdr:col>7</xdr:col>
      <xdr:colOff>1398397</xdr:colOff>
      <xdr:row>575</xdr:row>
      <xdr:rowOff>175890</xdr:rowOff>
    </xdr:to>
    <xdr:cxnSp macro="_xll.PtreeEvent_ObjectClick">
      <xdr:nvCxnSpPr>
        <xdr:cNvPr id="1139" name="PTObj_DBranchHLine_1_285">
          <a:extLst>
            <a:ext uri="{FF2B5EF4-FFF2-40B4-BE49-F238E27FC236}">
              <a16:creationId xmlns:a16="http://schemas.microsoft.com/office/drawing/2014/main" id="{6BE010E1-74A7-421C-BB29-A2A66D7293FC}"/>
            </a:ext>
          </a:extLst>
        </xdr:cNvPr>
        <xdr:cNvCxnSpPr/>
      </xdr:nvCxnSpPr>
      <xdr:spPr>
        <a:xfrm>
          <a:off x="14360652" y="104236515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575</xdr:row>
      <xdr:rowOff>175890</xdr:rowOff>
    </xdr:from>
    <xdr:to>
      <xdr:col>7</xdr:col>
      <xdr:colOff>216027</xdr:colOff>
      <xdr:row>586</xdr:row>
      <xdr:rowOff>4142</xdr:rowOff>
    </xdr:to>
    <xdr:cxnSp macro="_xll.PtreeEvent_ObjectClick">
      <xdr:nvCxnSpPr>
        <xdr:cNvPr id="1138" name="PTObj_DBranchDLine_1_285">
          <a:extLst>
            <a:ext uri="{FF2B5EF4-FFF2-40B4-BE49-F238E27FC236}">
              <a16:creationId xmlns:a16="http://schemas.microsoft.com/office/drawing/2014/main" id="{7D5432D0-EBAA-4D6A-944A-DEB51F230F8E}"/>
            </a:ext>
          </a:extLst>
        </xdr:cNvPr>
        <xdr:cNvCxnSpPr/>
      </xdr:nvCxnSpPr>
      <xdr:spPr>
        <a:xfrm flipV="1">
          <a:off x="14208252" y="104236515"/>
          <a:ext cx="152400" cy="18189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586</xdr:row>
      <xdr:rowOff>13965</xdr:rowOff>
    </xdr:from>
    <xdr:to>
      <xdr:col>6</xdr:col>
      <xdr:colOff>1402207</xdr:colOff>
      <xdr:row>586</xdr:row>
      <xdr:rowOff>13965</xdr:rowOff>
    </xdr:to>
    <xdr:cxnSp macro="_xll.PtreeEvent_ObjectClick">
      <xdr:nvCxnSpPr>
        <xdr:cNvPr id="1135" name="PTObj_DBranchHLine_1_290">
          <a:extLst>
            <a:ext uri="{FF2B5EF4-FFF2-40B4-BE49-F238E27FC236}">
              <a16:creationId xmlns:a16="http://schemas.microsoft.com/office/drawing/2014/main" id="{2AA69233-1E19-455A-8B2B-F68EF4CE7202}"/>
            </a:ext>
          </a:extLst>
        </xdr:cNvPr>
        <xdr:cNvCxnSpPr/>
      </xdr:nvCxnSpPr>
      <xdr:spPr>
        <a:xfrm>
          <a:off x="12938569" y="106065315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586</xdr:row>
      <xdr:rowOff>13965</xdr:rowOff>
    </xdr:from>
    <xdr:to>
      <xdr:col>6</xdr:col>
      <xdr:colOff>222694</xdr:colOff>
      <xdr:row>606</xdr:row>
      <xdr:rowOff>42242</xdr:rowOff>
    </xdr:to>
    <xdr:cxnSp macro="_xll.PtreeEvent_ObjectClick">
      <xdr:nvCxnSpPr>
        <xdr:cNvPr id="1134" name="PTObj_DBranchDLine_1_290">
          <a:extLst>
            <a:ext uri="{FF2B5EF4-FFF2-40B4-BE49-F238E27FC236}">
              <a16:creationId xmlns:a16="http://schemas.microsoft.com/office/drawing/2014/main" id="{8A5A5E9E-3CA5-4BCE-8B60-AE93BCC170E5}"/>
            </a:ext>
          </a:extLst>
        </xdr:cNvPr>
        <xdr:cNvCxnSpPr/>
      </xdr:nvCxnSpPr>
      <xdr:spPr>
        <a:xfrm flipV="1">
          <a:off x="12786169" y="106065315"/>
          <a:ext cx="152400" cy="36477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606</xdr:row>
      <xdr:rowOff>52065</xdr:rowOff>
    </xdr:from>
    <xdr:to>
      <xdr:col>5</xdr:col>
      <xdr:colOff>1407922</xdr:colOff>
      <xdr:row>606</xdr:row>
      <xdr:rowOff>52065</xdr:rowOff>
    </xdr:to>
    <xdr:cxnSp macro="_xll.PtreeEvent_ObjectClick">
      <xdr:nvCxnSpPr>
        <xdr:cNvPr id="1131" name="PTObj_DBranchHLine_1_300">
          <a:extLst>
            <a:ext uri="{FF2B5EF4-FFF2-40B4-BE49-F238E27FC236}">
              <a16:creationId xmlns:a16="http://schemas.microsoft.com/office/drawing/2014/main" id="{B135BA94-5B82-4438-9781-CF28461369C6}"/>
            </a:ext>
          </a:extLst>
        </xdr:cNvPr>
        <xdr:cNvCxnSpPr/>
      </xdr:nvCxnSpPr>
      <xdr:spPr>
        <a:xfrm>
          <a:off x="11512676" y="109722915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565</xdr:row>
      <xdr:rowOff>145095</xdr:rowOff>
    </xdr:from>
    <xdr:to>
      <xdr:col>5</xdr:col>
      <xdr:colOff>225551</xdr:colOff>
      <xdr:row>606</xdr:row>
      <xdr:rowOff>52065</xdr:rowOff>
    </xdr:to>
    <xdr:cxnSp macro="_xll.PtreeEvent_ObjectClick">
      <xdr:nvCxnSpPr>
        <xdr:cNvPr id="1130" name="PTObj_DBranchDLine_1_300">
          <a:extLst>
            <a:ext uri="{FF2B5EF4-FFF2-40B4-BE49-F238E27FC236}">
              <a16:creationId xmlns:a16="http://schemas.microsoft.com/office/drawing/2014/main" id="{16225601-9AEE-4CFE-BB0D-5502881031F8}"/>
            </a:ext>
          </a:extLst>
        </xdr:cNvPr>
        <xdr:cNvCxnSpPr/>
      </xdr:nvCxnSpPr>
      <xdr:spPr>
        <a:xfrm>
          <a:off x="11360276" y="102395970"/>
          <a:ext cx="152400" cy="73269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563</xdr:row>
      <xdr:rowOff>153033</xdr:rowOff>
    </xdr:from>
    <xdr:to>
      <xdr:col>11</xdr:col>
      <xdr:colOff>1385063</xdr:colOff>
      <xdr:row>563</xdr:row>
      <xdr:rowOff>153033</xdr:rowOff>
    </xdr:to>
    <xdr:cxnSp macro="_xll.PtreeEvent_ObjectClick">
      <xdr:nvCxnSpPr>
        <xdr:cNvPr id="1127" name="PTObj_DBranchHLine_1_279">
          <a:extLst>
            <a:ext uri="{FF2B5EF4-FFF2-40B4-BE49-F238E27FC236}">
              <a16:creationId xmlns:a16="http://schemas.microsoft.com/office/drawing/2014/main" id="{4018A298-0343-49D0-AF53-D992FB0938A7}"/>
            </a:ext>
          </a:extLst>
        </xdr:cNvPr>
        <xdr:cNvCxnSpPr/>
      </xdr:nvCxnSpPr>
      <xdr:spPr>
        <a:xfrm>
          <a:off x="20056601" y="102041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561</xdr:row>
      <xdr:rowOff>140326</xdr:rowOff>
    </xdr:from>
    <xdr:to>
      <xdr:col>11</xdr:col>
      <xdr:colOff>196976</xdr:colOff>
      <xdr:row>563</xdr:row>
      <xdr:rowOff>153033</xdr:rowOff>
    </xdr:to>
    <xdr:cxnSp macro="_xll.PtreeEvent_ObjectClick">
      <xdr:nvCxnSpPr>
        <xdr:cNvPr id="1126" name="PTObj_DBranchDLine_1_279">
          <a:extLst>
            <a:ext uri="{FF2B5EF4-FFF2-40B4-BE49-F238E27FC236}">
              <a16:creationId xmlns:a16="http://schemas.microsoft.com/office/drawing/2014/main" id="{54954802-CCB0-4F10-8621-E6F28ED2ACD6}"/>
            </a:ext>
          </a:extLst>
        </xdr:cNvPr>
        <xdr:cNvCxnSpPr/>
      </xdr:nvCxnSpPr>
      <xdr:spPr>
        <a:xfrm>
          <a:off x="19904201" y="101667301"/>
          <a:ext cx="152400" cy="3746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561</xdr:row>
      <xdr:rowOff>149225</xdr:rowOff>
    </xdr:from>
    <xdr:to>
      <xdr:col>10</xdr:col>
      <xdr:colOff>1392681</xdr:colOff>
      <xdr:row>561</xdr:row>
      <xdr:rowOff>149225</xdr:rowOff>
    </xdr:to>
    <xdr:cxnSp macro="_xll.PtreeEvent_ObjectClick">
      <xdr:nvCxnSpPr>
        <xdr:cNvPr id="1123" name="PTObj_DBranchHLine_1_278">
          <a:extLst>
            <a:ext uri="{FF2B5EF4-FFF2-40B4-BE49-F238E27FC236}">
              <a16:creationId xmlns:a16="http://schemas.microsoft.com/office/drawing/2014/main" id="{B1DC5E6D-E474-4A84-92BD-539288EB810A}"/>
            </a:ext>
          </a:extLst>
        </xdr:cNvPr>
        <xdr:cNvCxnSpPr/>
      </xdr:nvCxnSpPr>
      <xdr:spPr>
        <a:xfrm>
          <a:off x="18628804" y="101676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559</xdr:row>
      <xdr:rowOff>144140</xdr:rowOff>
    </xdr:from>
    <xdr:to>
      <xdr:col>10</xdr:col>
      <xdr:colOff>197929</xdr:colOff>
      <xdr:row>561</xdr:row>
      <xdr:rowOff>149225</xdr:rowOff>
    </xdr:to>
    <xdr:cxnSp macro="_xll.PtreeEvent_ObjectClick">
      <xdr:nvCxnSpPr>
        <xdr:cNvPr id="1122" name="PTObj_DBranchDLine_1_278">
          <a:extLst>
            <a:ext uri="{FF2B5EF4-FFF2-40B4-BE49-F238E27FC236}">
              <a16:creationId xmlns:a16="http://schemas.microsoft.com/office/drawing/2014/main" id="{D3DA92AC-415F-4D51-A9EE-B142445C2E6B}"/>
            </a:ext>
          </a:extLst>
        </xdr:cNvPr>
        <xdr:cNvCxnSpPr/>
      </xdr:nvCxnSpPr>
      <xdr:spPr>
        <a:xfrm>
          <a:off x="18476404" y="1013091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559</xdr:row>
      <xdr:rowOff>145417</xdr:rowOff>
    </xdr:from>
    <xdr:to>
      <xdr:col>9</xdr:col>
      <xdr:colOff>1388870</xdr:colOff>
      <xdr:row>559</xdr:row>
      <xdr:rowOff>145417</xdr:rowOff>
    </xdr:to>
    <xdr:cxnSp macro="_xll.PtreeEvent_ObjectClick">
      <xdr:nvCxnSpPr>
        <xdr:cNvPr id="1119" name="PTObj_DBranchHLine_1_277">
          <a:extLst>
            <a:ext uri="{FF2B5EF4-FFF2-40B4-BE49-F238E27FC236}">
              <a16:creationId xmlns:a16="http://schemas.microsoft.com/office/drawing/2014/main" id="{8647CADB-7271-4FA5-B4EF-49ACC0037226}"/>
            </a:ext>
          </a:extLst>
        </xdr:cNvPr>
        <xdr:cNvCxnSpPr/>
      </xdr:nvCxnSpPr>
      <xdr:spPr>
        <a:xfrm>
          <a:off x="17206720" y="101310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557</xdr:row>
      <xdr:rowOff>140339</xdr:rowOff>
    </xdr:from>
    <xdr:to>
      <xdr:col>9</xdr:col>
      <xdr:colOff>204595</xdr:colOff>
      <xdr:row>559</xdr:row>
      <xdr:rowOff>145417</xdr:rowOff>
    </xdr:to>
    <xdr:cxnSp macro="_xll.PtreeEvent_ObjectClick">
      <xdr:nvCxnSpPr>
        <xdr:cNvPr id="1118" name="PTObj_DBranchDLine_1_277">
          <a:extLst>
            <a:ext uri="{FF2B5EF4-FFF2-40B4-BE49-F238E27FC236}">
              <a16:creationId xmlns:a16="http://schemas.microsoft.com/office/drawing/2014/main" id="{BE090B34-98AF-47FA-AA3C-AAB33058B18A}"/>
            </a:ext>
          </a:extLst>
        </xdr:cNvPr>
        <xdr:cNvCxnSpPr/>
      </xdr:nvCxnSpPr>
      <xdr:spPr>
        <a:xfrm>
          <a:off x="17054320" y="100943414"/>
          <a:ext cx="152400" cy="3670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557</xdr:row>
      <xdr:rowOff>141604</xdr:rowOff>
    </xdr:from>
    <xdr:to>
      <xdr:col>8</xdr:col>
      <xdr:colOff>1392681</xdr:colOff>
      <xdr:row>557</xdr:row>
      <xdr:rowOff>141604</xdr:rowOff>
    </xdr:to>
    <xdr:cxnSp macro="_xll.PtreeEvent_ObjectClick">
      <xdr:nvCxnSpPr>
        <xdr:cNvPr id="1115" name="PTObj_DBranchHLine_1_276">
          <a:extLst>
            <a:ext uri="{FF2B5EF4-FFF2-40B4-BE49-F238E27FC236}">
              <a16:creationId xmlns:a16="http://schemas.microsoft.com/office/drawing/2014/main" id="{CC78E05F-857A-4CB1-9E30-04143D93E67D}"/>
            </a:ext>
          </a:extLst>
        </xdr:cNvPr>
        <xdr:cNvCxnSpPr/>
      </xdr:nvCxnSpPr>
      <xdr:spPr>
        <a:xfrm>
          <a:off x="15782734" y="100944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555</xdr:row>
      <xdr:rowOff>138429</xdr:rowOff>
    </xdr:from>
    <xdr:to>
      <xdr:col>8</xdr:col>
      <xdr:colOff>209359</xdr:colOff>
      <xdr:row>557</xdr:row>
      <xdr:rowOff>141604</xdr:rowOff>
    </xdr:to>
    <xdr:cxnSp macro="_xll.PtreeEvent_ObjectClick">
      <xdr:nvCxnSpPr>
        <xdr:cNvPr id="1114" name="PTObj_DBranchDLine_1_276">
          <a:extLst>
            <a:ext uri="{FF2B5EF4-FFF2-40B4-BE49-F238E27FC236}">
              <a16:creationId xmlns:a16="http://schemas.microsoft.com/office/drawing/2014/main" id="{E176A3E9-57D3-4DC2-9671-49F218593F6A}"/>
            </a:ext>
          </a:extLst>
        </xdr:cNvPr>
        <xdr:cNvCxnSpPr/>
      </xdr:nvCxnSpPr>
      <xdr:spPr>
        <a:xfrm>
          <a:off x="15630334" y="100579554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553</xdr:row>
      <xdr:rowOff>133983</xdr:rowOff>
    </xdr:from>
    <xdr:to>
      <xdr:col>11</xdr:col>
      <xdr:colOff>1384111</xdr:colOff>
      <xdr:row>553</xdr:row>
      <xdr:rowOff>133983</xdr:rowOff>
    </xdr:to>
    <xdr:cxnSp macro="_xll.PtreeEvent_ObjectClick">
      <xdr:nvCxnSpPr>
        <xdr:cNvPr id="1111" name="PTObj_DBranchHLine_1_274">
          <a:extLst>
            <a:ext uri="{FF2B5EF4-FFF2-40B4-BE49-F238E27FC236}">
              <a16:creationId xmlns:a16="http://schemas.microsoft.com/office/drawing/2014/main" id="{E35D77A5-CBDA-4FE8-89CD-B3EE418C37E6}"/>
            </a:ext>
          </a:extLst>
        </xdr:cNvPr>
        <xdr:cNvCxnSpPr/>
      </xdr:nvCxnSpPr>
      <xdr:spPr>
        <a:xfrm>
          <a:off x="20056601" y="1002131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551</xdr:row>
      <xdr:rowOff>125090</xdr:rowOff>
    </xdr:from>
    <xdr:to>
      <xdr:col>11</xdr:col>
      <xdr:colOff>196976</xdr:colOff>
      <xdr:row>553</xdr:row>
      <xdr:rowOff>133983</xdr:rowOff>
    </xdr:to>
    <xdr:cxnSp macro="_xll.PtreeEvent_ObjectClick">
      <xdr:nvCxnSpPr>
        <xdr:cNvPr id="1110" name="PTObj_DBranchDLine_1_274">
          <a:extLst>
            <a:ext uri="{FF2B5EF4-FFF2-40B4-BE49-F238E27FC236}">
              <a16:creationId xmlns:a16="http://schemas.microsoft.com/office/drawing/2014/main" id="{2F66CE6B-F18C-4C32-AB76-A44A037D91B1}"/>
            </a:ext>
          </a:extLst>
        </xdr:cNvPr>
        <xdr:cNvCxnSpPr/>
      </xdr:nvCxnSpPr>
      <xdr:spPr>
        <a:xfrm>
          <a:off x="19904201" y="998423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551</xdr:row>
      <xdr:rowOff>130175</xdr:rowOff>
    </xdr:from>
    <xdr:to>
      <xdr:col>10</xdr:col>
      <xdr:colOff>1392681</xdr:colOff>
      <xdr:row>551</xdr:row>
      <xdr:rowOff>130175</xdr:rowOff>
    </xdr:to>
    <xdr:cxnSp macro="_xll.PtreeEvent_ObjectClick">
      <xdr:nvCxnSpPr>
        <xdr:cNvPr id="1107" name="PTObj_DBranchHLine_1_273">
          <a:extLst>
            <a:ext uri="{FF2B5EF4-FFF2-40B4-BE49-F238E27FC236}">
              <a16:creationId xmlns:a16="http://schemas.microsoft.com/office/drawing/2014/main" id="{CB27A727-94CB-4EF9-B138-4D01E99312BE}"/>
            </a:ext>
          </a:extLst>
        </xdr:cNvPr>
        <xdr:cNvCxnSpPr/>
      </xdr:nvCxnSpPr>
      <xdr:spPr>
        <a:xfrm>
          <a:off x="18628804" y="99847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549</xdr:row>
      <xdr:rowOff>121283</xdr:rowOff>
    </xdr:from>
    <xdr:to>
      <xdr:col>10</xdr:col>
      <xdr:colOff>197929</xdr:colOff>
      <xdr:row>551</xdr:row>
      <xdr:rowOff>130175</xdr:rowOff>
    </xdr:to>
    <xdr:cxnSp macro="_xll.PtreeEvent_ObjectClick">
      <xdr:nvCxnSpPr>
        <xdr:cNvPr id="1106" name="PTObj_DBranchDLine_1_273">
          <a:extLst>
            <a:ext uri="{FF2B5EF4-FFF2-40B4-BE49-F238E27FC236}">
              <a16:creationId xmlns:a16="http://schemas.microsoft.com/office/drawing/2014/main" id="{C166B004-0D19-4373-94D8-2ACA2027384B}"/>
            </a:ext>
          </a:extLst>
        </xdr:cNvPr>
        <xdr:cNvCxnSpPr/>
      </xdr:nvCxnSpPr>
      <xdr:spPr>
        <a:xfrm>
          <a:off x="18476404" y="994765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549</xdr:row>
      <xdr:rowOff>126367</xdr:rowOff>
    </xdr:from>
    <xdr:to>
      <xdr:col>9</xdr:col>
      <xdr:colOff>1388870</xdr:colOff>
      <xdr:row>549</xdr:row>
      <xdr:rowOff>126367</xdr:rowOff>
    </xdr:to>
    <xdr:cxnSp macro="_xll.PtreeEvent_ObjectClick">
      <xdr:nvCxnSpPr>
        <xdr:cNvPr id="1103" name="PTObj_DBranchHLine_1_272">
          <a:extLst>
            <a:ext uri="{FF2B5EF4-FFF2-40B4-BE49-F238E27FC236}">
              <a16:creationId xmlns:a16="http://schemas.microsoft.com/office/drawing/2014/main" id="{CAA05865-1BF7-43B2-902A-AB7C6BDBD5EA}"/>
            </a:ext>
          </a:extLst>
        </xdr:cNvPr>
        <xdr:cNvCxnSpPr/>
      </xdr:nvCxnSpPr>
      <xdr:spPr>
        <a:xfrm>
          <a:off x="17206720" y="99481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547</xdr:row>
      <xdr:rowOff>113667</xdr:rowOff>
    </xdr:from>
    <xdr:to>
      <xdr:col>9</xdr:col>
      <xdr:colOff>204595</xdr:colOff>
      <xdr:row>549</xdr:row>
      <xdr:rowOff>126367</xdr:rowOff>
    </xdr:to>
    <xdr:cxnSp macro="_xll.PtreeEvent_ObjectClick">
      <xdr:nvCxnSpPr>
        <xdr:cNvPr id="1102" name="PTObj_DBranchDLine_1_272">
          <a:extLst>
            <a:ext uri="{FF2B5EF4-FFF2-40B4-BE49-F238E27FC236}">
              <a16:creationId xmlns:a16="http://schemas.microsoft.com/office/drawing/2014/main" id="{2A66153C-0B06-476A-B3A9-0D83CF83367E}"/>
            </a:ext>
          </a:extLst>
        </xdr:cNvPr>
        <xdr:cNvCxnSpPr/>
      </xdr:nvCxnSpPr>
      <xdr:spPr>
        <a:xfrm>
          <a:off x="17054320" y="99106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547</xdr:row>
      <xdr:rowOff>122554</xdr:rowOff>
    </xdr:from>
    <xdr:to>
      <xdr:col>8</xdr:col>
      <xdr:colOff>1392681</xdr:colOff>
      <xdr:row>547</xdr:row>
      <xdr:rowOff>122554</xdr:rowOff>
    </xdr:to>
    <xdr:cxnSp macro="_xll.PtreeEvent_ObjectClick">
      <xdr:nvCxnSpPr>
        <xdr:cNvPr id="1099" name="PTObj_DBranchHLine_1_271">
          <a:extLst>
            <a:ext uri="{FF2B5EF4-FFF2-40B4-BE49-F238E27FC236}">
              <a16:creationId xmlns:a16="http://schemas.microsoft.com/office/drawing/2014/main" id="{28CEB5B7-E3F6-4FA5-81D3-11D4E4D73341}"/>
            </a:ext>
          </a:extLst>
        </xdr:cNvPr>
        <xdr:cNvCxnSpPr/>
      </xdr:nvCxnSpPr>
      <xdr:spPr>
        <a:xfrm>
          <a:off x="15782734" y="99115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547</xdr:row>
      <xdr:rowOff>122554</xdr:rowOff>
    </xdr:from>
    <xdr:to>
      <xdr:col>8</xdr:col>
      <xdr:colOff>209359</xdr:colOff>
      <xdr:row>555</xdr:row>
      <xdr:rowOff>138429</xdr:rowOff>
    </xdr:to>
    <xdr:cxnSp macro="_xll.PtreeEvent_ObjectClick">
      <xdr:nvCxnSpPr>
        <xdr:cNvPr id="1098" name="PTObj_DBranchDLine_1_271">
          <a:extLst>
            <a:ext uri="{FF2B5EF4-FFF2-40B4-BE49-F238E27FC236}">
              <a16:creationId xmlns:a16="http://schemas.microsoft.com/office/drawing/2014/main" id="{956EB72D-171E-4BEA-8B5E-54C80A42BAA6}"/>
            </a:ext>
          </a:extLst>
        </xdr:cNvPr>
        <xdr:cNvCxnSpPr/>
      </xdr:nvCxnSpPr>
      <xdr:spPr>
        <a:xfrm flipV="1">
          <a:off x="15630334" y="99115879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555</xdr:row>
      <xdr:rowOff>137796</xdr:rowOff>
    </xdr:from>
    <xdr:to>
      <xdr:col>7</xdr:col>
      <xdr:colOff>1398397</xdr:colOff>
      <xdr:row>555</xdr:row>
      <xdr:rowOff>137796</xdr:rowOff>
    </xdr:to>
    <xdr:cxnSp macro="_xll.PtreeEvent_ObjectClick">
      <xdr:nvCxnSpPr>
        <xdr:cNvPr id="1095" name="PTObj_DBranchHLine_1_275">
          <a:extLst>
            <a:ext uri="{FF2B5EF4-FFF2-40B4-BE49-F238E27FC236}">
              <a16:creationId xmlns:a16="http://schemas.microsoft.com/office/drawing/2014/main" id="{55D60DE4-6AA2-4F63-8501-69A6293590DB}"/>
            </a:ext>
          </a:extLst>
        </xdr:cNvPr>
        <xdr:cNvCxnSpPr/>
      </xdr:nvCxnSpPr>
      <xdr:spPr>
        <a:xfrm>
          <a:off x="14362557" y="1005789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545</xdr:row>
      <xdr:rowOff>106995</xdr:rowOff>
    </xdr:from>
    <xdr:to>
      <xdr:col>7</xdr:col>
      <xdr:colOff>217932</xdr:colOff>
      <xdr:row>555</xdr:row>
      <xdr:rowOff>137796</xdr:rowOff>
    </xdr:to>
    <xdr:cxnSp macro="_xll.PtreeEvent_ObjectClick">
      <xdr:nvCxnSpPr>
        <xdr:cNvPr id="1094" name="PTObj_DBranchDLine_1_275">
          <a:extLst>
            <a:ext uri="{FF2B5EF4-FFF2-40B4-BE49-F238E27FC236}">
              <a16:creationId xmlns:a16="http://schemas.microsoft.com/office/drawing/2014/main" id="{1C986FBD-F49E-4D6D-BAF6-549CF9B87DE9}"/>
            </a:ext>
          </a:extLst>
        </xdr:cNvPr>
        <xdr:cNvCxnSpPr/>
      </xdr:nvCxnSpPr>
      <xdr:spPr>
        <a:xfrm>
          <a:off x="14210157" y="98738370"/>
          <a:ext cx="152400" cy="184055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543</xdr:row>
      <xdr:rowOff>114933</xdr:rowOff>
    </xdr:from>
    <xdr:to>
      <xdr:col>11</xdr:col>
      <xdr:colOff>1385063</xdr:colOff>
      <xdr:row>543</xdr:row>
      <xdr:rowOff>114933</xdr:rowOff>
    </xdr:to>
    <xdr:cxnSp macro="_xll.PtreeEvent_ObjectClick">
      <xdr:nvCxnSpPr>
        <xdr:cNvPr id="1091" name="PTObj_DBranchHLine_1_269">
          <a:extLst>
            <a:ext uri="{FF2B5EF4-FFF2-40B4-BE49-F238E27FC236}">
              <a16:creationId xmlns:a16="http://schemas.microsoft.com/office/drawing/2014/main" id="{9A07E9C6-43C3-4346-81C7-5FB4C8D98E63}"/>
            </a:ext>
          </a:extLst>
        </xdr:cNvPr>
        <xdr:cNvCxnSpPr/>
      </xdr:nvCxnSpPr>
      <xdr:spPr>
        <a:xfrm>
          <a:off x="20056601" y="98384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541</xdr:row>
      <xdr:rowOff>102226</xdr:rowOff>
    </xdr:from>
    <xdr:to>
      <xdr:col>11</xdr:col>
      <xdr:colOff>196976</xdr:colOff>
      <xdr:row>543</xdr:row>
      <xdr:rowOff>114933</xdr:rowOff>
    </xdr:to>
    <xdr:cxnSp macro="_xll.PtreeEvent_ObjectClick">
      <xdr:nvCxnSpPr>
        <xdr:cNvPr id="1090" name="PTObj_DBranchDLine_1_269">
          <a:extLst>
            <a:ext uri="{FF2B5EF4-FFF2-40B4-BE49-F238E27FC236}">
              <a16:creationId xmlns:a16="http://schemas.microsoft.com/office/drawing/2014/main" id="{75E6D754-80A4-4DDC-8429-CB3212CE8D6E}"/>
            </a:ext>
          </a:extLst>
        </xdr:cNvPr>
        <xdr:cNvCxnSpPr/>
      </xdr:nvCxnSpPr>
      <xdr:spPr>
        <a:xfrm>
          <a:off x="19904201" y="98009701"/>
          <a:ext cx="152400" cy="3746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541</xdr:row>
      <xdr:rowOff>111125</xdr:rowOff>
    </xdr:from>
    <xdr:to>
      <xdr:col>10</xdr:col>
      <xdr:colOff>1392681</xdr:colOff>
      <xdr:row>541</xdr:row>
      <xdr:rowOff>111125</xdr:rowOff>
    </xdr:to>
    <xdr:cxnSp macro="_xll.PtreeEvent_ObjectClick">
      <xdr:nvCxnSpPr>
        <xdr:cNvPr id="1087" name="PTObj_DBranchHLine_1_268">
          <a:extLst>
            <a:ext uri="{FF2B5EF4-FFF2-40B4-BE49-F238E27FC236}">
              <a16:creationId xmlns:a16="http://schemas.microsoft.com/office/drawing/2014/main" id="{B98109AC-330F-4640-A371-A956957DE24C}"/>
            </a:ext>
          </a:extLst>
        </xdr:cNvPr>
        <xdr:cNvCxnSpPr/>
      </xdr:nvCxnSpPr>
      <xdr:spPr>
        <a:xfrm>
          <a:off x="18628804" y="98018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539</xdr:row>
      <xdr:rowOff>106040</xdr:rowOff>
    </xdr:from>
    <xdr:to>
      <xdr:col>10</xdr:col>
      <xdr:colOff>197929</xdr:colOff>
      <xdr:row>541</xdr:row>
      <xdr:rowOff>111125</xdr:rowOff>
    </xdr:to>
    <xdr:cxnSp macro="_xll.PtreeEvent_ObjectClick">
      <xdr:nvCxnSpPr>
        <xdr:cNvPr id="1086" name="PTObj_DBranchDLine_1_268">
          <a:extLst>
            <a:ext uri="{FF2B5EF4-FFF2-40B4-BE49-F238E27FC236}">
              <a16:creationId xmlns:a16="http://schemas.microsoft.com/office/drawing/2014/main" id="{6742F22C-6350-460A-8D53-33888B807BD9}"/>
            </a:ext>
          </a:extLst>
        </xdr:cNvPr>
        <xdr:cNvCxnSpPr/>
      </xdr:nvCxnSpPr>
      <xdr:spPr>
        <a:xfrm>
          <a:off x="18476404" y="976515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539</xdr:row>
      <xdr:rowOff>107317</xdr:rowOff>
    </xdr:from>
    <xdr:to>
      <xdr:col>9</xdr:col>
      <xdr:colOff>1388870</xdr:colOff>
      <xdr:row>539</xdr:row>
      <xdr:rowOff>107317</xdr:rowOff>
    </xdr:to>
    <xdr:cxnSp macro="_xll.PtreeEvent_ObjectClick">
      <xdr:nvCxnSpPr>
        <xdr:cNvPr id="1083" name="PTObj_DBranchHLine_1_267">
          <a:extLst>
            <a:ext uri="{FF2B5EF4-FFF2-40B4-BE49-F238E27FC236}">
              <a16:creationId xmlns:a16="http://schemas.microsoft.com/office/drawing/2014/main" id="{4E2D5A05-5D32-4A96-B0B9-EC2155CD67EA}"/>
            </a:ext>
          </a:extLst>
        </xdr:cNvPr>
        <xdr:cNvCxnSpPr/>
      </xdr:nvCxnSpPr>
      <xdr:spPr>
        <a:xfrm>
          <a:off x="17206720" y="97652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537</xdr:row>
      <xdr:rowOff>102239</xdr:rowOff>
    </xdr:from>
    <xdr:to>
      <xdr:col>9</xdr:col>
      <xdr:colOff>204595</xdr:colOff>
      <xdr:row>539</xdr:row>
      <xdr:rowOff>107317</xdr:rowOff>
    </xdr:to>
    <xdr:cxnSp macro="_xll.PtreeEvent_ObjectClick">
      <xdr:nvCxnSpPr>
        <xdr:cNvPr id="1082" name="PTObj_DBranchDLine_1_267">
          <a:extLst>
            <a:ext uri="{FF2B5EF4-FFF2-40B4-BE49-F238E27FC236}">
              <a16:creationId xmlns:a16="http://schemas.microsoft.com/office/drawing/2014/main" id="{F8AE02D6-C714-4144-A7EC-20B70491A989}"/>
            </a:ext>
          </a:extLst>
        </xdr:cNvPr>
        <xdr:cNvCxnSpPr/>
      </xdr:nvCxnSpPr>
      <xdr:spPr>
        <a:xfrm>
          <a:off x="17054320" y="97285814"/>
          <a:ext cx="152400" cy="3670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537</xdr:row>
      <xdr:rowOff>103504</xdr:rowOff>
    </xdr:from>
    <xdr:to>
      <xdr:col>8</xdr:col>
      <xdr:colOff>1392681</xdr:colOff>
      <xdr:row>537</xdr:row>
      <xdr:rowOff>103504</xdr:rowOff>
    </xdr:to>
    <xdr:cxnSp macro="_xll.PtreeEvent_ObjectClick">
      <xdr:nvCxnSpPr>
        <xdr:cNvPr id="1079" name="PTObj_DBranchHLine_1_266">
          <a:extLst>
            <a:ext uri="{FF2B5EF4-FFF2-40B4-BE49-F238E27FC236}">
              <a16:creationId xmlns:a16="http://schemas.microsoft.com/office/drawing/2014/main" id="{EE25D137-7D77-4B39-B77F-6B45E74FF83A}"/>
            </a:ext>
          </a:extLst>
        </xdr:cNvPr>
        <xdr:cNvCxnSpPr/>
      </xdr:nvCxnSpPr>
      <xdr:spPr>
        <a:xfrm>
          <a:off x="15782734" y="97287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535</xdr:row>
      <xdr:rowOff>100329</xdr:rowOff>
    </xdr:from>
    <xdr:to>
      <xdr:col>8</xdr:col>
      <xdr:colOff>209359</xdr:colOff>
      <xdr:row>537</xdr:row>
      <xdr:rowOff>103504</xdr:rowOff>
    </xdr:to>
    <xdr:cxnSp macro="_xll.PtreeEvent_ObjectClick">
      <xdr:nvCxnSpPr>
        <xdr:cNvPr id="1078" name="PTObj_DBranchDLine_1_266">
          <a:extLst>
            <a:ext uri="{FF2B5EF4-FFF2-40B4-BE49-F238E27FC236}">
              <a16:creationId xmlns:a16="http://schemas.microsoft.com/office/drawing/2014/main" id="{180F59D5-D0A8-4EA7-82C3-47D2CABBF57A}"/>
            </a:ext>
          </a:extLst>
        </xdr:cNvPr>
        <xdr:cNvCxnSpPr/>
      </xdr:nvCxnSpPr>
      <xdr:spPr>
        <a:xfrm>
          <a:off x="15630334" y="96921954"/>
          <a:ext cx="152400" cy="365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533</xdr:row>
      <xdr:rowOff>95883</xdr:rowOff>
    </xdr:from>
    <xdr:to>
      <xdr:col>11</xdr:col>
      <xdr:colOff>1384111</xdr:colOff>
      <xdr:row>533</xdr:row>
      <xdr:rowOff>95883</xdr:rowOff>
    </xdr:to>
    <xdr:cxnSp macro="_xll.PtreeEvent_ObjectClick">
      <xdr:nvCxnSpPr>
        <xdr:cNvPr id="1075" name="PTObj_DBranchHLine_1_264">
          <a:extLst>
            <a:ext uri="{FF2B5EF4-FFF2-40B4-BE49-F238E27FC236}">
              <a16:creationId xmlns:a16="http://schemas.microsoft.com/office/drawing/2014/main" id="{DBCE6A01-7BE7-4305-8F2E-F202DC242436}"/>
            </a:ext>
          </a:extLst>
        </xdr:cNvPr>
        <xdr:cNvCxnSpPr/>
      </xdr:nvCxnSpPr>
      <xdr:spPr>
        <a:xfrm>
          <a:off x="20056601" y="965555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531</xdr:row>
      <xdr:rowOff>86990</xdr:rowOff>
    </xdr:from>
    <xdr:to>
      <xdr:col>11</xdr:col>
      <xdr:colOff>196976</xdr:colOff>
      <xdr:row>533</xdr:row>
      <xdr:rowOff>95883</xdr:rowOff>
    </xdr:to>
    <xdr:cxnSp macro="_xll.PtreeEvent_ObjectClick">
      <xdr:nvCxnSpPr>
        <xdr:cNvPr id="1074" name="PTObj_DBranchDLine_1_264">
          <a:extLst>
            <a:ext uri="{FF2B5EF4-FFF2-40B4-BE49-F238E27FC236}">
              <a16:creationId xmlns:a16="http://schemas.microsoft.com/office/drawing/2014/main" id="{242089DC-2C8B-4F59-BCE8-031B3551833D}"/>
            </a:ext>
          </a:extLst>
        </xdr:cNvPr>
        <xdr:cNvCxnSpPr/>
      </xdr:nvCxnSpPr>
      <xdr:spPr>
        <a:xfrm>
          <a:off x="19904201" y="961847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531</xdr:row>
      <xdr:rowOff>92075</xdr:rowOff>
    </xdr:from>
    <xdr:to>
      <xdr:col>10</xdr:col>
      <xdr:colOff>1392681</xdr:colOff>
      <xdr:row>531</xdr:row>
      <xdr:rowOff>92075</xdr:rowOff>
    </xdr:to>
    <xdr:cxnSp macro="_xll.PtreeEvent_ObjectClick">
      <xdr:nvCxnSpPr>
        <xdr:cNvPr id="1071" name="PTObj_DBranchHLine_1_263">
          <a:extLst>
            <a:ext uri="{FF2B5EF4-FFF2-40B4-BE49-F238E27FC236}">
              <a16:creationId xmlns:a16="http://schemas.microsoft.com/office/drawing/2014/main" id="{DEAC3108-8059-4C5C-B511-FA40F33E848E}"/>
            </a:ext>
          </a:extLst>
        </xdr:cNvPr>
        <xdr:cNvCxnSpPr/>
      </xdr:nvCxnSpPr>
      <xdr:spPr>
        <a:xfrm>
          <a:off x="18628804" y="96189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529</xdr:row>
      <xdr:rowOff>76522</xdr:rowOff>
    </xdr:from>
    <xdr:to>
      <xdr:col>10</xdr:col>
      <xdr:colOff>197929</xdr:colOff>
      <xdr:row>531</xdr:row>
      <xdr:rowOff>92075</xdr:rowOff>
    </xdr:to>
    <xdr:cxnSp macro="_xll.PtreeEvent_ObjectClick">
      <xdr:nvCxnSpPr>
        <xdr:cNvPr id="1070" name="PTObj_DBranchDLine_1_263">
          <a:extLst>
            <a:ext uri="{FF2B5EF4-FFF2-40B4-BE49-F238E27FC236}">
              <a16:creationId xmlns:a16="http://schemas.microsoft.com/office/drawing/2014/main" id="{4D41985B-ACDA-4270-B5EC-C4CB73A3A2C4}"/>
            </a:ext>
          </a:extLst>
        </xdr:cNvPr>
        <xdr:cNvCxnSpPr/>
      </xdr:nvCxnSpPr>
      <xdr:spPr>
        <a:xfrm>
          <a:off x="18476404" y="958122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529</xdr:row>
      <xdr:rowOff>88267</xdr:rowOff>
    </xdr:from>
    <xdr:to>
      <xdr:col>9</xdr:col>
      <xdr:colOff>1388870</xdr:colOff>
      <xdr:row>529</xdr:row>
      <xdr:rowOff>88267</xdr:rowOff>
    </xdr:to>
    <xdr:cxnSp macro="_xll.PtreeEvent_ObjectClick">
      <xdr:nvCxnSpPr>
        <xdr:cNvPr id="1067" name="PTObj_DBranchHLine_1_262">
          <a:extLst>
            <a:ext uri="{FF2B5EF4-FFF2-40B4-BE49-F238E27FC236}">
              <a16:creationId xmlns:a16="http://schemas.microsoft.com/office/drawing/2014/main" id="{E633FF8F-9A99-4F3C-86D0-E9A604FD4054}"/>
            </a:ext>
          </a:extLst>
        </xdr:cNvPr>
        <xdr:cNvCxnSpPr/>
      </xdr:nvCxnSpPr>
      <xdr:spPr>
        <a:xfrm>
          <a:off x="17206720" y="95824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527</xdr:row>
      <xdr:rowOff>75567</xdr:rowOff>
    </xdr:from>
    <xdr:to>
      <xdr:col>9</xdr:col>
      <xdr:colOff>204595</xdr:colOff>
      <xdr:row>529</xdr:row>
      <xdr:rowOff>88267</xdr:rowOff>
    </xdr:to>
    <xdr:cxnSp macro="_xll.PtreeEvent_ObjectClick">
      <xdr:nvCxnSpPr>
        <xdr:cNvPr id="1066" name="PTObj_DBranchDLine_1_262">
          <a:extLst>
            <a:ext uri="{FF2B5EF4-FFF2-40B4-BE49-F238E27FC236}">
              <a16:creationId xmlns:a16="http://schemas.microsoft.com/office/drawing/2014/main" id="{891EEF76-6296-4563-B008-45A8911658E2}"/>
            </a:ext>
          </a:extLst>
        </xdr:cNvPr>
        <xdr:cNvCxnSpPr/>
      </xdr:nvCxnSpPr>
      <xdr:spPr>
        <a:xfrm>
          <a:off x="17054320" y="954493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527</xdr:row>
      <xdr:rowOff>84454</xdr:rowOff>
    </xdr:from>
    <xdr:to>
      <xdr:col>8</xdr:col>
      <xdr:colOff>1392681</xdr:colOff>
      <xdr:row>527</xdr:row>
      <xdr:rowOff>84454</xdr:rowOff>
    </xdr:to>
    <xdr:cxnSp macro="_xll.PtreeEvent_ObjectClick">
      <xdr:nvCxnSpPr>
        <xdr:cNvPr id="1063" name="PTObj_DBranchHLine_1_261">
          <a:extLst>
            <a:ext uri="{FF2B5EF4-FFF2-40B4-BE49-F238E27FC236}">
              <a16:creationId xmlns:a16="http://schemas.microsoft.com/office/drawing/2014/main" id="{8FFC4217-B663-4B84-A9CE-E5AC08C52FB3}"/>
            </a:ext>
          </a:extLst>
        </xdr:cNvPr>
        <xdr:cNvCxnSpPr/>
      </xdr:nvCxnSpPr>
      <xdr:spPr>
        <a:xfrm>
          <a:off x="15782734" y="95458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527</xdr:row>
      <xdr:rowOff>84454</xdr:rowOff>
    </xdr:from>
    <xdr:to>
      <xdr:col>8</xdr:col>
      <xdr:colOff>209359</xdr:colOff>
      <xdr:row>535</xdr:row>
      <xdr:rowOff>100329</xdr:rowOff>
    </xdr:to>
    <xdr:cxnSp macro="_xll.PtreeEvent_ObjectClick">
      <xdr:nvCxnSpPr>
        <xdr:cNvPr id="1062" name="PTObj_DBranchDLine_1_261">
          <a:extLst>
            <a:ext uri="{FF2B5EF4-FFF2-40B4-BE49-F238E27FC236}">
              <a16:creationId xmlns:a16="http://schemas.microsoft.com/office/drawing/2014/main" id="{AA6E279E-10CF-4ECC-B722-B5E872F84B0E}"/>
            </a:ext>
          </a:extLst>
        </xdr:cNvPr>
        <xdr:cNvCxnSpPr/>
      </xdr:nvCxnSpPr>
      <xdr:spPr>
        <a:xfrm flipV="1">
          <a:off x="15630334" y="95458279"/>
          <a:ext cx="152400" cy="14636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535</xdr:row>
      <xdr:rowOff>99696</xdr:rowOff>
    </xdr:from>
    <xdr:to>
      <xdr:col>7</xdr:col>
      <xdr:colOff>1398397</xdr:colOff>
      <xdr:row>535</xdr:row>
      <xdr:rowOff>99696</xdr:rowOff>
    </xdr:to>
    <xdr:cxnSp macro="_xll.PtreeEvent_ObjectClick">
      <xdr:nvCxnSpPr>
        <xdr:cNvPr id="1059" name="PTObj_DBranchHLine_1_265">
          <a:extLst>
            <a:ext uri="{FF2B5EF4-FFF2-40B4-BE49-F238E27FC236}">
              <a16:creationId xmlns:a16="http://schemas.microsoft.com/office/drawing/2014/main" id="{563D02E6-4115-4E04-8D1A-D467921DDDAE}"/>
            </a:ext>
          </a:extLst>
        </xdr:cNvPr>
        <xdr:cNvCxnSpPr/>
      </xdr:nvCxnSpPr>
      <xdr:spPr>
        <a:xfrm>
          <a:off x="14360652" y="969213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535</xdr:row>
      <xdr:rowOff>99696</xdr:rowOff>
    </xdr:from>
    <xdr:to>
      <xdr:col>7</xdr:col>
      <xdr:colOff>216027</xdr:colOff>
      <xdr:row>545</xdr:row>
      <xdr:rowOff>108905</xdr:rowOff>
    </xdr:to>
    <xdr:cxnSp macro="_xll.PtreeEvent_ObjectClick">
      <xdr:nvCxnSpPr>
        <xdr:cNvPr id="1058" name="PTObj_DBranchDLine_1_265">
          <a:extLst>
            <a:ext uri="{FF2B5EF4-FFF2-40B4-BE49-F238E27FC236}">
              <a16:creationId xmlns:a16="http://schemas.microsoft.com/office/drawing/2014/main" id="{7943E7BE-1698-4A78-A065-F2575B5264C6}"/>
            </a:ext>
          </a:extLst>
        </xdr:cNvPr>
        <xdr:cNvCxnSpPr/>
      </xdr:nvCxnSpPr>
      <xdr:spPr>
        <a:xfrm flipV="1">
          <a:off x="14208252" y="96921321"/>
          <a:ext cx="152400" cy="181895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545</xdr:row>
      <xdr:rowOff>118746</xdr:rowOff>
    </xdr:from>
    <xdr:to>
      <xdr:col>6</xdr:col>
      <xdr:colOff>1402207</xdr:colOff>
      <xdr:row>545</xdr:row>
      <xdr:rowOff>118746</xdr:rowOff>
    </xdr:to>
    <xdr:cxnSp macro="_xll.PtreeEvent_ObjectClick">
      <xdr:nvCxnSpPr>
        <xdr:cNvPr id="1055" name="PTObj_DBranchHLine_1_270">
          <a:extLst>
            <a:ext uri="{FF2B5EF4-FFF2-40B4-BE49-F238E27FC236}">
              <a16:creationId xmlns:a16="http://schemas.microsoft.com/office/drawing/2014/main" id="{C4FB3804-04BF-4143-A478-CEA256780F95}"/>
            </a:ext>
          </a:extLst>
        </xdr:cNvPr>
        <xdr:cNvCxnSpPr/>
      </xdr:nvCxnSpPr>
      <xdr:spPr>
        <a:xfrm>
          <a:off x="12936665" y="98750121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525</xdr:row>
      <xdr:rowOff>77465</xdr:rowOff>
    </xdr:from>
    <xdr:to>
      <xdr:col>6</xdr:col>
      <xdr:colOff>220790</xdr:colOff>
      <xdr:row>545</xdr:row>
      <xdr:rowOff>118746</xdr:rowOff>
    </xdr:to>
    <xdr:cxnSp macro="_xll.PtreeEvent_ObjectClick">
      <xdr:nvCxnSpPr>
        <xdr:cNvPr id="1054" name="PTObj_DBranchDLine_1_270">
          <a:extLst>
            <a:ext uri="{FF2B5EF4-FFF2-40B4-BE49-F238E27FC236}">
              <a16:creationId xmlns:a16="http://schemas.microsoft.com/office/drawing/2014/main" id="{73DA0469-641C-4DC7-AA23-E63B815CF561}"/>
            </a:ext>
          </a:extLst>
        </xdr:cNvPr>
        <xdr:cNvCxnSpPr/>
      </xdr:nvCxnSpPr>
      <xdr:spPr>
        <a:xfrm>
          <a:off x="12784265" y="95089340"/>
          <a:ext cx="152400" cy="36607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523</xdr:row>
      <xdr:rowOff>76833</xdr:rowOff>
    </xdr:from>
    <xdr:to>
      <xdr:col>11</xdr:col>
      <xdr:colOff>1385063</xdr:colOff>
      <xdr:row>523</xdr:row>
      <xdr:rowOff>76833</xdr:rowOff>
    </xdr:to>
    <xdr:cxnSp macro="_xll.PtreeEvent_ObjectClick">
      <xdr:nvCxnSpPr>
        <xdr:cNvPr id="1051" name="PTObj_DBranchHLine_1_259">
          <a:extLst>
            <a:ext uri="{FF2B5EF4-FFF2-40B4-BE49-F238E27FC236}">
              <a16:creationId xmlns:a16="http://schemas.microsoft.com/office/drawing/2014/main" id="{9667527B-8909-4ADD-954C-88A7FFF1E54E}"/>
            </a:ext>
          </a:extLst>
        </xdr:cNvPr>
        <xdr:cNvCxnSpPr/>
      </xdr:nvCxnSpPr>
      <xdr:spPr>
        <a:xfrm>
          <a:off x="20056601" y="94726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521</xdr:row>
      <xdr:rowOff>70799</xdr:rowOff>
    </xdr:from>
    <xdr:to>
      <xdr:col>11</xdr:col>
      <xdr:colOff>196976</xdr:colOff>
      <xdr:row>523</xdr:row>
      <xdr:rowOff>76833</xdr:rowOff>
    </xdr:to>
    <xdr:cxnSp macro="_xll.PtreeEvent_ObjectClick">
      <xdr:nvCxnSpPr>
        <xdr:cNvPr id="1050" name="PTObj_DBranchDLine_1_259">
          <a:extLst>
            <a:ext uri="{FF2B5EF4-FFF2-40B4-BE49-F238E27FC236}">
              <a16:creationId xmlns:a16="http://schemas.microsoft.com/office/drawing/2014/main" id="{5BDECECD-29E8-407F-AED7-F5250D031B47}"/>
            </a:ext>
          </a:extLst>
        </xdr:cNvPr>
        <xdr:cNvCxnSpPr/>
      </xdr:nvCxnSpPr>
      <xdr:spPr>
        <a:xfrm>
          <a:off x="19904201" y="943587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521</xdr:row>
      <xdr:rowOff>73025</xdr:rowOff>
    </xdr:from>
    <xdr:to>
      <xdr:col>10</xdr:col>
      <xdr:colOff>1392681</xdr:colOff>
      <xdr:row>521</xdr:row>
      <xdr:rowOff>73025</xdr:rowOff>
    </xdr:to>
    <xdr:cxnSp macro="_xll.PtreeEvent_ObjectClick">
      <xdr:nvCxnSpPr>
        <xdr:cNvPr id="1047" name="PTObj_DBranchHLine_1_258">
          <a:extLst>
            <a:ext uri="{FF2B5EF4-FFF2-40B4-BE49-F238E27FC236}">
              <a16:creationId xmlns:a16="http://schemas.microsoft.com/office/drawing/2014/main" id="{B8F437DC-5835-4005-A4F3-231BA0E02E45}"/>
            </a:ext>
          </a:extLst>
        </xdr:cNvPr>
        <xdr:cNvCxnSpPr/>
      </xdr:nvCxnSpPr>
      <xdr:spPr>
        <a:xfrm>
          <a:off x="18628804" y="94361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519</xdr:row>
      <xdr:rowOff>68895</xdr:rowOff>
    </xdr:from>
    <xdr:to>
      <xdr:col>10</xdr:col>
      <xdr:colOff>197929</xdr:colOff>
      <xdr:row>521</xdr:row>
      <xdr:rowOff>73025</xdr:rowOff>
    </xdr:to>
    <xdr:cxnSp macro="_xll.PtreeEvent_ObjectClick">
      <xdr:nvCxnSpPr>
        <xdr:cNvPr id="1046" name="PTObj_DBranchDLine_1_258">
          <a:extLst>
            <a:ext uri="{FF2B5EF4-FFF2-40B4-BE49-F238E27FC236}">
              <a16:creationId xmlns:a16="http://schemas.microsoft.com/office/drawing/2014/main" id="{4C4046C1-BDB4-48BE-ABB2-CF6485FE89C9}"/>
            </a:ext>
          </a:extLst>
        </xdr:cNvPr>
        <xdr:cNvCxnSpPr/>
      </xdr:nvCxnSpPr>
      <xdr:spPr>
        <a:xfrm>
          <a:off x="18476404" y="939949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519</xdr:row>
      <xdr:rowOff>69217</xdr:rowOff>
    </xdr:from>
    <xdr:to>
      <xdr:col>9</xdr:col>
      <xdr:colOff>1388870</xdr:colOff>
      <xdr:row>519</xdr:row>
      <xdr:rowOff>69217</xdr:rowOff>
    </xdr:to>
    <xdr:cxnSp macro="_xll.PtreeEvent_ObjectClick">
      <xdr:nvCxnSpPr>
        <xdr:cNvPr id="1043" name="PTObj_DBranchHLine_1_257">
          <a:extLst>
            <a:ext uri="{FF2B5EF4-FFF2-40B4-BE49-F238E27FC236}">
              <a16:creationId xmlns:a16="http://schemas.microsoft.com/office/drawing/2014/main" id="{B9A081F0-C05F-4792-B379-2AB1A69858E7}"/>
            </a:ext>
          </a:extLst>
        </xdr:cNvPr>
        <xdr:cNvCxnSpPr/>
      </xdr:nvCxnSpPr>
      <xdr:spPr>
        <a:xfrm>
          <a:off x="17206720" y="93995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517</xdr:row>
      <xdr:rowOff>63184</xdr:rowOff>
    </xdr:from>
    <xdr:to>
      <xdr:col>9</xdr:col>
      <xdr:colOff>204595</xdr:colOff>
      <xdr:row>519</xdr:row>
      <xdr:rowOff>69217</xdr:rowOff>
    </xdr:to>
    <xdr:cxnSp macro="_xll.PtreeEvent_ObjectClick">
      <xdr:nvCxnSpPr>
        <xdr:cNvPr id="1042" name="PTObj_DBranchDLine_1_257">
          <a:extLst>
            <a:ext uri="{FF2B5EF4-FFF2-40B4-BE49-F238E27FC236}">
              <a16:creationId xmlns:a16="http://schemas.microsoft.com/office/drawing/2014/main" id="{28A58ACC-DD29-4B75-9E16-60C197C25494}"/>
            </a:ext>
          </a:extLst>
        </xdr:cNvPr>
        <xdr:cNvCxnSpPr/>
      </xdr:nvCxnSpPr>
      <xdr:spPr>
        <a:xfrm>
          <a:off x="17054320" y="936272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517</xdr:row>
      <xdr:rowOff>65404</xdr:rowOff>
    </xdr:from>
    <xdr:to>
      <xdr:col>8</xdr:col>
      <xdr:colOff>1392681</xdr:colOff>
      <xdr:row>517</xdr:row>
      <xdr:rowOff>65404</xdr:rowOff>
    </xdr:to>
    <xdr:cxnSp macro="_xll.PtreeEvent_ObjectClick">
      <xdr:nvCxnSpPr>
        <xdr:cNvPr id="1039" name="PTObj_DBranchHLine_1_256">
          <a:extLst>
            <a:ext uri="{FF2B5EF4-FFF2-40B4-BE49-F238E27FC236}">
              <a16:creationId xmlns:a16="http://schemas.microsoft.com/office/drawing/2014/main" id="{722919DF-C2CB-42F3-9031-D4976FCED17D}"/>
            </a:ext>
          </a:extLst>
        </xdr:cNvPr>
        <xdr:cNvCxnSpPr/>
      </xdr:nvCxnSpPr>
      <xdr:spPr>
        <a:xfrm>
          <a:off x="15782734" y="93629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515</xdr:row>
      <xdr:rowOff>56511</xdr:rowOff>
    </xdr:from>
    <xdr:to>
      <xdr:col>8</xdr:col>
      <xdr:colOff>209359</xdr:colOff>
      <xdr:row>517</xdr:row>
      <xdr:rowOff>65404</xdr:rowOff>
    </xdr:to>
    <xdr:cxnSp macro="_xll.PtreeEvent_ObjectClick">
      <xdr:nvCxnSpPr>
        <xdr:cNvPr id="1038" name="PTObj_DBranchDLine_1_256">
          <a:extLst>
            <a:ext uri="{FF2B5EF4-FFF2-40B4-BE49-F238E27FC236}">
              <a16:creationId xmlns:a16="http://schemas.microsoft.com/office/drawing/2014/main" id="{531D07B2-4C3D-4632-84D7-E5400CF6A83E}"/>
            </a:ext>
          </a:extLst>
        </xdr:cNvPr>
        <xdr:cNvCxnSpPr/>
      </xdr:nvCxnSpPr>
      <xdr:spPr>
        <a:xfrm>
          <a:off x="15630334" y="932586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513</xdr:row>
      <xdr:rowOff>57783</xdr:rowOff>
    </xdr:from>
    <xdr:to>
      <xdr:col>11</xdr:col>
      <xdr:colOff>1392682</xdr:colOff>
      <xdr:row>513</xdr:row>
      <xdr:rowOff>57783</xdr:rowOff>
    </xdr:to>
    <xdr:cxnSp macro="_xll.PtreeEvent_ObjectClick">
      <xdr:nvCxnSpPr>
        <xdr:cNvPr id="1035" name="PTObj_DBranchHLine_1_254">
          <a:extLst>
            <a:ext uri="{FF2B5EF4-FFF2-40B4-BE49-F238E27FC236}">
              <a16:creationId xmlns:a16="http://schemas.microsoft.com/office/drawing/2014/main" id="{5788824D-2BE4-404C-B274-D7BDAB7D0DC8}"/>
            </a:ext>
          </a:extLst>
        </xdr:cNvPr>
        <xdr:cNvCxnSpPr/>
      </xdr:nvCxnSpPr>
      <xdr:spPr>
        <a:xfrm>
          <a:off x="20056601" y="928979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511</xdr:row>
      <xdr:rowOff>41275</xdr:rowOff>
    </xdr:from>
    <xdr:to>
      <xdr:col>11</xdr:col>
      <xdr:colOff>196976</xdr:colOff>
      <xdr:row>513</xdr:row>
      <xdr:rowOff>57783</xdr:rowOff>
    </xdr:to>
    <xdr:cxnSp macro="_xll.PtreeEvent_ObjectClick">
      <xdr:nvCxnSpPr>
        <xdr:cNvPr id="1034" name="PTObj_DBranchDLine_1_254">
          <a:extLst>
            <a:ext uri="{FF2B5EF4-FFF2-40B4-BE49-F238E27FC236}">
              <a16:creationId xmlns:a16="http://schemas.microsoft.com/office/drawing/2014/main" id="{B9936A87-FD32-4EAA-90A3-98E3B419F1A8}"/>
            </a:ext>
          </a:extLst>
        </xdr:cNvPr>
        <xdr:cNvCxnSpPr/>
      </xdr:nvCxnSpPr>
      <xdr:spPr>
        <a:xfrm>
          <a:off x="19904201" y="925195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511</xdr:row>
      <xdr:rowOff>53975</xdr:rowOff>
    </xdr:from>
    <xdr:to>
      <xdr:col>10</xdr:col>
      <xdr:colOff>1392681</xdr:colOff>
      <xdr:row>511</xdr:row>
      <xdr:rowOff>53975</xdr:rowOff>
    </xdr:to>
    <xdr:cxnSp macro="_xll.PtreeEvent_ObjectClick">
      <xdr:nvCxnSpPr>
        <xdr:cNvPr id="1031" name="PTObj_DBranchHLine_1_253">
          <a:extLst>
            <a:ext uri="{FF2B5EF4-FFF2-40B4-BE49-F238E27FC236}">
              <a16:creationId xmlns:a16="http://schemas.microsoft.com/office/drawing/2014/main" id="{A011278F-8797-456E-8984-5CC0FBD77725}"/>
            </a:ext>
          </a:extLst>
        </xdr:cNvPr>
        <xdr:cNvCxnSpPr/>
      </xdr:nvCxnSpPr>
      <xdr:spPr>
        <a:xfrm>
          <a:off x="18628804" y="92532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509</xdr:row>
      <xdr:rowOff>38422</xdr:rowOff>
    </xdr:from>
    <xdr:to>
      <xdr:col>10</xdr:col>
      <xdr:colOff>197929</xdr:colOff>
      <xdr:row>511</xdr:row>
      <xdr:rowOff>53975</xdr:rowOff>
    </xdr:to>
    <xdr:cxnSp macro="_xll.PtreeEvent_ObjectClick">
      <xdr:nvCxnSpPr>
        <xdr:cNvPr id="1030" name="PTObj_DBranchDLine_1_253">
          <a:extLst>
            <a:ext uri="{FF2B5EF4-FFF2-40B4-BE49-F238E27FC236}">
              <a16:creationId xmlns:a16="http://schemas.microsoft.com/office/drawing/2014/main" id="{7A3DA23C-2729-4733-BE6F-C581B5BA670C}"/>
            </a:ext>
          </a:extLst>
        </xdr:cNvPr>
        <xdr:cNvCxnSpPr/>
      </xdr:nvCxnSpPr>
      <xdr:spPr>
        <a:xfrm>
          <a:off x="18476404" y="921546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509</xdr:row>
      <xdr:rowOff>50167</xdr:rowOff>
    </xdr:from>
    <xdr:to>
      <xdr:col>9</xdr:col>
      <xdr:colOff>1388870</xdr:colOff>
      <xdr:row>509</xdr:row>
      <xdr:rowOff>50167</xdr:rowOff>
    </xdr:to>
    <xdr:cxnSp macro="_xll.PtreeEvent_ObjectClick">
      <xdr:nvCxnSpPr>
        <xdr:cNvPr id="1027" name="PTObj_DBranchHLine_1_252">
          <a:extLst>
            <a:ext uri="{FF2B5EF4-FFF2-40B4-BE49-F238E27FC236}">
              <a16:creationId xmlns:a16="http://schemas.microsoft.com/office/drawing/2014/main" id="{FEC009AA-02CC-4206-BB40-388D23EE8540}"/>
            </a:ext>
          </a:extLst>
        </xdr:cNvPr>
        <xdr:cNvCxnSpPr/>
      </xdr:nvCxnSpPr>
      <xdr:spPr>
        <a:xfrm>
          <a:off x="17206720" y="92166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507</xdr:row>
      <xdr:rowOff>37467</xdr:rowOff>
    </xdr:from>
    <xdr:to>
      <xdr:col>9</xdr:col>
      <xdr:colOff>204595</xdr:colOff>
      <xdr:row>509</xdr:row>
      <xdr:rowOff>50167</xdr:rowOff>
    </xdr:to>
    <xdr:cxnSp macro="_xll.PtreeEvent_ObjectClick">
      <xdr:nvCxnSpPr>
        <xdr:cNvPr id="1026" name="PTObj_DBranchDLine_1_252">
          <a:extLst>
            <a:ext uri="{FF2B5EF4-FFF2-40B4-BE49-F238E27FC236}">
              <a16:creationId xmlns:a16="http://schemas.microsoft.com/office/drawing/2014/main" id="{C6022809-D340-4DC5-8788-D52E0F004E47}"/>
            </a:ext>
          </a:extLst>
        </xdr:cNvPr>
        <xdr:cNvCxnSpPr/>
      </xdr:nvCxnSpPr>
      <xdr:spPr>
        <a:xfrm>
          <a:off x="17054320" y="917917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507</xdr:row>
      <xdr:rowOff>46354</xdr:rowOff>
    </xdr:from>
    <xdr:to>
      <xdr:col>8</xdr:col>
      <xdr:colOff>1392681</xdr:colOff>
      <xdr:row>507</xdr:row>
      <xdr:rowOff>46354</xdr:rowOff>
    </xdr:to>
    <xdr:cxnSp macro="_xll.PtreeEvent_ObjectClick">
      <xdr:nvCxnSpPr>
        <xdr:cNvPr id="1023" name="PTObj_DBranchHLine_1_251">
          <a:extLst>
            <a:ext uri="{FF2B5EF4-FFF2-40B4-BE49-F238E27FC236}">
              <a16:creationId xmlns:a16="http://schemas.microsoft.com/office/drawing/2014/main" id="{423CD564-27E3-4CC2-AEBF-314A47250FA2}"/>
            </a:ext>
          </a:extLst>
        </xdr:cNvPr>
        <xdr:cNvCxnSpPr/>
      </xdr:nvCxnSpPr>
      <xdr:spPr>
        <a:xfrm>
          <a:off x="15782734" y="91800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507</xdr:row>
      <xdr:rowOff>46354</xdr:rowOff>
    </xdr:from>
    <xdr:to>
      <xdr:col>8</xdr:col>
      <xdr:colOff>209359</xdr:colOff>
      <xdr:row>515</xdr:row>
      <xdr:rowOff>56511</xdr:rowOff>
    </xdr:to>
    <xdr:cxnSp macro="_xll.PtreeEvent_ObjectClick">
      <xdr:nvCxnSpPr>
        <xdr:cNvPr id="1022" name="PTObj_DBranchDLine_1_251">
          <a:extLst>
            <a:ext uri="{FF2B5EF4-FFF2-40B4-BE49-F238E27FC236}">
              <a16:creationId xmlns:a16="http://schemas.microsoft.com/office/drawing/2014/main" id="{D8EC6FBC-B58E-4AFA-8BE1-DBE4A57557D8}"/>
            </a:ext>
          </a:extLst>
        </xdr:cNvPr>
        <xdr:cNvCxnSpPr/>
      </xdr:nvCxnSpPr>
      <xdr:spPr>
        <a:xfrm flipV="1">
          <a:off x="15630334" y="918006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515</xdr:row>
      <xdr:rowOff>61596</xdr:rowOff>
    </xdr:from>
    <xdr:to>
      <xdr:col>7</xdr:col>
      <xdr:colOff>1398397</xdr:colOff>
      <xdr:row>515</xdr:row>
      <xdr:rowOff>61596</xdr:rowOff>
    </xdr:to>
    <xdr:cxnSp macro="_xll.PtreeEvent_ObjectClick">
      <xdr:nvCxnSpPr>
        <xdr:cNvPr id="1019" name="PTObj_DBranchHLine_1_255">
          <a:extLst>
            <a:ext uri="{FF2B5EF4-FFF2-40B4-BE49-F238E27FC236}">
              <a16:creationId xmlns:a16="http://schemas.microsoft.com/office/drawing/2014/main" id="{3C66C3DC-B243-42A0-B146-3276883AFDB4}"/>
            </a:ext>
          </a:extLst>
        </xdr:cNvPr>
        <xdr:cNvCxnSpPr/>
      </xdr:nvCxnSpPr>
      <xdr:spPr>
        <a:xfrm>
          <a:off x="14362557" y="932637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505</xdr:row>
      <xdr:rowOff>39365</xdr:rowOff>
    </xdr:from>
    <xdr:to>
      <xdr:col>7</xdr:col>
      <xdr:colOff>217932</xdr:colOff>
      <xdr:row>515</xdr:row>
      <xdr:rowOff>61596</xdr:rowOff>
    </xdr:to>
    <xdr:cxnSp macro="_xll.PtreeEvent_ObjectClick">
      <xdr:nvCxnSpPr>
        <xdr:cNvPr id="1018" name="PTObj_DBranchDLine_1_255">
          <a:extLst>
            <a:ext uri="{FF2B5EF4-FFF2-40B4-BE49-F238E27FC236}">
              <a16:creationId xmlns:a16="http://schemas.microsoft.com/office/drawing/2014/main" id="{1E12F087-475E-479A-B994-546765A1C9EF}"/>
            </a:ext>
          </a:extLst>
        </xdr:cNvPr>
        <xdr:cNvCxnSpPr/>
      </xdr:nvCxnSpPr>
      <xdr:spPr>
        <a:xfrm>
          <a:off x="14210157" y="91431740"/>
          <a:ext cx="152400" cy="18319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503</xdr:row>
      <xdr:rowOff>38733</xdr:rowOff>
    </xdr:from>
    <xdr:to>
      <xdr:col>11</xdr:col>
      <xdr:colOff>1385063</xdr:colOff>
      <xdr:row>503</xdr:row>
      <xdr:rowOff>38733</xdr:rowOff>
    </xdr:to>
    <xdr:cxnSp macro="_xll.PtreeEvent_ObjectClick">
      <xdr:nvCxnSpPr>
        <xdr:cNvPr id="1015" name="PTObj_DBranchHLine_1_249">
          <a:extLst>
            <a:ext uri="{FF2B5EF4-FFF2-40B4-BE49-F238E27FC236}">
              <a16:creationId xmlns:a16="http://schemas.microsoft.com/office/drawing/2014/main" id="{7084E5C9-92C8-4557-AE68-664192801B1B}"/>
            </a:ext>
          </a:extLst>
        </xdr:cNvPr>
        <xdr:cNvCxnSpPr/>
      </xdr:nvCxnSpPr>
      <xdr:spPr>
        <a:xfrm>
          <a:off x="20056601" y="91069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501</xdr:row>
      <xdr:rowOff>32699</xdr:rowOff>
    </xdr:from>
    <xdr:to>
      <xdr:col>11</xdr:col>
      <xdr:colOff>196976</xdr:colOff>
      <xdr:row>503</xdr:row>
      <xdr:rowOff>38733</xdr:rowOff>
    </xdr:to>
    <xdr:cxnSp macro="_xll.PtreeEvent_ObjectClick">
      <xdr:nvCxnSpPr>
        <xdr:cNvPr id="1014" name="PTObj_DBranchDLine_1_249">
          <a:extLst>
            <a:ext uri="{FF2B5EF4-FFF2-40B4-BE49-F238E27FC236}">
              <a16:creationId xmlns:a16="http://schemas.microsoft.com/office/drawing/2014/main" id="{55EC2621-99A1-43EB-BD6D-9A73377FA0F0}"/>
            </a:ext>
          </a:extLst>
        </xdr:cNvPr>
        <xdr:cNvCxnSpPr/>
      </xdr:nvCxnSpPr>
      <xdr:spPr>
        <a:xfrm>
          <a:off x="19904201" y="907011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501</xdr:row>
      <xdr:rowOff>34925</xdr:rowOff>
    </xdr:from>
    <xdr:to>
      <xdr:col>10</xdr:col>
      <xdr:colOff>1392681</xdr:colOff>
      <xdr:row>501</xdr:row>
      <xdr:rowOff>34925</xdr:rowOff>
    </xdr:to>
    <xdr:cxnSp macro="_xll.PtreeEvent_ObjectClick">
      <xdr:nvCxnSpPr>
        <xdr:cNvPr id="1011" name="PTObj_DBranchHLine_1_248">
          <a:extLst>
            <a:ext uri="{FF2B5EF4-FFF2-40B4-BE49-F238E27FC236}">
              <a16:creationId xmlns:a16="http://schemas.microsoft.com/office/drawing/2014/main" id="{555967F9-3A54-4A4D-AA27-A4C491DF2D3B}"/>
            </a:ext>
          </a:extLst>
        </xdr:cNvPr>
        <xdr:cNvCxnSpPr/>
      </xdr:nvCxnSpPr>
      <xdr:spPr>
        <a:xfrm>
          <a:off x="18628804" y="90703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499</xdr:row>
      <xdr:rowOff>30795</xdr:rowOff>
    </xdr:from>
    <xdr:to>
      <xdr:col>10</xdr:col>
      <xdr:colOff>197929</xdr:colOff>
      <xdr:row>501</xdr:row>
      <xdr:rowOff>34925</xdr:rowOff>
    </xdr:to>
    <xdr:cxnSp macro="_xll.PtreeEvent_ObjectClick">
      <xdr:nvCxnSpPr>
        <xdr:cNvPr id="1010" name="PTObj_DBranchDLine_1_248">
          <a:extLst>
            <a:ext uri="{FF2B5EF4-FFF2-40B4-BE49-F238E27FC236}">
              <a16:creationId xmlns:a16="http://schemas.microsoft.com/office/drawing/2014/main" id="{6B473B0A-495E-43D1-9534-37A404B5C77B}"/>
            </a:ext>
          </a:extLst>
        </xdr:cNvPr>
        <xdr:cNvCxnSpPr/>
      </xdr:nvCxnSpPr>
      <xdr:spPr>
        <a:xfrm>
          <a:off x="18476404" y="903373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499</xdr:row>
      <xdr:rowOff>31117</xdr:rowOff>
    </xdr:from>
    <xdr:to>
      <xdr:col>9</xdr:col>
      <xdr:colOff>1388870</xdr:colOff>
      <xdr:row>499</xdr:row>
      <xdr:rowOff>31117</xdr:rowOff>
    </xdr:to>
    <xdr:cxnSp macro="_xll.PtreeEvent_ObjectClick">
      <xdr:nvCxnSpPr>
        <xdr:cNvPr id="1007" name="PTObj_DBranchHLine_1_247">
          <a:extLst>
            <a:ext uri="{FF2B5EF4-FFF2-40B4-BE49-F238E27FC236}">
              <a16:creationId xmlns:a16="http://schemas.microsoft.com/office/drawing/2014/main" id="{534C9987-41E7-47C6-8C7B-BCDC38FE10C2}"/>
            </a:ext>
          </a:extLst>
        </xdr:cNvPr>
        <xdr:cNvCxnSpPr/>
      </xdr:nvCxnSpPr>
      <xdr:spPr>
        <a:xfrm>
          <a:off x="17206720" y="90337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497</xdr:row>
      <xdr:rowOff>25084</xdr:rowOff>
    </xdr:from>
    <xdr:to>
      <xdr:col>9</xdr:col>
      <xdr:colOff>204595</xdr:colOff>
      <xdr:row>499</xdr:row>
      <xdr:rowOff>31117</xdr:rowOff>
    </xdr:to>
    <xdr:cxnSp macro="_xll.PtreeEvent_ObjectClick">
      <xdr:nvCxnSpPr>
        <xdr:cNvPr id="1006" name="PTObj_DBranchDLine_1_247">
          <a:extLst>
            <a:ext uri="{FF2B5EF4-FFF2-40B4-BE49-F238E27FC236}">
              <a16:creationId xmlns:a16="http://schemas.microsoft.com/office/drawing/2014/main" id="{2505004F-C586-4EBB-A9C7-64CE2361ABF4}"/>
            </a:ext>
          </a:extLst>
        </xdr:cNvPr>
        <xdr:cNvCxnSpPr/>
      </xdr:nvCxnSpPr>
      <xdr:spPr>
        <a:xfrm>
          <a:off x="17054320" y="899696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497</xdr:row>
      <xdr:rowOff>27304</xdr:rowOff>
    </xdr:from>
    <xdr:to>
      <xdr:col>8</xdr:col>
      <xdr:colOff>1392681</xdr:colOff>
      <xdr:row>497</xdr:row>
      <xdr:rowOff>27304</xdr:rowOff>
    </xdr:to>
    <xdr:cxnSp macro="_xll.PtreeEvent_ObjectClick">
      <xdr:nvCxnSpPr>
        <xdr:cNvPr id="1003" name="PTObj_DBranchHLine_1_246">
          <a:extLst>
            <a:ext uri="{FF2B5EF4-FFF2-40B4-BE49-F238E27FC236}">
              <a16:creationId xmlns:a16="http://schemas.microsoft.com/office/drawing/2014/main" id="{E9A9BE96-464D-4BE4-8646-A2DC675E4FEB}"/>
            </a:ext>
          </a:extLst>
        </xdr:cNvPr>
        <xdr:cNvCxnSpPr/>
      </xdr:nvCxnSpPr>
      <xdr:spPr>
        <a:xfrm>
          <a:off x="15782734" y="89971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495</xdr:row>
      <xdr:rowOff>18411</xdr:rowOff>
    </xdr:from>
    <xdr:to>
      <xdr:col>8</xdr:col>
      <xdr:colOff>209359</xdr:colOff>
      <xdr:row>497</xdr:row>
      <xdr:rowOff>27304</xdr:rowOff>
    </xdr:to>
    <xdr:cxnSp macro="_xll.PtreeEvent_ObjectClick">
      <xdr:nvCxnSpPr>
        <xdr:cNvPr id="1002" name="PTObj_DBranchDLine_1_246">
          <a:extLst>
            <a:ext uri="{FF2B5EF4-FFF2-40B4-BE49-F238E27FC236}">
              <a16:creationId xmlns:a16="http://schemas.microsoft.com/office/drawing/2014/main" id="{1A3F201A-2927-4383-B3EA-C95561FBB262}"/>
            </a:ext>
          </a:extLst>
        </xdr:cNvPr>
        <xdr:cNvCxnSpPr/>
      </xdr:nvCxnSpPr>
      <xdr:spPr>
        <a:xfrm>
          <a:off x="15630334" y="896010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493</xdr:row>
      <xdr:rowOff>19683</xdr:rowOff>
    </xdr:from>
    <xdr:to>
      <xdr:col>11</xdr:col>
      <xdr:colOff>1392682</xdr:colOff>
      <xdr:row>493</xdr:row>
      <xdr:rowOff>19683</xdr:rowOff>
    </xdr:to>
    <xdr:cxnSp macro="_xll.PtreeEvent_ObjectClick">
      <xdr:nvCxnSpPr>
        <xdr:cNvPr id="999" name="PTObj_DBranchHLine_1_244">
          <a:extLst>
            <a:ext uri="{FF2B5EF4-FFF2-40B4-BE49-F238E27FC236}">
              <a16:creationId xmlns:a16="http://schemas.microsoft.com/office/drawing/2014/main" id="{6FA8B9D1-9655-49D7-98D2-291431F357F4}"/>
            </a:ext>
          </a:extLst>
        </xdr:cNvPr>
        <xdr:cNvCxnSpPr/>
      </xdr:nvCxnSpPr>
      <xdr:spPr>
        <a:xfrm>
          <a:off x="20056601" y="892403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491</xdr:row>
      <xdr:rowOff>3175</xdr:rowOff>
    </xdr:from>
    <xdr:to>
      <xdr:col>11</xdr:col>
      <xdr:colOff>196976</xdr:colOff>
      <xdr:row>493</xdr:row>
      <xdr:rowOff>19683</xdr:rowOff>
    </xdr:to>
    <xdr:cxnSp macro="_xll.PtreeEvent_ObjectClick">
      <xdr:nvCxnSpPr>
        <xdr:cNvPr id="998" name="PTObj_DBranchDLine_1_244">
          <a:extLst>
            <a:ext uri="{FF2B5EF4-FFF2-40B4-BE49-F238E27FC236}">
              <a16:creationId xmlns:a16="http://schemas.microsoft.com/office/drawing/2014/main" id="{1894C99F-2E40-4458-A18A-6A022400D96F}"/>
            </a:ext>
          </a:extLst>
        </xdr:cNvPr>
        <xdr:cNvCxnSpPr/>
      </xdr:nvCxnSpPr>
      <xdr:spPr>
        <a:xfrm>
          <a:off x="19904201" y="888619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491</xdr:row>
      <xdr:rowOff>15875</xdr:rowOff>
    </xdr:from>
    <xdr:to>
      <xdr:col>10</xdr:col>
      <xdr:colOff>1392681</xdr:colOff>
      <xdr:row>491</xdr:row>
      <xdr:rowOff>15875</xdr:rowOff>
    </xdr:to>
    <xdr:cxnSp macro="_xll.PtreeEvent_ObjectClick">
      <xdr:nvCxnSpPr>
        <xdr:cNvPr id="995" name="PTObj_DBranchHLine_1_243">
          <a:extLst>
            <a:ext uri="{FF2B5EF4-FFF2-40B4-BE49-F238E27FC236}">
              <a16:creationId xmlns:a16="http://schemas.microsoft.com/office/drawing/2014/main" id="{31C736FB-8B0E-406D-B946-39B589ECEF78}"/>
            </a:ext>
          </a:extLst>
        </xdr:cNvPr>
        <xdr:cNvCxnSpPr/>
      </xdr:nvCxnSpPr>
      <xdr:spPr>
        <a:xfrm>
          <a:off x="18628804" y="88874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489</xdr:row>
      <xdr:rowOff>322</xdr:rowOff>
    </xdr:from>
    <xdr:to>
      <xdr:col>10</xdr:col>
      <xdr:colOff>197929</xdr:colOff>
      <xdr:row>491</xdr:row>
      <xdr:rowOff>15875</xdr:rowOff>
    </xdr:to>
    <xdr:cxnSp macro="_xll.PtreeEvent_ObjectClick">
      <xdr:nvCxnSpPr>
        <xdr:cNvPr id="994" name="PTObj_DBranchDLine_1_243">
          <a:extLst>
            <a:ext uri="{FF2B5EF4-FFF2-40B4-BE49-F238E27FC236}">
              <a16:creationId xmlns:a16="http://schemas.microsoft.com/office/drawing/2014/main" id="{43F8BD35-C012-4AEB-9579-EE753D082754}"/>
            </a:ext>
          </a:extLst>
        </xdr:cNvPr>
        <xdr:cNvCxnSpPr/>
      </xdr:nvCxnSpPr>
      <xdr:spPr>
        <a:xfrm>
          <a:off x="18476404" y="884970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489</xdr:row>
      <xdr:rowOff>12067</xdr:rowOff>
    </xdr:from>
    <xdr:to>
      <xdr:col>9</xdr:col>
      <xdr:colOff>1388870</xdr:colOff>
      <xdr:row>489</xdr:row>
      <xdr:rowOff>12067</xdr:rowOff>
    </xdr:to>
    <xdr:cxnSp macro="_xll.PtreeEvent_ObjectClick">
      <xdr:nvCxnSpPr>
        <xdr:cNvPr id="991" name="PTObj_DBranchHLine_1_242">
          <a:extLst>
            <a:ext uri="{FF2B5EF4-FFF2-40B4-BE49-F238E27FC236}">
              <a16:creationId xmlns:a16="http://schemas.microsoft.com/office/drawing/2014/main" id="{DD7B43D6-34BB-44C1-8DC2-C1541052E35D}"/>
            </a:ext>
          </a:extLst>
        </xdr:cNvPr>
        <xdr:cNvCxnSpPr/>
      </xdr:nvCxnSpPr>
      <xdr:spPr>
        <a:xfrm>
          <a:off x="17206720" y="88508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486</xdr:row>
      <xdr:rowOff>180342</xdr:rowOff>
    </xdr:from>
    <xdr:to>
      <xdr:col>9</xdr:col>
      <xdr:colOff>204595</xdr:colOff>
      <xdr:row>489</xdr:row>
      <xdr:rowOff>12067</xdr:rowOff>
    </xdr:to>
    <xdr:cxnSp macro="_xll.PtreeEvent_ObjectClick">
      <xdr:nvCxnSpPr>
        <xdr:cNvPr id="990" name="PTObj_DBranchDLine_1_242">
          <a:extLst>
            <a:ext uri="{FF2B5EF4-FFF2-40B4-BE49-F238E27FC236}">
              <a16:creationId xmlns:a16="http://schemas.microsoft.com/office/drawing/2014/main" id="{F473234B-23EC-41BB-AABA-A00E4B3DF04A}"/>
            </a:ext>
          </a:extLst>
        </xdr:cNvPr>
        <xdr:cNvCxnSpPr/>
      </xdr:nvCxnSpPr>
      <xdr:spPr>
        <a:xfrm>
          <a:off x="17054320" y="88134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487</xdr:row>
      <xdr:rowOff>8254</xdr:rowOff>
    </xdr:from>
    <xdr:to>
      <xdr:col>8</xdr:col>
      <xdr:colOff>1392681</xdr:colOff>
      <xdr:row>487</xdr:row>
      <xdr:rowOff>8254</xdr:rowOff>
    </xdr:to>
    <xdr:cxnSp macro="_xll.PtreeEvent_ObjectClick">
      <xdr:nvCxnSpPr>
        <xdr:cNvPr id="987" name="PTObj_DBranchHLine_1_241">
          <a:extLst>
            <a:ext uri="{FF2B5EF4-FFF2-40B4-BE49-F238E27FC236}">
              <a16:creationId xmlns:a16="http://schemas.microsoft.com/office/drawing/2014/main" id="{9567706D-881C-43FD-A175-CACB9FA2A4D8}"/>
            </a:ext>
          </a:extLst>
        </xdr:cNvPr>
        <xdr:cNvCxnSpPr/>
      </xdr:nvCxnSpPr>
      <xdr:spPr>
        <a:xfrm>
          <a:off x="15782734" y="88143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487</xdr:row>
      <xdr:rowOff>8254</xdr:rowOff>
    </xdr:from>
    <xdr:to>
      <xdr:col>8</xdr:col>
      <xdr:colOff>209359</xdr:colOff>
      <xdr:row>495</xdr:row>
      <xdr:rowOff>18411</xdr:rowOff>
    </xdr:to>
    <xdr:cxnSp macro="_xll.PtreeEvent_ObjectClick">
      <xdr:nvCxnSpPr>
        <xdr:cNvPr id="986" name="PTObj_DBranchDLine_1_241">
          <a:extLst>
            <a:ext uri="{FF2B5EF4-FFF2-40B4-BE49-F238E27FC236}">
              <a16:creationId xmlns:a16="http://schemas.microsoft.com/office/drawing/2014/main" id="{1A8F6772-31F3-462B-A069-57F12F18EA69}"/>
            </a:ext>
          </a:extLst>
        </xdr:cNvPr>
        <xdr:cNvCxnSpPr/>
      </xdr:nvCxnSpPr>
      <xdr:spPr>
        <a:xfrm flipV="1">
          <a:off x="15630334" y="881430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495</xdr:row>
      <xdr:rowOff>23496</xdr:rowOff>
    </xdr:from>
    <xdr:to>
      <xdr:col>7</xdr:col>
      <xdr:colOff>1398397</xdr:colOff>
      <xdr:row>495</xdr:row>
      <xdr:rowOff>23496</xdr:rowOff>
    </xdr:to>
    <xdr:cxnSp macro="_xll.PtreeEvent_ObjectClick">
      <xdr:nvCxnSpPr>
        <xdr:cNvPr id="983" name="PTObj_DBranchHLine_1_245">
          <a:extLst>
            <a:ext uri="{FF2B5EF4-FFF2-40B4-BE49-F238E27FC236}">
              <a16:creationId xmlns:a16="http://schemas.microsoft.com/office/drawing/2014/main" id="{2858E282-06E4-48F3-A711-49821F8574EE}"/>
            </a:ext>
          </a:extLst>
        </xdr:cNvPr>
        <xdr:cNvCxnSpPr/>
      </xdr:nvCxnSpPr>
      <xdr:spPr>
        <a:xfrm>
          <a:off x="14360652" y="896061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495</xdr:row>
      <xdr:rowOff>23496</xdr:rowOff>
    </xdr:from>
    <xdr:to>
      <xdr:col>7</xdr:col>
      <xdr:colOff>216027</xdr:colOff>
      <xdr:row>505</xdr:row>
      <xdr:rowOff>37461</xdr:rowOff>
    </xdr:to>
    <xdr:cxnSp macro="_xll.PtreeEvent_ObjectClick">
      <xdr:nvCxnSpPr>
        <xdr:cNvPr id="982" name="PTObj_DBranchDLine_1_245">
          <a:extLst>
            <a:ext uri="{FF2B5EF4-FFF2-40B4-BE49-F238E27FC236}">
              <a16:creationId xmlns:a16="http://schemas.microsoft.com/office/drawing/2014/main" id="{80170861-CF81-4208-9677-0A3303BFBDBF}"/>
            </a:ext>
          </a:extLst>
        </xdr:cNvPr>
        <xdr:cNvCxnSpPr/>
      </xdr:nvCxnSpPr>
      <xdr:spPr>
        <a:xfrm flipV="1">
          <a:off x="14208252" y="89606121"/>
          <a:ext cx="152400" cy="18237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505</xdr:row>
      <xdr:rowOff>42546</xdr:rowOff>
    </xdr:from>
    <xdr:to>
      <xdr:col>6</xdr:col>
      <xdr:colOff>1402207</xdr:colOff>
      <xdr:row>505</xdr:row>
      <xdr:rowOff>42546</xdr:rowOff>
    </xdr:to>
    <xdr:cxnSp macro="_xll.PtreeEvent_ObjectClick">
      <xdr:nvCxnSpPr>
        <xdr:cNvPr id="979" name="PTObj_DBranchHLine_1_250">
          <a:extLst>
            <a:ext uri="{FF2B5EF4-FFF2-40B4-BE49-F238E27FC236}">
              <a16:creationId xmlns:a16="http://schemas.microsoft.com/office/drawing/2014/main" id="{D5B8D93E-BA20-466C-A47E-ABE2D0D16B20}"/>
            </a:ext>
          </a:extLst>
        </xdr:cNvPr>
        <xdr:cNvCxnSpPr/>
      </xdr:nvCxnSpPr>
      <xdr:spPr>
        <a:xfrm>
          <a:off x="12938569" y="91434921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505</xdr:row>
      <xdr:rowOff>42546</xdr:rowOff>
    </xdr:from>
    <xdr:to>
      <xdr:col>6</xdr:col>
      <xdr:colOff>222694</xdr:colOff>
      <xdr:row>525</xdr:row>
      <xdr:rowOff>75561</xdr:rowOff>
    </xdr:to>
    <xdr:cxnSp macro="_xll.PtreeEvent_ObjectClick">
      <xdr:nvCxnSpPr>
        <xdr:cNvPr id="978" name="PTObj_DBranchDLine_1_250">
          <a:extLst>
            <a:ext uri="{FF2B5EF4-FFF2-40B4-BE49-F238E27FC236}">
              <a16:creationId xmlns:a16="http://schemas.microsoft.com/office/drawing/2014/main" id="{BEA11DC4-F9B6-4B39-A036-980A5329E1FE}"/>
            </a:ext>
          </a:extLst>
        </xdr:cNvPr>
        <xdr:cNvCxnSpPr/>
      </xdr:nvCxnSpPr>
      <xdr:spPr>
        <a:xfrm flipV="1">
          <a:off x="12786169" y="91434921"/>
          <a:ext cx="152400" cy="3652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525</xdr:row>
      <xdr:rowOff>80646</xdr:rowOff>
    </xdr:from>
    <xdr:to>
      <xdr:col>5</xdr:col>
      <xdr:colOff>1407922</xdr:colOff>
      <xdr:row>525</xdr:row>
      <xdr:rowOff>80646</xdr:rowOff>
    </xdr:to>
    <xdr:cxnSp macro="_xll.PtreeEvent_ObjectClick">
      <xdr:nvCxnSpPr>
        <xdr:cNvPr id="975" name="PTObj_DBranchHLine_1_260">
          <a:extLst>
            <a:ext uri="{FF2B5EF4-FFF2-40B4-BE49-F238E27FC236}">
              <a16:creationId xmlns:a16="http://schemas.microsoft.com/office/drawing/2014/main" id="{BA4D3EC0-7028-422B-A56A-73D708D79062}"/>
            </a:ext>
          </a:extLst>
        </xdr:cNvPr>
        <xdr:cNvCxnSpPr/>
      </xdr:nvCxnSpPr>
      <xdr:spPr>
        <a:xfrm>
          <a:off x="11510772" y="95092521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525</xdr:row>
      <xdr:rowOff>80646</xdr:rowOff>
    </xdr:from>
    <xdr:to>
      <xdr:col>5</xdr:col>
      <xdr:colOff>223647</xdr:colOff>
      <xdr:row>565</xdr:row>
      <xdr:rowOff>147005</xdr:rowOff>
    </xdr:to>
    <xdr:cxnSp macro="_xll.PtreeEvent_ObjectClick">
      <xdr:nvCxnSpPr>
        <xdr:cNvPr id="974" name="PTObj_DBranchDLine_1_260">
          <a:extLst>
            <a:ext uri="{FF2B5EF4-FFF2-40B4-BE49-F238E27FC236}">
              <a16:creationId xmlns:a16="http://schemas.microsoft.com/office/drawing/2014/main" id="{34445288-9D55-4C33-B41E-3BB5BC83D7B9}"/>
            </a:ext>
          </a:extLst>
        </xdr:cNvPr>
        <xdr:cNvCxnSpPr/>
      </xdr:nvCxnSpPr>
      <xdr:spPr>
        <a:xfrm flipV="1">
          <a:off x="11358372" y="95092521"/>
          <a:ext cx="152400" cy="730535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565</xdr:row>
      <xdr:rowOff>156846</xdr:rowOff>
    </xdr:from>
    <xdr:to>
      <xdr:col>4</xdr:col>
      <xdr:colOff>1411732</xdr:colOff>
      <xdr:row>565</xdr:row>
      <xdr:rowOff>156846</xdr:rowOff>
    </xdr:to>
    <xdr:cxnSp macro="_xll.PtreeEvent_ObjectClick">
      <xdr:nvCxnSpPr>
        <xdr:cNvPr id="971" name="PTObj_DBranchHLine_1_280">
          <a:extLst>
            <a:ext uri="{FF2B5EF4-FFF2-40B4-BE49-F238E27FC236}">
              <a16:creationId xmlns:a16="http://schemas.microsoft.com/office/drawing/2014/main" id="{82A2E072-0B51-41D4-B297-B4EA6434E10E}"/>
            </a:ext>
          </a:extLst>
        </xdr:cNvPr>
        <xdr:cNvCxnSpPr/>
      </xdr:nvCxnSpPr>
      <xdr:spPr>
        <a:xfrm>
          <a:off x="10086785" y="102407721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484</xdr:row>
      <xdr:rowOff>180336</xdr:rowOff>
    </xdr:from>
    <xdr:to>
      <xdr:col>4</xdr:col>
      <xdr:colOff>228410</xdr:colOff>
      <xdr:row>565</xdr:row>
      <xdr:rowOff>156846</xdr:rowOff>
    </xdr:to>
    <xdr:cxnSp macro="_xll.PtreeEvent_ObjectClick">
      <xdr:nvCxnSpPr>
        <xdr:cNvPr id="970" name="PTObj_DBranchDLine_1_280">
          <a:extLst>
            <a:ext uri="{FF2B5EF4-FFF2-40B4-BE49-F238E27FC236}">
              <a16:creationId xmlns:a16="http://schemas.microsoft.com/office/drawing/2014/main" id="{C83A786A-C56D-42F0-B463-42F3FE8832E1}"/>
            </a:ext>
          </a:extLst>
        </xdr:cNvPr>
        <xdr:cNvCxnSpPr/>
      </xdr:nvCxnSpPr>
      <xdr:spPr>
        <a:xfrm>
          <a:off x="9934385" y="87772236"/>
          <a:ext cx="152400" cy="1463548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483</xdr:row>
      <xdr:rowOff>633</xdr:rowOff>
    </xdr:from>
    <xdr:to>
      <xdr:col>11</xdr:col>
      <xdr:colOff>1385063</xdr:colOff>
      <xdr:row>483</xdr:row>
      <xdr:rowOff>633</xdr:rowOff>
    </xdr:to>
    <xdr:cxnSp macro="_xll.PtreeEvent_ObjectClick">
      <xdr:nvCxnSpPr>
        <xdr:cNvPr id="967" name="PTObj_DBranchHLine_1_239">
          <a:extLst>
            <a:ext uri="{FF2B5EF4-FFF2-40B4-BE49-F238E27FC236}">
              <a16:creationId xmlns:a16="http://schemas.microsoft.com/office/drawing/2014/main" id="{C84983A2-DED2-40D4-A88B-CBB5B49F8740}"/>
            </a:ext>
          </a:extLst>
        </xdr:cNvPr>
        <xdr:cNvCxnSpPr/>
      </xdr:nvCxnSpPr>
      <xdr:spPr>
        <a:xfrm>
          <a:off x="20056601" y="87411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480</xdr:row>
      <xdr:rowOff>175574</xdr:rowOff>
    </xdr:from>
    <xdr:to>
      <xdr:col>11</xdr:col>
      <xdr:colOff>196976</xdr:colOff>
      <xdr:row>483</xdr:row>
      <xdr:rowOff>633</xdr:rowOff>
    </xdr:to>
    <xdr:cxnSp macro="_xll.PtreeEvent_ObjectClick">
      <xdr:nvCxnSpPr>
        <xdr:cNvPr id="966" name="PTObj_DBranchDLine_1_239">
          <a:extLst>
            <a:ext uri="{FF2B5EF4-FFF2-40B4-BE49-F238E27FC236}">
              <a16:creationId xmlns:a16="http://schemas.microsoft.com/office/drawing/2014/main" id="{3C87A1C1-2B47-46B8-B382-07E5D08F3B90}"/>
            </a:ext>
          </a:extLst>
        </xdr:cNvPr>
        <xdr:cNvCxnSpPr/>
      </xdr:nvCxnSpPr>
      <xdr:spPr>
        <a:xfrm>
          <a:off x="19904201" y="870435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480</xdr:row>
      <xdr:rowOff>177800</xdr:rowOff>
    </xdr:from>
    <xdr:to>
      <xdr:col>10</xdr:col>
      <xdr:colOff>1392681</xdr:colOff>
      <xdr:row>480</xdr:row>
      <xdr:rowOff>177800</xdr:rowOff>
    </xdr:to>
    <xdr:cxnSp macro="_xll.PtreeEvent_ObjectClick">
      <xdr:nvCxnSpPr>
        <xdr:cNvPr id="963" name="PTObj_DBranchHLine_1_238">
          <a:extLst>
            <a:ext uri="{FF2B5EF4-FFF2-40B4-BE49-F238E27FC236}">
              <a16:creationId xmlns:a16="http://schemas.microsoft.com/office/drawing/2014/main" id="{8D307FB1-3D49-4963-95DB-07D4241BBCA7}"/>
            </a:ext>
          </a:extLst>
        </xdr:cNvPr>
        <xdr:cNvCxnSpPr/>
      </xdr:nvCxnSpPr>
      <xdr:spPr>
        <a:xfrm>
          <a:off x="18628804" y="87045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478</xdr:row>
      <xdr:rowOff>173670</xdr:rowOff>
    </xdr:from>
    <xdr:to>
      <xdr:col>10</xdr:col>
      <xdr:colOff>197929</xdr:colOff>
      <xdr:row>480</xdr:row>
      <xdr:rowOff>177800</xdr:rowOff>
    </xdr:to>
    <xdr:cxnSp macro="_xll.PtreeEvent_ObjectClick">
      <xdr:nvCxnSpPr>
        <xdr:cNvPr id="962" name="PTObj_DBranchDLine_1_238">
          <a:extLst>
            <a:ext uri="{FF2B5EF4-FFF2-40B4-BE49-F238E27FC236}">
              <a16:creationId xmlns:a16="http://schemas.microsoft.com/office/drawing/2014/main" id="{06772A2F-1953-43C6-A4EC-90EDEEC31CB9}"/>
            </a:ext>
          </a:extLst>
        </xdr:cNvPr>
        <xdr:cNvCxnSpPr/>
      </xdr:nvCxnSpPr>
      <xdr:spPr>
        <a:xfrm>
          <a:off x="18476404" y="866797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478</xdr:row>
      <xdr:rowOff>173992</xdr:rowOff>
    </xdr:from>
    <xdr:to>
      <xdr:col>9</xdr:col>
      <xdr:colOff>1388870</xdr:colOff>
      <xdr:row>478</xdr:row>
      <xdr:rowOff>173992</xdr:rowOff>
    </xdr:to>
    <xdr:cxnSp macro="_xll.PtreeEvent_ObjectClick">
      <xdr:nvCxnSpPr>
        <xdr:cNvPr id="959" name="PTObj_DBranchHLine_1_237">
          <a:extLst>
            <a:ext uri="{FF2B5EF4-FFF2-40B4-BE49-F238E27FC236}">
              <a16:creationId xmlns:a16="http://schemas.microsoft.com/office/drawing/2014/main" id="{2BAE64D3-7ECB-4A94-B8E4-B5A72395FD8E}"/>
            </a:ext>
          </a:extLst>
        </xdr:cNvPr>
        <xdr:cNvCxnSpPr/>
      </xdr:nvCxnSpPr>
      <xdr:spPr>
        <a:xfrm>
          <a:off x="17206720" y="86680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476</xdr:row>
      <xdr:rowOff>167959</xdr:rowOff>
    </xdr:from>
    <xdr:to>
      <xdr:col>9</xdr:col>
      <xdr:colOff>204595</xdr:colOff>
      <xdr:row>478</xdr:row>
      <xdr:rowOff>173992</xdr:rowOff>
    </xdr:to>
    <xdr:cxnSp macro="_xll.PtreeEvent_ObjectClick">
      <xdr:nvCxnSpPr>
        <xdr:cNvPr id="958" name="PTObj_DBranchDLine_1_237">
          <a:extLst>
            <a:ext uri="{FF2B5EF4-FFF2-40B4-BE49-F238E27FC236}">
              <a16:creationId xmlns:a16="http://schemas.microsoft.com/office/drawing/2014/main" id="{97C545CD-4EA3-4D95-8F60-DCA84066B66F}"/>
            </a:ext>
          </a:extLst>
        </xdr:cNvPr>
        <xdr:cNvCxnSpPr/>
      </xdr:nvCxnSpPr>
      <xdr:spPr>
        <a:xfrm>
          <a:off x="17054320" y="863120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476</xdr:row>
      <xdr:rowOff>170179</xdr:rowOff>
    </xdr:from>
    <xdr:to>
      <xdr:col>8</xdr:col>
      <xdr:colOff>1392681</xdr:colOff>
      <xdr:row>476</xdr:row>
      <xdr:rowOff>170179</xdr:rowOff>
    </xdr:to>
    <xdr:cxnSp macro="_xll.PtreeEvent_ObjectClick">
      <xdr:nvCxnSpPr>
        <xdr:cNvPr id="955" name="PTObj_DBranchHLine_1_236">
          <a:extLst>
            <a:ext uri="{FF2B5EF4-FFF2-40B4-BE49-F238E27FC236}">
              <a16:creationId xmlns:a16="http://schemas.microsoft.com/office/drawing/2014/main" id="{A56AC953-8355-4D81-8B52-AA7B593F1933}"/>
            </a:ext>
          </a:extLst>
        </xdr:cNvPr>
        <xdr:cNvCxnSpPr/>
      </xdr:nvCxnSpPr>
      <xdr:spPr>
        <a:xfrm>
          <a:off x="15782734" y="86314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474</xdr:row>
      <xdr:rowOff>161286</xdr:rowOff>
    </xdr:from>
    <xdr:to>
      <xdr:col>8</xdr:col>
      <xdr:colOff>209359</xdr:colOff>
      <xdr:row>476</xdr:row>
      <xdr:rowOff>170179</xdr:rowOff>
    </xdr:to>
    <xdr:cxnSp macro="_xll.PtreeEvent_ObjectClick">
      <xdr:nvCxnSpPr>
        <xdr:cNvPr id="954" name="PTObj_DBranchDLine_1_236">
          <a:extLst>
            <a:ext uri="{FF2B5EF4-FFF2-40B4-BE49-F238E27FC236}">
              <a16:creationId xmlns:a16="http://schemas.microsoft.com/office/drawing/2014/main" id="{FF2FBFD3-0B56-4A9D-B776-ED147C630053}"/>
            </a:ext>
          </a:extLst>
        </xdr:cNvPr>
        <xdr:cNvCxnSpPr/>
      </xdr:nvCxnSpPr>
      <xdr:spPr>
        <a:xfrm>
          <a:off x="15630334" y="859434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472</xdr:row>
      <xdr:rowOff>162558</xdr:rowOff>
    </xdr:from>
    <xdr:to>
      <xdr:col>11</xdr:col>
      <xdr:colOff>1392682</xdr:colOff>
      <xdr:row>472</xdr:row>
      <xdr:rowOff>162558</xdr:rowOff>
    </xdr:to>
    <xdr:cxnSp macro="_xll.PtreeEvent_ObjectClick">
      <xdr:nvCxnSpPr>
        <xdr:cNvPr id="951" name="PTObj_DBranchHLine_1_234">
          <a:extLst>
            <a:ext uri="{FF2B5EF4-FFF2-40B4-BE49-F238E27FC236}">
              <a16:creationId xmlns:a16="http://schemas.microsoft.com/office/drawing/2014/main" id="{44F1E92F-9EA0-4F75-8786-EFB7BBB351AC}"/>
            </a:ext>
          </a:extLst>
        </xdr:cNvPr>
        <xdr:cNvCxnSpPr/>
      </xdr:nvCxnSpPr>
      <xdr:spPr>
        <a:xfrm>
          <a:off x="20056601" y="855827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470</xdr:row>
      <xdr:rowOff>146050</xdr:rowOff>
    </xdr:from>
    <xdr:to>
      <xdr:col>11</xdr:col>
      <xdr:colOff>196976</xdr:colOff>
      <xdr:row>472</xdr:row>
      <xdr:rowOff>162558</xdr:rowOff>
    </xdr:to>
    <xdr:cxnSp macro="_xll.PtreeEvent_ObjectClick">
      <xdr:nvCxnSpPr>
        <xdr:cNvPr id="950" name="PTObj_DBranchDLine_1_234">
          <a:extLst>
            <a:ext uri="{FF2B5EF4-FFF2-40B4-BE49-F238E27FC236}">
              <a16:creationId xmlns:a16="http://schemas.microsoft.com/office/drawing/2014/main" id="{8477818D-4FA4-461A-BD01-4D72A74A77EE}"/>
            </a:ext>
          </a:extLst>
        </xdr:cNvPr>
        <xdr:cNvCxnSpPr/>
      </xdr:nvCxnSpPr>
      <xdr:spPr>
        <a:xfrm>
          <a:off x="19904201" y="852043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470</xdr:row>
      <xdr:rowOff>158750</xdr:rowOff>
    </xdr:from>
    <xdr:to>
      <xdr:col>10</xdr:col>
      <xdr:colOff>1392681</xdr:colOff>
      <xdr:row>470</xdr:row>
      <xdr:rowOff>158750</xdr:rowOff>
    </xdr:to>
    <xdr:cxnSp macro="_xll.PtreeEvent_ObjectClick">
      <xdr:nvCxnSpPr>
        <xdr:cNvPr id="947" name="PTObj_DBranchHLine_1_233">
          <a:extLst>
            <a:ext uri="{FF2B5EF4-FFF2-40B4-BE49-F238E27FC236}">
              <a16:creationId xmlns:a16="http://schemas.microsoft.com/office/drawing/2014/main" id="{916E2F0A-0FC4-48C1-BD34-9673DE2C9942}"/>
            </a:ext>
          </a:extLst>
        </xdr:cNvPr>
        <xdr:cNvCxnSpPr/>
      </xdr:nvCxnSpPr>
      <xdr:spPr>
        <a:xfrm>
          <a:off x="18628804" y="85217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468</xdr:row>
      <xdr:rowOff>143197</xdr:rowOff>
    </xdr:from>
    <xdr:to>
      <xdr:col>10</xdr:col>
      <xdr:colOff>197929</xdr:colOff>
      <xdr:row>470</xdr:row>
      <xdr:rowOff>158750</xdr:rowOff>
    </xdr:to>
    <xdr:cxnSp macro="_xll.PtreeEvent_ObjectClick">
      <xdr:nvCxnSpPr>
        <xdr:cNvPr id="946" name="PTObj_DBranchDLine_1_233">
          <a:extLst>
            <a:ext uri="{FF2B5EF4-FFF2-40B4-BE49-F238E27FC236}">
              <a16:creationId xmlns:a16="http://schemas.microsoft.com/office/drawing/2014/main" id="{EC8F0495-BBF3-483E-955A-6E59C232A02C}"/>
            </a:ext>
          </a:extLst>
        </xdr:cNvPr>
        <xdr:cNvCxnSpPr/>
      </xdr:nvCxnSpPr>
      <xdr:spPr>
        <a:xfrm>
          <a:off x="18476404" y="848394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468</xdr:row>
      <xdr:rowOff>154942</xdr:rowOff>
    </xdr:from>
    <xdr:to>
      <xdr:col>9</xdr:col>
      <xdr:colOff>1388870</xdr:colOff>
      <xdr:row>468</xdr:row>
      <xdr:rowOff>154942</xdr:rowOff>
    </xdr:to>
    <xdr:cxnSp macro="_xll.PtreeEvent_ObjectClick">
      <xdr:nvCxnSpPr>
        <xdr:cNvPr id="943" name="PTObj_DBranchHLine_1_232">
          <a:extLst>
            <a:ext uri="{FF2B5EF4-FFF2-40B4-BE49-F238E27FC236}">
              <a16:creationId xmlns:a16="http://schemas.microsoft.com/office/drawing/2014/main" id="{889542F4-3A30-49B2-B013-F7484440F7B5}"/>
            </a:ext>
          </a:extLst>
        </xdr:cNvPr>
        <xdr:cNvCxnSpPr/>
      </xdr:nvCxnSpPr>
      <xdr:spPr>
        <a:xfrm>
          <a:off x="17206720" y="84851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466</xdr:row>
      <xdr:rowOff>142242</xdr:rowOff>
    </xdr:from>
    <xdr:to>
      <xdr:col>9</xdr:col>
      <xdr:colOff>204595</xdr:colOff>
      <xdr:row>468</xdr:row>
      <xdr:rowOff>154942</xdr:rowOff>
    </xdr:to>
    <xdr:cxnSp macro="_xll.PtreeEvent_ObjectClick">
      <xdr:nvCxnSpPr>
        <xdr:cNvPr id="942" name="PTObj_DBranchDLine_1_232">
          <a:extLst>
            <a:ext uri="{FF2B5EF4-FFF2-40B4-BE49-F238E27FC236}">
              <a16:creationId xmlns:a16="http://schemas.microsoft.com/office/drawing/2014/main" id="{C5F83D66-707D-4F1F-A663-DC252AFF8844}"/>
            </a:ext>
          </a:extLst>
        </xdr:cNvPr>
        <xdr:cNvCxnSpPr/>
      </xdr:nvCxnSpPr>
      <xdr:spPr>
        <a:xfrm>
          <a:off x="17054320" y="84476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466</xdr:row>
      <xdr:rowOff>151129</xdr:rowOff>
    </xdr:from>
    <xdr:to>
      <xdr:col>8</xdr:col>
      <xdr:colOff>1392681</xdr:colOff>
      <xdr:row>466</xdr:row>
      <xdr:rowOff>151129</xdr:rowOff>
    </xdr:to>
    <xdr:cxnSp macro="_xll.PtreeEvent_ObjectClick">
      <xdr:nvCxnSpPr>
        <xdr:cNvPr id="939" name="PTObj_DBranchHLine_1_231">
          <a:extLst>
            <a:ext uri="{FF2B5EF4-FFF2-40B4-BE49-F238E27FC236}">
              <a16:creationId xmlns:a16="http://schemas.microsoft.com/office/drawing/2014/main" id="{FED8AED6-3EA3-4EC5-809A-19D2B2B70D29}"/>
            </a:ext>
          </a:extLst>
        </xdr:cNvPr>
        <xdr:cNvCxnSpPr/>
      </xdr:nvCxnSpPr>
      <xdr:spPr>
        <a:xfrm>
          <a:off x="15782734" y="84485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466</xdr:row>
      <xdr:rowOff>151129</xdr:rowOff>
    </xdr:from>
    <xdr:to>
      <xdr:col>8</xdr:col>
      <xdr:colOff>209359</xdr:colOff>
      <xdr:row>474</xdr:row>
      <xdr:rowOff>161286</xdr:rowOff>
    </xdr:to>
    <xdr:cxnSp macro="_xll.PtreeEvent_ObjectClick">
      <xdr:nvCxnSpPr>
        <xdr:cNvPr id="938" name="PTObj_DBranchDLine_1_231">
          <a:extLst>
            <a:ext uri="{FF2B5EF4-FFF2-40B4-BE49-F238E27FC236}">
              <a16:creationId xmlns:a16="http://schemas.microsoft.com/office/drawing/2014/main" id="{10445E4A-BA21-4EF3-BC32-C1EB5FC34BC8}"/>
            </a:ext>
          </a:extLst>
        </xdr:cNvPr>
        <xdr:cNvCxnSpPr/>
      </xdr:nvCxnSpPr>
      <xdr:spPr>
        <a:xfrm flipV="1">
          <a:off x="15630334" y="844854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474</xdr:row>
      <xdr:rowOff>166371</xdr:rowOff>
    </xdr:from>
    <xdr:to>
      <xdr:col>7</xdr:col>
      <xdr:colOff>1398397</xdr:colOff>
      <xdr:row>474</xdr:row>
      <xdr:rowOff>166371</xdr:rowOff>
    </xdr:to>
    <xdr:cxnSp macro="_xll.PtreeEvent_ObjectClick">
      <xdr:nvCxnSpPr>
        <xdr:cNvPr id="935" name="PTObj_DBranchHLine_1_235">
          <a:extLst>
            <a:ext uri="{FF2B5EF4-FFF2-40B4-BE49-F238E27FC236}">
              <a16:creationId xmlns:a16="http://schemas.microsoft.com/office/drawing/2014/main" id="{E2CC69E3-4A54-491C-A4D1-FA25BE7A507E}"/>
            </a:ext>
          </a:extLst>
        </xdr:cNvPr>
        <xdr:cNvCxnSpPr/>
      </xdr:nvCxnSpPr>
      <xdr:spPr>
        <a:xfrm>
          <a:off x="14362557" y="859485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464</xdr:row>
      <xdr:rowOff>144140</xdr:rowOff>
    </xdr:from>
    <xdr:to>
      <xdr:col>7</xdr:col>
      <xdr:colOff>217932</xdr:colOff>
      <xdr:row>474</xdr:row>
      <xdr:rowOff>166371</xdr:rowOff>
    </xdr:to>
    <xdr:cxnSp macro="_xll.PtreeEvent_ObjectClick">
      <xdr:nvCxnSpPr>
        <xdr:cNvPr id="934" name="PTObj_DBranchDLine_1_235">
          <a:extLst>
            <a:ext uri="{FF2B5EF4-FFF2-40B4-BE49-F238E27FC236}">
              <a16:creationId xmlns:a16="http://schemas.microsoft.com/office/drawing/2014/main" id="{082F8E88-0534-41EB-9E90-F607BBE0027C}"/>
            </a:ext>
          </a:extLst>
        </xdr:cNvPr>
        <xdr:cNvCxnSpPr/>
      </xdr:nvCxnSpPr>
      <xdr:spPr>
        <a:xfrm>
          <a:off x="14210157" y="84116540"/>
          <a:ext cx="152400" cy="18319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462</xdr:row>
      <xdr:rowOff>143508</xdr:rowOff>
    </xdr:from>
    <xdr:to>
      <xdr:col>11</xdr:col>
      <xdr:colOff>1385063</xdr:colOff>
      <xdr:row>462</xdr:row>
      <xdr:rowOff>143508</xdr:rowOff>
    </xdr:to>
    <xdr:cxnSp macro="_xll.PtreeEvent_ObjectClick">
      <xdr:nvCxnSpPr>
        <xdr:cNvPr id="931" name="PTObj_DBranchHLine_1_229">
          <a:extLst>
            <a:ext uri="{FF2B5EF4-FFF2-40B4-BE49-F238E27FC236}">
              <a16:creationId xmlns:a16="http://schemas.microsoft.com/office/drawing/2014/main" id="{D2DA6FC8-10C9-4AF5-A69B-97EA70A8C277}"/>
            </a:ext>
          </a:extLst>
        </xdr:cNvPr>
        <xdr:cNvCxnSpPr/>
      </xdr:nvCxnSpPr>
      <xdr:spPr>
        <a:xfrm>
          <a:off x="20056601" y="83753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460</xdr:row>
      <xdr:rowOff>137474</xdr:rowOff>
    </xdr:from>
    <xdr:to>
      <xdr:col>11</xdr:col>
      <xdr:colOff>196976</xdr:colOff>
      <xdr:row>462</xdr:row>
      <xdr:rowOff>143508</xdr:rowOff>
    </xdr:to>
    <xdr:cxnSp macro="_xll.PtreeEvent_ObjectClick">
      <xdr:nvCxnSpPr>
        <xdr:cNvPr id="930" name="PTObj_DBranchDLine_1_229">
          <a:extLst>
            <a:ext uri="{FF2B5EF4-FFF2-40B4-BE49-F238E27FC236}">
              <a16:creationId xmlns:a16="http://schemas.microsoft.com/office/drawing/2014/main" id="{075ECA5B-3FF1-4D7B-ADB5-49850B3702A0}"/>
            </a:ext>
          </a:extLst>
        </xdr:cNvPr>
        <xdr:cNvCxnSpPr/>
      </xdr:nvCxnSpPr>
      <xdr:spPr>
        <a:xfrm>
          <a:off x="19904201" y="833859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460</xdr:row>
      <xdr:rowOff>139700</xdr:rowOff>
    </xdr:from>
    <xdr:to>
      <xdr:col>10</xdr:col>
      <xdr:colOff>1392681</xdr:colOff>
      <xdr:row>460</xdr:row>
      <xdr:rowOff>139700</xdr:rowOff>
    </xdr:to>
    <xdr:cxnSp macro="_xll.PtreeEvent_ObjectClick">
      <xdr:nvCxnSpPr>
        <xdr:cNvPr id="927" name="PTObj_DBranchHLine_1_228">
          <a:extLst>
            <a:ext uri="{FF2B5EF4-FFF2-40B4-BE49-F238E27FC236}">
              <a16:creationId xmlns:a16="http://schemas.microsoft.com/office/drawing/2014/main" id="{7B98F238-B567-4AF6-8C03-C7DCC95E9804}"/>
            </a:ext>
          </a:extLst>
        </xdr:cNvPr>
        <xdr:cNvCxnSpPr/>
      </xdr:nvCxnSpPr>
      <xdr:spPr>
        <a:xfrm>
          <a:off x="18628804" y="83388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458</xdr:row>
      <xdr:rowOff>135570</xdr:rowOff>
    </xdr:from>
    <xdr:to>
      <xdr:col>10</xdr:col>
      <xdr:colOff>197929</xdr:colOff>
      <xdr:row>460</xdr:row>
      <xdr:rowOff>139700</xdr:rowOff>
    </xdr:to>
    <xdr:cxnSp macro="_xll.PtreeEvent_ObjectClick">
      <xdr:nvCxnSpPr>
        <xdr:cNvPr id="926" name="PTObj_DBranchDLine_1_228">
          <a:extLst>
            <a:ext uri="{FF2B5EF4-FFF2-40B4-BE49-F238E27FC236}">
              <a16:creationId xmlns:a16="http://schemas.microsoft.com/office/drawing/2014/main" id="{47E62CA0-0BAE-46FD-A548-4E18BF83583A}"/>
            </a:ext>
          </a:extLst>
        </xdr:cNvPr>
        <xdr:cNvCxnSpPr/>
      </xdr:nvCxnSpPr>
      <xdr:spPr>
        <a:xfrm>
          <a:off x="18476404" y="830221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458</xdr:row>
      <xdr:rowOff>135892</xdr:rowOff>
    </xdr:from>
    <xdr:to>
      <xdr:col>9</xdr:col>
      <xdr:colOff>1388870</xdr:colOff>
      <xdr:row>458</xdr:row>
      <xdr:rowOff>135892</xdr:rowOff>
    </xdr:to>
    <xdr:cxnSp macro="_xll.PtreeEvent_ObjectClick">
      <xdr:nvCxnSpPr>
        <xdr:cNvPr id="923" name="PTObj_DBranchHLine_1_227">
          <a:extLst>
            <a:ext uri="{FF2B5EF4-FFF2-40B4-BE49-F238E27FC236}">
              <a16:creationId xmlns:a16="http://schemas.microsoft.com/office/drawing/2014/main" id="{7BEE8C84-C2BC-4381-B50F-45172F40F41A}"/>
            </a:ext>
          </a:extLst>
        </xdr:cNvPr>
        <xdr:cNvCxnSpPr/>
      </xdr:nvCxnSpPr>
      <xdr:spPr>
        <a:xfrm>
          <a:off x="17206720" y="83022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456</xdr:row>
      <xdr:rowOff>129859</xdr:rowOff>
    </xdr:from>
    <xdr:to>
      <xdr:col>9</xdr:col>
      <xdr:colOff>204595</xdr:colOff>
      <xdr:row>458</xdr:row>
      <xdr:rowOff>135892</xdr:rowOff>
    </xdr:to>
    <xdr:cxnSp macro="_xll.PtreeEvent_ObjectClick">
      <xdr:nvCxnSpPr>
        <xdr:cNvPr id="922" name="PTObj_DBranchDLine_1_227">
          <a:extLst>
            <a:ext uri="{FF2B5EF4-FFF2-40B4-BE49-F238E27FC236}">
              <a16:creationId xmlns:a16="http://schemas.microsoft.com/office/drawing/2014/main" id="{FEAA4961-82A0-4C00-9D30-ECA2497061CC}"/>
            </a:ext>
          </a:extLst>
        </xdr:cNvPr>
        <xdr:cNvCxnSpPr/>
      </xdr:nvCxnSpPr>
      <xdr:spPr>
        <a:xfrm>
          <a:off x="17054320" y="826544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456</xdr:row>
      <xdr:rowOff>132079</xdr:rowOff>
    </xdr:from>
    <xdr:to>
      <xdr:col>8</xdr:col>
      <xdr:colOff>1392681</xdr:colOff>
      <xdr:row>456</xdr:row>
      <xdr:rowOff>132079</xdr:rowOff>
    </xdr:to>
    <xdr:cxnSp macro="_xll.PtreeEvent_ObjectClick">
      <xdr:nvCxnSpPr>
        <xdr:cNvPr id="919" name="PTObj_DBranchHLine_1_226">
          <a:extLst>
            <a:ext uri="{FF2B5EF4-FFF2-40B4-BE49-F238E27FC236}">
              <a16:creationId xmlns:a16="http://schemas.microsoft.com/office/drawing/2014/main" id="{4F2F2C22-CE07-40F3-B59E-FA04B70C5182}"/>
            </a:ext>
          </a:extLst>
        </xdr:cNvPr>
        <xdr:cNvCxnSpPr/>
      </xdr:nvCxnSpPr>
      <xdr:spPr>
        <a:xfrm>
          <a:off x="15782734" y="82656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454</xdr:row>
      <xdr:rowOff>123186</xdr:rowOff>
    </xdr:from>
    <xdr:to>
      <xdr:col>8</xdr:col>
      <xdr:colOff>209359</xdr:colOff>
      <xdr:row>456</xdr:row>
      <xdr:rowOff>132079</xdr:rowOff>
    </xdr:to>
    <xdr:cxnSp macro="_xll.PtreeEvent_ObjectClick">
      <xdr:nvCxnSpPr>
        <xdr:cNvPr id="918" name="PTObj_DBranchDLine_1_226">
          <a:extLst>
            <a:ext uri="{FF2B5EF4-FFF2-40B4-BE49-F238E27FC236}">
              <a16:creationId xmlns:a16="http://schemas.microsoft.com/office/drawing/2014/main" id="{8AB93530-DC89-4C3D-9250-C9F83FF0FDE6}"/>
            </a:ext>
          </a:extLst>
        </xdr:cNvPr>
        <xdr:cNvCxnSpPr/>
      </xdr:nvCxnSpPr>
      <xdr:spPr>
        <a:xfrm>
          <a:off x="15630334" y="822858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452</xdr:row>
      <xdr:rowOff>124458</xdr:rowOff>
    </xdr:from>
    <xdr:to>
      <xdr:col>11</xdr:col>
      <xdr:colOff>1392682</xdr:colOff>
      <xdr:row>452</xdr:row>
      <xdr:rowOff>124458</xdr:rowOff>
    </xdr:to>
    <xdr:cxnSp macro="_xll.PtreeEvent_ObjectClick">
      <xdr:nvCxnSpPr>
        <xdr:cNvPr id="915" name="PTObj_DBranchHLine_1_224">
          <a:extLst>
            <a:ext uri="{FF2B5EF4-FFF2-40B4-BE49-F238E27FC236}">
              <a16:creationId xmlns:a16="http://schemas.microsoft.com/office/drawing/2014/main" id="{B53A5E51-5FA3-47B5-B905-D416BEFB353E}"/>
            </a:ext>
          </a:extLst>
        </xdr:cNvPr>
        <xdr:cNvCxnSpPr/>
      </xdr:nvCxnSpPr>
      <xdr:spPr>
        <a:xfrm>
          <a:off x="20056601" y="819251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450</xdr:row>
      <xdr:rowOff>107950</xdr:rowOff>
    </xdr:from>
    <xdr:to>
      <xdr:col>11</xdr:col>
      <xdr:colOff>196976</xdr:colOff>
      <xdr:row>452</xdr:row>
      <xdr:rowOff>124458</xdr:rowOff>
    </xdr:to>
    <xdr:cxnSp macro="_xll.PtreeEvent_ObjectClick">
      <xdr:nvCxnSpPr>
        <xdr:cNvPr id="914" name="PTObj_DBranchDLine_1_224">
          <a:extLst>
            <a:ext uri="{FF2B5EF4-FFF2-40B4-BE49-F238E27FC236}">
              <a16:creationId xmlns:a16="http://schemas.microsoft.com/office/drawing/2014/main" id="{92DBAD1E-03F6-475A-B524-E6291B244DB7}"/>
            </a:ext>
          </a:extLst>
        </xdr:cNvPr>
        <xdr:cNvCxnSpPr/>
      </xdr:nvCxnSpPr>
      <xdr:spPr>
        <a:xfrm>
          <a:off x="19904201" y="815467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450</xdr:row>
      <xdr:rowOff>120650</xdr:rowOff>
    </xdr:from>
    <xdr:to>
      <xdr:col>10</xdr:col>
      <xdr:colOff>1392681</xdr:colOff>
      <xdr:row>450</xdr:row>
      <xdr:rowOff>120650</xdr:rowOff>
    </xdr:to>
    <xdr:cxnSp macro="_xll.PtreeEvent_ObjectClick">
      <xdr:nvCxnSpPr>
        <xdr:cNvPr id="911" name="PTObj_DBranchHLine_1_223">
          <a:extLst>
            <a:ext uri="{FF2B5EF4-FFF2-40B4-BE49-F238E27FC236}">
              <a16:creationId xmlns:a16="http://schemas.microsoft.com/office/drawing/2014/main" id="{F1391290-866C-4130-97D0-28C97410F562}"/>
            </a:ext>
          </a:extLst>
        </xdr:cNvPr>
        <xdr:cNvCxnSpPr/>
      </xdr:nvCxnSpPr>
      <xdr:spPr>
        <a:xfrm>
          <a:off x="18628804" y="81559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448</xdr:row>
      <xdr:rowOff>105097</xdr:rowOff>
    </xdr:from>
    <xdr:to>
      <xdr:col>10</xdr:col>
      <xdr:colOff>197929</xdr:colOff>
      <xdr:row>450</xdr:row>
      <xdr:rowOff>120650</xdr:rowOff>
    </xdr:to>
    <xdr:cxnSp macro="_xll.PtreeEvent_ObjectClick">
      <xdr:nvCxnSpPr>
        <xdr:cNvPr id="910" name="PTObj_DBranchDLine_1_223">
          <a:extLst>
            <a:ext uri="{FF2B5EF4-FFF2-40B4-BE49-F238E27FC236}">
              <a16:creationId xmlns:a16="http://schemas.microsoft.com/office/drawing/2014/main" id="{3E2A0CBA-64F3-446B-B70E-B19841D26645}"/>
            </a:ext>
          </a:extLst>
        </xdr:cNvPr>
        <xdr:cNvCxnSpPr/>
      </xdr:nvCxnSpPr>
      <xdr:spPr>
        <a:xfrm>
          <a:off x="18476404" y="811818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448</xdr:row>
      <xdr:rowOff>116842</xdr:rowOff>
    </xdr:from>
    <xdr:to>
      <xdr:col>9</xdr:col>
      <xdr:colOff>1388870</xdr:colOff>
      <xdr:row>448</xdr:row>
      <xdr:rowOff>116842</xdr:rowOff>
    </xdr:to>
    <xdr:cxnSp macro="_xll.PtreeEvent_ObjectClick">
      <xdr:nvCxnSpPr>
        <xdr:cNvPr id="907" name="PTObj_DBranchHLine_1_222">
          <a:extLst>
            <a:ext uri="{FF2B5EF4-FFF2-40B4-BE49-F238E27FC236}">
              <a16:creationId xmlns:a16="http://schemas.microsoft.com/office/drawing/2014/main" id="{5BE970D3-3416-459C-97C0-90CE4BF545B8}"/>
            </a:ext>
          </a:extLst>
        </xdr:cNvPr>
        <xdr:cNvCxnSpPr/>
      </xdr:nvCxnSpPr>
      <xdr:spPr>
        <a:xfrm>
          <a:off x="17206720" y="81193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446</xdr:row>
      <xdr:rowOff>104142</xdr:rowOff>
    </xdr:from>
    <xdr:to>
      <xdr:col>9</xdr:col>
      <xdr:colOff>204595</xdr:colOff>
      <xdr:row>448</xdr:row>
      <xdr:rowOff>116842</xdr:rowOff>
    </xdr:to>
    <xdr:cxnSp macro="_xll.PtreeEvent_ObjectClick">
      <xdr:nvCxnSpPr>
        <xdr:cNvPr id="906" name="PTObj_DBranchDLine_1_222">
          <a:extLst>
            <a:ext uri="{FF2B5EF4-FFF2-40B4-BE49-F238E27FC236}">
              <a16:creationId xmlns:a16="http://schemas.microsoft.com/office/drawing/2014/main" id="{B18481B3-8974-4D52-8371-36C01311F008}"/>
            </a:ext>
          </a:extLst>
        </xdr:cNvPr>
        <xdr:cNvCxnSpPr/>
      </xdr:nvCxnSpPr>
      <xdr:spPr>
        <a:xfrm>
          <a:off x="17054320" y="80818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446</xdr:row>
      <xdr:rowOff>113029</xdr:rowOff>
    </xdr:from>
    <xdr:to>
      <xdr:col>8</xdr:col>
      <xdr:colOff>1392681</xdr:colOff>
      <xdr:row>446</xdr:row>
      <xdr:rowOff>113029</xdr:rowOff>
    </xdr:to>
    <xdr:cxnSp macro="_xll.PtreeEvent_ObjectClick">
      <xdr:nvCxnSpPr>
        <xdr:cNvPr id="903" name="PTObj_DBranchHLine_1_221">
          <a:extLst>
            <a:ext uri="{FF2B5EF4-FFF2-40B4-BE49-F238E27FC236}">
              <a16:creationId xmlns:a16="http://schemas.microsoft.com/office/drawing/2014/main" id="{F2950182-887F-4315-A3A5-54A696F26F53}"/>
            </a:ext>
          </a:extLst>
        </xdr:cNvPr>
        <xdr:cNvCxnSpPr/>
      </xdr:nvCxnSpPr>
      <xdr:spPr>
        <a:xfrm>
          <a:off x="15782734" y="80827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446</xdr:row>
      <xdr:rowOff>113029</xdr:rowOff>
    </xdr:from>
    <xdr:to>
      <xdr:col>8</xdr:col>
      <xdr:colOff>209359</xdr:colOff>
      <xdr:row>454</xdr:row>
      <xdr:rowOff>123186</xdr:rowOff>
    </xdr:to>
    <xdr:cxnSp macro="_xll.PtreeEvent_ObjectClick">
      <xdr:nvCxnSpPr>
        <xdr:cNvPr id="902" name="PTObj_DBranchDLine_1_221">
          <a:extLst>
            <a:ext uri="{FF2B5EF4-FFF2-40B4-BE49-F238E27FC236}">
              <a16:creationId xmlns:a16="http://schemas.microsoft.com/office/drawing/2014/main" id="{250E05A3-AFD1-4387-8DB1-65A5BADB61D8}"/>
            </a:ext>
          </a:extLst>
        </xdr:cNvPr>
        <xdr:cNvCxnSpPr/>
      </xdr:nvCxnSpPr>
      <xdr:spPr>
        <a:xfrm flipV="1">
          <a:off x="15630334" y="808278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454</xdr:row>
      <xdr:rowOff>128271</xdr:rowOff>
    </xdr:from>
    <xdr:to>
      <xdr:col>7</xdr:col>
      <xdr:colOff>1398397</xdr:colOff>
      <xdr:row>454</xdr:row>
      <xdr:rowOff>128271</xdr:rowOff>
    </xdr:to>
    <xdr:cxnSp macro="_xll.PtreeEvent_ObjectClick">
      <xdr:nvCxnSpPr>
        <xdr:cNvPr id="899" name="PTObj_DBranchHLine_1_225">
          <a:extLst>
            <a:ext uri="{FF2B5EF4-FFF2-40B4-BE49-F238E27FC236}">
              <a16:creationId xmlns:a16="http://schemas.microsoft.com/office/drawing/2014/main" id="{8B5C3337-05C0-45F2-9C0A-298C14B446C6}"/>
            </a:ext>
          </a:extLst>
        </xdr:cNvPr>
        <xdr:cNvCxnSpPr/>
      </xdr:nvCxnSpPr>
      <xdr:spPr>
        <a:xfrm>
          <a:off x="14360652" y="822909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454</xdr:row>
      <xdr:rowOff>128271</xdr:rowOff>
    </xdr:from>
    <xdr:to>
      <xdr:col>7</xdr:col>
      <xdr:colOff>216027</xdr:colOff>
      <xdr:row>464</xdr:row>
      <xdr:rowOff>142236</xdr:rowOff>
    </xdr:to>
    <xdr:cxnSp macro="_xll.PtreeEvent_ObjectClick">
      <xdr:nvCxnSpPr>
        <xdr:cNvPr id="898" name="PTObj_DBranchDLine_1_225">
          <a:extLst>
            <a:ext uri="{FF2B5EF4-FFF2-40B4-BE49-F238E27FC236}">
              <a16:creationId xmlns:a16="http://schemas.microsoft.com/office/drawing/2014/main" id="{F843FDBC-5C66-4BC4-9C04-B850A77C8692}"/>
            </a:ext>
          </a:extLst>
        </xdr:cNvPr>
        <xdr:cNvCxnSpPr/>
      </xdr:nvCxnSpPr>
      <xdr:spPr>
        <a:xfrm flipV="1">
          <a:off x="14208252" y="82290921"/>
          <a:ext cx="152400" cy="18237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464</xdr:row>
      <xdr:rowOff>147321</xdr:rowOff>
    </xdr:from>
    <xdr:to>
      <xdr:col>6</xdr:col>
      <xdr:colOff>1402207</xdr:colOff>
      <xdr:row>464</xdr:row>
      <xdr:rowOff>147321</xdr:rowOff>
    </xdr:to>
    <xdr:cxnSp macro="_xll.PtreeEvent_ObjectClick">
      <xdr:nvCxnSpPr>
        <xdr:cNvPr id="895" name="PTObj_DBranchHLine_1_230">
          <a:extLst>
            <a:ext uri="{FF2B5EF4-FFF2-40B4-BE49-F238E27FC236}">
              <a16:creationId xmlns:a16="http://schemas.microsoft.com/office/drawing/2014/main" id="{BC2DC7E6-309C-44AC-8784-863B72FD42A4}"/>
            </a:ext>
          </a:extLst>
        </xdr:cNvPr>
        <xdr:cNvCxnSpPr/>
      </xdr:nvCxnSpPr>
      <xdr:spPr>
        <a:xfrm>
          <a:off x="12936665" y="84119721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444</xdr:row>
      <xdr:rowOff>106040</xdr:rowOff>
    </xdr:from>
    <xdr:to>
      <xdr:col>6</xdr:col>
      <xdr:colOff>220790</xdr:colOff>
      <xdr:row>464</xdr:row>
      <xdr:rowOff>147321</xdr:rowOff>
    </xdr:to>
    <xdr:cxnSp macro="_xll.PtreeEvent_ObjectClick">
      <xdr:nvCxnSpPr>
        <xdr:cNvPr id="894" name="PTObj_DBranchDLine_1_230">
          <a:extLst>
            <a:ext uri="{FF2B5EF4-FFF2-40B4-BE49-F238E27FC236}">
              <a16:creationId xmlns:a16="http://schemas.microsoft.com/office/drawing/2014/main" id="{F5939BD8-90B2-47D4-AF25-E9116616B732}"/>
            </a:ext>
          </a:extLst>
        </xdr:cNvPr>
        <xdr:cNvCxnSpPr/>
      </xdr:nvCxnSpPr>
      <xdr:spPr>
        <a:xfrm>
          <a:off x="12784265" y="80458940"/>
          <a:ext cx="152400" cy="36607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442</xdr:row>
      <xdr:rowOff>105408</xdr:rowOff>
    </xdr:from>
    <xdr:to>
      <xdr:col>11</xdr:col>
      <xdr:colOff>1385063</xdr:colOff>
      <xdr:row>442</xdr:row>
      <xdr:rowOff>105408</xdr:rowOff>
    </xdr:to>
    <xdr:cxnSp macro="_xll.PtreeEvent_ObjectClick">
      <xdr:nvCxnSpPr>
        <xdr:cNvPr id="891" name="PTObj_DBranchHLine_1_219">
          <a:extLst>
            <a:ext uri="{FF2B5EF4-FFF2-40B4-BE49-F238E27FC236}">
              <a16:creationId xmlns:a16="http://schemas.microsoft.com/office/drawing/2014/main" id="{F54A0AA1-5C2B-44ED-A34B-104521F15E7B}"/>
            </a:ext>
          </a:extLst>
        </xdr:cNvPr>
        <xdr:cNvCxnSpPr/>
      </xdr:nvCxnSpPr>
      <xdr:spPr>
        <a:xfrm>
          <a:off x="20056601" y="80096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440</xdr:row>
      <xdr:rowOff>99374</xdr:rowOff>
    </xdr:from>
    <xdr:to>
      <xdr:col>11</xdr:col>
      <xdr:colOff>196976</xdr:colOff>
      <xdr:row>442</xdr:row>
      <xdr:rowOff>105408</xdr:rowOff>
    </xdr:to>
    <xdr:cxnSp macro="_xll.PtreeEvent_ObjectClick">
      <xdr:nvCxnSpPr>
        <xdr:cNvPr id="890" name="PTObj_DBranchDLine_1_219">
          <a:extLst>
            <a:ext uri="{FF2B5EF4-FFF2-40B4-BE49-F238E27FC236}">
              <a16:creationId xmlns:a16="http://schemas.microsoft.com/office/drawing/2014/main" id="{7C41A1CE-9A50-4A68-80AC-A8F9771A59F4}"/>
            </a:ext>
          </a:extLst>
        </xdr:cNvPr>
        <xdr:cNvCxnSpPr/>
      </xdr:nvCxnSpPr>
      <xdr:spPr>
        <a:xfrm>
          <a:off x="19904201" y="797283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440</xdr:row>
      <xdr:rowOff>101600</xdr:rowOff>
    </xdr:from>
    <xdr:to>
      <xdr:col>10</xdr:col>
      <xdr:colOff>1392681</xdr:colOff>
      <xdr:row>440</xdr:row>
      <xdr:rowOff>101600</xdr:rowOff>
    </xdr:to>
    <xdr:cxnSp macro="_xll.PtreeEvent_ObjectClick">
      <xdr:nvCxnSpPr>
        <xdr:cNvPr id="887" name="PTObj_DBranchHLine_1_218">
          <a:extLst>
            <a:ext uri="{FF2B5EF4-FFF2-40B4-BE49-F238E27FC236}">
              <a16:creationId xmlns:a16="http://schemas.microsoft.com/office/drawing/2014/main" id="{51BB7EF4-BC4E-4F72-9C09-5B9F21F264B0}"/>
            </a:ext>
          </a:extLst>
        </xdr:cNvPr>
        <xdr:cNvCxnSpPr/>
      </xdr:nvCxnSpPr>
      <xdr:spPr>
        <a:xfrm>
          <a:off x="18628804" y="79730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438</xdr:row>
      <xdr:rowOff>97470</xdr:rowOff>
    </xdr:from>
    <xdr:to>
      <xdr:col>10</xdr:col>
      <xdr:colOff>197929</xdr:colOff>
      <xdr:row>440</xdr:row>
      <xdr:rowOff>101600</xdr:rowOff>
    </xdr:to>
    <xdr:cxnSp macro="_xll.PtreeEvent_ObjectClick">
      <xdr:nvCxnSpPr>
        <xdr:cNvPr id="886" name="PTObj_DBranchDLine_1_218">
          <a:extLst>
            <a:ext uri="{FF2B5EF4-FFF2-40B4-BE49-F238E27FC236}">
              <a16:creationId xmlns:a16="http://schemas.microsoft.com/office/drawing/2014/main" id="{B3E23FBE-AB01-4F31-A2E6-C18B8B96AB9F}"/>
            </a:ext>
          </a:extLst>
        </xdr:cNvPr>
        <xdr:cNvCxnSpPr/>
      </xdr:nvCxnSpPr>
      <xdr:spPr>
        <a:xfrm>
          <a:off x="18476404" y="793645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438</xdr:row>
      <xdr:rowOff>97792</xdr:rowOff>
    </xdr:from>
    <xdr:to>
      <xdr:col>9</xdr:col>
      <xdr:colOff>1388870</xdr:colOff>
      <xdr:row>438</xdr:row>
      <xdr:rowOff>97792</xdr:rowOff>
    </xdr:to>
    <xdr:cxnSp macro="_xll.PtreeEvent_ObjectClick">
      <xdr:nvCxnSpPr>
        <xdr:cNvPr id="883" name="PTObj_DBranchHLine_1_217">
          <a:extLst>
            <a:ext uri="{FF2B5EF4-FFF2-40B4-BE49-F238E27FC236}">
              <a16:creationId xmlns:a16="http://schemas.microsoft.com/office/drawing/2014/main" id="{DA2AA85E-E444-473D-A178-B1B583E134C4}"/>
            </a:ext>
          </a:extLst>
        </xdr:cNvPr>
        <xdr:cNvCxnSpPr/>
      </xdr:nvCxnSpPr>
      <xdr:spPr>
        <a:xfrm>
          <a:off x="17206720" y="79364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436</xdr:row>
      <xdr:rowOff>91759</xdr:rowOff>
    </xdr:from>
    <xdr:to>
      <xdr:col>9</xdr:col>
      <xdr:colOff>204595</xdr:colOff>
      <xdr:row>438</xdr:row>
      <xdr:rowOff>97792</xdr:rowOff>
    </xdr:to>
    <xdr:cxnSp macro="_xll.PtreeEvent_ObjectClick">
      <xdr:nvCxnSpPr>
        <xdr:cNvPr id="882" name="PTObj_DBranchDLine_1_217">
          <a:extLst>
            <a:ext uri="{FF2B5EF4-FFF2-40B4-BE49-F238E27FC236}">
              <a16:creationId xmlns:a16="http://schemas.microsoft.com/office/drawing/2014/main" id="{5EDD0958-769A-44BF-8376-B8A84A658553}"/>
            </a:ext>
          </a:extLst>
        </xdr:cNvPr>
        <xdr:cNvCxnSpPr/>
      </xdr:nvCxnSpPr>
      <xdr:spPr>
        <a:xfrm>
          <a:off x="17054320" y="789968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436</xdr:row>
      <xdr:rowOff>93979</xdr:rowOff>
    </xdr:from>
    <xdr:to>
      <xdr:col>8</xdr:col>
      <xdr:colOff>1392681</xdr:colOff>
      <xdr:row>436</xdr:row>
      <xdr:rowOff>93979</xdr:rowOff>
    </xdr:to>
    <xdr:cxnSp macro="_xll.PtreeEvent_ObjectClick">
      <xdr:nvCxnSpPr>
        <xdr:cNvPr id="879" name="PTObj_DBranchHLine_1_216">
          <a:extLst>
            <a:ext uri="{FF2B5EF4-FFF2-40B4-BE49-F238E27FC236}">
              <a16:creationId xmlns:a16="http://schemas.microsoft.com/office/drawing/2014/main" id="{77518FED-2105-40CB-A015-0F0C8536DA8D}"/>
            </a:ext>
          </a:extLst>
        </xdr:cNvPr>
        <xdr:cNvCxnSpPr/>
      </xdr:nvCxnSpPr>
      <xdr:spPr>
        <a:xfrm>
          <a:off x="15782734" y="78999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434</xdr:row>
      <xdr:rowOff>84138</xdr:rowOff>
    </xdr:from>
    <xdr:to>
      <xdr:col>8</xdr:col>
      <xdr:colOff>209359</xdr:colOff>
      <xdr:row>436</xdr:row>
      <xdr:rowOff>93979</xdr:rowOff>
    </xdr:to>
    <xdr:cxnSp macro="_xll.PtreeEvent_ObjectClick">
      <xdr:nvCxnSpPr>
        <xdr:cNvPr id="878" name="PTObj_DBranchDLine_1_216">
          <a:extLst>
            <a:ext uri="{FF2B5EF4-FFF2-40B4-BE49-F238E27FC236}">
              <a16:creationId xmlns:a16="http://schemas.microsoft.com/office/drawing/2014/main" id="{EBE1845C-6EF6-41D9-A2D6-4B2C6EA4A7B2}"/>
            </a:ext>
          </a:extLst>
        </xdr:cNvPr>
        <xdr:cNvCxnSpPr/>
      </xdr:nvCxnSpPr>
      <xdr:spPr>
        <a:xfrm>
          <a:off x="15630334" y="78627288"/>
          <a:ext cx="152400" cy="37179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432</xdr:row>
      <xdr:rowOff>86358</xdr:rowOff>
    </xdr:from>
    <xdr:to>
      <xdr:col>11</xdr:col>
      <xdr:colOff>1385063</xdr:colOff>
      <xdr:row>432</xdr:row>
      <xdr:rowOff>86358</xdr:rowOff>
    </xdr:to>
    <xdr:cxnSp macro="_xll.PtreeEvent_ObjectClick">
      <xdr:nvCxnSpPr>
        <xdr:cNvPr id="875" name="PTObj_DBranchHLine_1_214">
          <a:extLst>
            <a:ext uri="{FF2B5EF4-FFF2-40B4-BE49-F238E27FC236}">
              <a16:creationId xmlns:a16="http://schemas.microsoft.com/office/drawing/2014/main" id="{AE403A0E-EED2-4179-B91B-4C3E66D2D0BD}"/>
            </a:ext>
          </a:extLst>
        </xdr:cNvPr>
        <xdr:cNvCxnSpPr/>
      </xdr:nvCxnSpPr>
      <xdr:spPr>
        <a:xfrm>
          <a:off x="20056601" y="78267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430</xdr:row>
      <xdr:rowOff>73651</xdr:rowOff>
    </xdr:from>
    <xdr:to>
      <xdr:col>11</xdr:col>
      <xdr:colOff>196976</xdr:colOff>
      <xdr:row>432</xdr:row>
      <xdr:rowOff>86358</xdr:rowOff>
    </xdr:to>
    <xdr:cxnSp macro="_xll.PtreeEvent_ObjectClick">
      <xdr:nvCxnSpPr>
        <xdr:cNvPr id="874" name="PTObj_DBranchDLine_1_214">
          <a:extLst>
            <a:ext uri="{FF2B5EF4-FFF2-40B4-BE49-F238E27FC236}">
              <a16:creationId xmlns:a16="http://schemas.microsoft.com/office/drawing/2014/main" id="{8E3DBD39-4560-47A9-81A3-A7CAD56BA006}"/>
            </a:ext>
          </a:extLst>
        </xdr:cNvPr>
        <xdr:cNvCxnSpPr/>
      </xdr:nvCxnSpPr>
      <xdr:spPr>
        <a:xfrm>
          <a:off x="19904201" y="77892901"/>
          <a:ext cx="152400" cy="3746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430</xdr:row>
      <xdr:rowOff>82550</xdr:rowOff>
    </xdr:from>
    <xdr:to>
      <xdr:col>10</xdr:col>
      <xdr:colOff>1392681</xdr:colOff>
      <xdr:row>430</xdr:row>
      <xdr:rowOff>82550</xdr:rowOff>
    </xdr:to>
    <xdr:cxnSp macro="_xll.PtreeEvent_ObjectClick">
      <xdr:nvCxnSpPr>
        <xdr:cNvPr id="871" name="PTObj_DBranchHLine_1_213">
          <a:extLst>
            <a:ext uri="{FF2B5EF4-FFF2-40B4-BE49-F238E27FC236}">
              <a16:creationId xmlns:a16="http://schemas.microsoft.com/office/drawing/2014/main" id="{D385A5C2-E332-453F-B3CC-52BB4803F188}"/>
            </a:ext>
          </a:extLst>
        </xdr:cNvPr>
        <xdr:cNvCxnSpPr/>
      </xdr:nvCxnSpPr>
      <xdr:spPr>
        <a:xfrm>
          <a:off x="18628804" y="77901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428</xdr:row>
      <xdr:rowOff>77465</xdr:rowOff>
    </xdr:from>
    <xdr:to>
      <xdr:col>10</xdr:col>
      <xdr:colOff>197929</xdr:colOff>
      <xdr:row>430</xdr:row>
      <xdr:rowOff>82550</xdr:rowOff>
    </xdr:to>
    <xdr:cxnSp macro="_xll.PtreeEvent_ObjectClick">
      <xdr:nvCxnSpPr>
        <xdr:cNvPr id="870" name="PTObj_DBranchDLine_1_213">
          <a:extLst>
            <a:ext uri="{FF2B5EF4-FFF2-40B4-BE49-F238E27FC236}">
              <a16:creationId xmlns:a16="http://schemas.microsoft.com/office/drawing/2014/main" id="{958F1D24-2B4F-4807-B8BF-FF6B5B72EAC7}"/>
            </a:ext>
          </a:extLst>
        </xdr:cNvPr>
        <xdr:cNvCxnSpPr/>
      </xdr:nvCxnSpPr>
      <xdr:spPr>
        <a:xfrm>
          <a:off x="18476404" y="775347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428</xdr:row>
      <xdr:rowOff>78742</xdr:rowOff>
    </xdr:from>
    <xdr:to>
      <xdr:col>9</xdr:col>
      <xdr:colOff>1388870</xdr:colOff>
      <xdr:row>428</xdr:row>
      <xdr:rowOff>78742</xdr:rowOff>
    </xdr:to>
    <xdr:cxnSp macro="_xll.PtreeEvent_ObjectClick">
      <xdr:nvCxnSpPr>
        <xdr:cNvPr id="867" name="PTObj_DBranchHLine_1_212">
          <a:extLst>
            <a:ext uri="{FF2B5EF4-FFF2-40B4-BE49-F238E27FC236}">
              <a16:creationId xmlns:a16="http://schemas.microsoft.com/office/drawing/2014/main" id="{671A9889-17C3-410D-8D0D-D91E6D45C6EA}"/>
            </a:ext>
          </a:extLst>
        </xdr:cNvPr>
        <xdr:cNvCxnSpPr/>
      </xdr:nvCxnSpPr>
      <xdr:spPr>
        <a:xfrm>
          <a:off x="17206720" y="77536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426</xdr:row>
      <xdr:rowOff>73664</xdr:rowOff>
    </xdr:from>
    <xdr:to>
      <xdr:col>9</xdr:col>
      <xdr:colOff>204595</xdr:colOff>
      <xdr:row>428</xdr:row>
      <xdr:rowOff>78742</xdr:rowOff>
    </xdr:to>
    <xdr:cxnSp macro="_xll.PtreeEvent_ObjectClick">
      <xdr:nvCxnSpPr>
        <xdr:cNvPr id="866" name="PTObj_DBranchDLine_1_212">
          <a:extLst>
            <a:ext uri="{FF2B5EF4-FFF2-40B4-BE49-F238E27FC236}">
              <a16:creationId xmlns:a16="http://schemas.microsoft.com/office/drawing/2014/main" id="{FEE86500-F14A-489F-9AD9-226DA18F6280}"/>
            </a:ext>
          </a:extLst>
        </xdr:cNvPr>
        <xdr:cNvCxnSpPr/>
      </xdr:nvCxnSpPr>
      <xdr:spPr>
        <a:xfrm>
          <a:off x="17054320" y="77169014"/>
          <a:ext cx="152400" cy="3670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426</xdr:row>
      <xdr:rowOff>74929</xdr:rowOff>
    </xdr:from>
    <xdr:to>
      <xdr:col>8</xdr:col>
      <xdr:colOff>1392681</xdr:colOff>
      <xdr:row>426</xdr:row>
      <xdr:rowOff>74929</xdr:rowOff>
    </xdr:to>
    <xdr:cxnSp macro="_xll.PtreeEvent_ObjectClick">
      <xdr:nvCxnSpPr>
        <xdr:cNvPr id="863" name="PTObj_DBranchHLine_1_211">
          <a:extLst>
            <a:ext uri="{FF2B5EF4-FFF2-40B4-BE49-F238E27FC236}">
              <a16:creationId xmlns:a16="http://schemas.microsoft.com/office/drawing/2014/main" id="{AF75DCCF-1368-43E5-886F-169E13F2CF1B}"/>
            </a:ext>
          </a:extLst>
        </xdr:cNvPr>
        <xdr:cNvCxnSpPr/>
      </xdr:nvCxnSpPr>
      <xdr:spPr>
        <a:xfrm>
          <a:off x="15782734" y="77170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426</xdr:row>
      <xdr:rowOff>74929</xdr:rowOff>
    </xdr:from>
    <xdr:to>
      <xdr:col>8</xdr:col>
      <xdr:colOff>209359</xdr:colOff>
      <xdr:row>434</xdr:row>
      <xdr:rowOff>84138</xdr:rowOff>
    </xdr:to>
    <xdr:cxnSp macro="_xll.PtreeEvent_ObjectClick">
      <xdr:nvCxnSpPr>
        <xdr:cNvPr id="862" name="PTObj_DBranchDLine_1_211">
          <a:extLst>
            <a:ext uri="{FF2B5EF4-FFF2-40B4-BE49-F238E27FC236}">
              <a16:creationId xmlns:a16="http://schemas.microsoft.com/office/drawing/2014/main" id="{F1B1A791-10D9-43BA-ADF1-5CF57E56BA32}"/>
            </a:ext>
          </a:extLst>
        </xdr:cNvPr>
        <xdr:cNvCxnSpPr/>
      </xdr:nvCxnSpPr>
      <xdr:spPr>
        <a:xfrm flipV="1">
          <a:off x="15630334" y="77170279"/>
          <a:ext cx="152400" cy="145700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434</xdr:row>
      <xdr:rowOff>90171</xdr:rowOff>
    </xdr:from>
    <xdr:to>
      <xdr:col>7</xdr:col>
      <xdr:colOff>1398397</xdr:colOff>
      <xdr:row>434</xdr:row>
      <xdr:rowOff>90171</xdr:rowOff>
    </xdr:to>
    <xdr:cxnSp macro="_xll.PtreeEvent_ObjectClick">
      <xdr:nvCxnSpPr>
        <xdr:cNvPr id="859" name="PTObj_DBranchHLine_1_215">
          <a:extLst>
            <a:ext uri="{FF2B5EF4-FFF2-40B4-BE49-F238E27FC236}">
              <a16:creationId xmlns:a16="http://schemas.microsoft.com/office/drawing/2014/main" id="{F2E8BBF1-A107-451E-BD2C-665A639AA17B}"/>
            </a:ext>
          </a:extLst>
        </xdr:cNvPr>
        <xdr:cNvCxnSpPr/>
      </xdr:nvCxnSpPr>
      <xdr:spPr>
        <a:xfrm>
          <a:off x="14362557" y="786333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424</xdr:row>
      <xdr:rowOff>69850</xdr:rowOff>
    </xdr:from>
    <xdr:to>
      <xdr:col>7</xdr:col>
      <xdr:colOff>217932</xdr:colOff>
      <xdr:row>434</xdr:row>
      <xdr:rowOff>90171</xdr:rowOff>
    </xdr:to>
    <xdr:cxnSp macro="_xll.PtreeEvent_ObjectClick">
      <xdr:nvCxnSpPr>
        <xdr:cNvPr id="858" name="PTObj_DBranchDLine_1_215">
          <a:extLst>
            <a:ext uri="{FF2B5EF4-FFF2-40B4-BE49-F238E27FC236}">
              <a16:creationId xmlns:a16="http://schemas.microsoft.com/office/drawing/2014/main" id="{9EDD6A4E-9BFD-474E-9E54-B92A36CBBB2E}"/>
            </a:ext>
          </a:extLst>
        </xdr:cNvPr>
        <xdr:cNvCxnSpPr/>
      </xdr:nvCxnSpPr>
      <xdr:spPr>
        <a:xfrm>
          <a:off x="14210157" y="76803250"/>
          <a:ext cx="152400" cy="18300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422</xdr:row>
      <xdr:rowOff>67308</xdr:rowOff>
    </xdr:from>
    <xdr:to>
      <xdr:col>11</xdr:col>
      <xdr:colOff>1384111</xdr:colOff>
      <xdr:row>422</xdr:row>
      <xdr:rowOff>67308</xdr:rowOff>
    </xdr:to>
    <xdr:cxnSp macro="_xll.PtreeEvent_ObjectClick">
      <xdr:nvCxnSpPr>
        <xdr:cNvPr id="855" name="PTObj_DBranchHLine_1_209">
          <a:extLst>
            <a:ext uri="{FF2B5EF4-FFF2-40B4-BE49-F238E27FC236}">
              <a16:creationId xmlns:a16="http://schemas.microsoft.com/office/drawing/2014/main" id="{B6CA6F84-98F3-43A6-9F61-AB47CD68DB91}"/>
            </a:ext>
          </a:extLst>
        </xdr:cNvPr>
        <xdr:cNvCxnSpPr/>
      </xdr:nvCxnSpPr>
      <xdr:spPr>
        <a:xfrm>
          <a:off x="20056601" y="764387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420</xdr:row>
      <xdr:rowOff>58415</xdr:rowOff>
    </xdr:from>
    <xdr:to>
      <xdr:col>11</xdr:col>
      <xdr:colOff>196976</xdr:colOff>
      <xdr:row>422</xdr:row>
      <xdr:rowOff>67308</xdr:rowOff>
    </xdr:to>
    <xdr:cxnSp macro="_xll.PtreeEvent_ObjectClick">
      <xdr:nvCxnSpPr>
        <xdr:cNvPr id="854" name="PTObj_DBranchDLine_1_209">
          <a:extLst>
            <a:ext uri="{FF2B5EF4-FFF2-40B4-BE49-F238E27FC236}">
              <a16:creationId xmlns:a16="http://schemas.microsoft.com/office/drawing/2014/main" id="{384E2FD4-EBDD-4D6F-B0A8-9A623F7DA7BD}"/>
            </a:ext>
          </a:extLst>
        </xdr:cNvPr>
        <xdr:cNvCxnSpPr/>
      </xdr:nvCxnSpPr>
      <xdr:spPr>
        <a:xfrm>
          <a:off x="19904201" y="760679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420</xdr:row>
      <xdr:rowOff>63500</xdr:rowOff>
    </xdr:from>
    <xdr:to>
      <xdr:col>10</xdr:col>
      <xdr:colOff>1392681</xdr:colOff>
      <xdr:row>420</xdr:row>
      <xdr:rowOff>63500</xdr:rowOff>
    </xdr:to>
    <xdr:cxnSp macro="_xll.PtreeEvent_ObjectClick">
      <xdr:nvCxnSpPr>
        <xdr:cNvPr id="851" name="PTObj_DBranchHLine_1_208">
          <a:extLst>
            <a:ext uri="{FF2B5EF4-FFF2-40B4-BE49-F238E27FC236}">
              <a16:creationId xmlns:a16="http://schemas.microsoft.com/office/drawing/2014/main" id="{E898385F-C931-4D1E-B755-DE9EDB84D233}"/>
            </a:ext>
          </a:extLst>
        </xdr:cNvPr>
        <xdr:cNvCxnSpPr/>
      </xdr:nvCxnSpPr>
      <xdr:spPr>
        <a:xfrm>
          <a:off x="18628804" y="76073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418</xdr:row>
      <xdr:rowOff>54608</xdr:rowOff>
    </xdr:from>
    <xdr:to>
      <xdr:col>10</xdr:col>
      <xdr:colOff>197929</xdr:colOff>
      <xdr:row>420</xdr:row>
      <xdr:rowOff>63500</xdr:rowOff>
    </xdr:to>
    <xdr:cxnSp macro="_xll.PtreeEvent_ObjectClick">
      <xdr:nvCxnSpPr>
        <xdr:cNvPr id="850" name="PTObj_DBranchDLine_1_208">
          <a:extLst>
            <a:ext uri="{FF2B5EF4-FFF2-40B4-BE49-F238E27FC236}">
              <a16:creationId xmlns:a16="http://schemas.microsoft.com/office/drawing/2014/main" id="{418C62A9-C18C-4DE4-9B2F-29F7B49552C2}"/>
            </a:ext>
          </a:extLst>
        </xdr:cNvPr>
        <xdr:cNvCxnSpPr/>
      </xdr:nvCxnSpPr>
      <xdr:spPr>
        <a:xfrm>
          <a:off x="18476404" y="757021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418</xdr:row>
      <xdr:rowOff>59692</xdr:rowOff>
    </xdr:from>
    <xdr:to>
      <xdr:col>9</xdr:col>
      <xdr:colOff>1388870</xdr:colOff>
      <xdr:row>418</xdr:row>
      <xdr:rowOff>59692</xdr:rowOff>
    </xdr:to>
    <xdr:cxnSp macro="_xll.PtreeEvent_ObjectClick">
      <xdr:nvCxnSpPr>
        <xdr:cNvPr id="847" name="PTObj_DBranchHLine_1_207">
          <a:extLst>
            <a:ext uri="{FF2B5EF4-FFF2-40B4-BE49-F238E27FC236}">
              <a16:creationId xmlns:a16="http://schemas.microsoft.com/office/drawing/2014/main" id="{60845DEA-6AA5-4F9B-B004-41928F3AAC9E}"/>
            </a:ext>
          </a:extLst>
        </xdr:cNvPr>
        <xdr:cNvCxnSpPr/>
      </xdr:nvCxnSpPr>
      <xdr:spPr>
        <a:xfrm>
          <a:off x="17206720" y="75707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416</xdr:row>
      <xdr:rowOff>46992</xdr:rowOff>
    </xdr:from>
    <xdr:to>
      <xdr:col>9</xdr:col>
      <xdr:colOff>204595</xdr:colOff>
      <xdr:row>418</xdr:row>
      <xdr:rowOff>59692</xdr:rowOff>
    </xdr:to>
    <xdr:cxnSp macro="_xll.PtreeEvent_ObjectClick">
      <xdr:nvCxnSpPr>
        <xdr:cNvPr id="846" name="PTObj_DBranchDLine_1_207">
          <a:extLst>
            <a:ext uri="{FF2B5EF4-FFF2-40B4-BE49-F238E27FC236}">
              <a16:creationId xmlns:a16="http://schemas.microsoft.com/office/drawing/2014/main" id="{A0ED0DF6-F349-4A50-9664-D36D68353CFA}"/>
            </a:ext>
          </a:extLst>
        </xdr:cNvPr>
        <xdr:cNvCxnSpPr/>
      </xdr:nvCxnSpPr>
      <xdr:spPr>
        <a:xfrm>
          <a:off x="17054320" y="75332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416</xdr:row>
      <xdr:rowOff>55879</xdr:rowOff>
    </xdr:from>
    <xdr:to>
      <xdr:col>8</xdr:col>
      <xdr:colOff>1392681</xdr:colOff>
      <xdr:row>416</xdr:row>
      <xdr:rowOff>55879</xdr:rowOff>
    </xdr:to>
    <xdr:cxnSp macro="_xll.PtreeEvent_ObjectClick">
      <xdr:nvCxnSpPr>
        <xdr:cNvPr id="843" name="PTObj_DBranchHLine_1_206">
          <a:extLst>
            <a:ext uri="{FF2B5EF4-FFF2-40B4-BE49-F238E27FC236}">
              <a16:creationId xmlns:a16="http://schemas.microsoft.com/office/drawing/2014/main" id="{1C876B4E-937B-4AA7-AC27-8A0E7112C462}"/>
            </a:ext>
          </a:extLst>
        </xdr:cNvPr>
        <xdr:cNvCxnSpPr/>
      </xdr:nvCxnSpPr>
      <xdr:spPr>
        <a:xfrm>
          <a:off x="15782734" y="75341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414</xdr:row>
      <xdr:rowOff>42230</xdr:rowOff>
    </xdr:from>
    <xdr:to>
      <xdr:col>8</xdr:col>
      <xdr:colOff>209359</xdr:colOff>
      <xdr:row>416</xdr:row>
      <xdr:rowOff>55879</xdr:rowOff>
    </xdr:to>
    <xdr:cxnSp macro="_xll.PtreeEvent_ObjectClick">
      <xdr:nvCxnSpPr>
        <xdr:cNvPr id="842" name="PTObj_DBranchDLine_1_206">
          <a:extLst>
            <a:ext uri="{FF2B5EF4-FFF2-40B4-BE49-F238E27FC236}">
              <a16:creationId xmlns:a16="http://schemas.microsoft.com/office/drawing/2014/main" id="{1B89BB08-3A38-4FA6-BCFF-7CB3905C98F6}"/>
            </a:ext>
          </a:extLst>
        </xdr:cNvPr>
        <xdr:cNvCxnSpPr/>
      </xdr:nvCxnSpPr>
      <xdr:spPr>
        <a:xfrm>
          <a:off x="15630334" y="74965880"/>
          <a:ext cx="152400" cy="37559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412</xdr:row>
      <xdr:rowOff>48258</xdr:rowOff>
    </xdr:from>
    <xdr:to>
      <xdr:col>11</xdr:col>
      <xdr:colOff>1385063</xdr:colOff>
      <xdr:row>412</xdr:row>
      <xdr:rowOff>48258</xdr:rowOff>
    </xdr:to>
    <xdr:cxnSp macro="_xll.PtreeEvent_ObjectClick">
      <xdr:nvCxnSpPr>
        <xdr:cNvPr id="839" name="PTObj_DBranchHLine_1_204">
          <a:extLst>
            <a:ext uri="{FF2B5EF4-FFF2-40B4-BE49-F238E27FC236}">
              <a16:creationId xmlns:a16="http://schemas.microsoft.com/office/drawing/2014/main" id="{184118BC-08A6-4C7B-AA90-2AE31CBEB692}"/>
            </a:ext>
          </a:extLst>
        </xdr:cNvPr>
        <xdr:cNvCxnSpPr/>
      </xdr:nvCxnSpPr>
      <xdr:spPr>
        <a:xfrm>
          <a:off x="20056601" y="74609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410</xdr:row>
      <xdr:rowOff>35551</xdr:rowOff>
    </xdr:from>
    <xdr:to>
      <xdr:col>11</xdr:col>
      <xdr:colOff>196976</xdr:colOff>
      <xdr:row>412</xdr:row>
      <xdr:rowOff>48258</xdr:rowOff>
    </xdr:to>
    <xdr:cxnSp macro="_xll.PtreeEvent_ObjectClick">
      <xdr:nvCxnSpPr>
        <xdr:cNvPr id="838" name="PTObj_DBranchDLine_1_204">
          <a:extLst>
            <a:ext uri="{FF2B5EF4-FFF2-40B4-BE49-F238E27FC236}">
              <a16:creationId xmlns:a16="http://schemas.microsoft.com/office/drawing/2014/main" id="{B240230E-FB2E-497F-BBE6-A0796AC1D430}"/>
            </a:ext>
          </a:extLst>
        </xdr:cNvPr>
        <xdr:cNvCxnSpPr/>
      </xdr:nvCxnSpPr>
      <xdr:spPr>
        <a:xfrm>
          <a:off x="19904201" y="74235301"/>
          <a:ext cx="152400" cy="3746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410</xdr:row>
      <xdr:rowOff>44450</xdr:rowOff>
    </xdr:from>
    <xdr:to>
      <xdr:col>10</xdr:col>
      <xdr:colOff>1392681</xdr:colOff>
      <xdr:row>410</xdr:row>
      <xdr:rowOff>44450</xdr:rowOff>
    </xdr:to>
    <xdr:cxnSp macro="_xll.PtreeEvent_ObjectClick">
      <xdr:nvCxnSpPr>
        <xdr:cNvPr id="835" name="PTObj_DBranchHLine_1_203">
          <a:extLst>
            <a:ext uri="{FF2B5EF4-FFF2-40B4-BE49-F238E27FC236}">
              <a16:creationId xmlns:a16="http://schemas.microsoft.com/office/drawing/2014/main" id="{12105C2D-2C62-4104-9741-661D558D7C53}"/>
            </a:ext>
          </a:extLst>
        </xdr:cNvPr>
        <xdr:cNvCxnSpPr/>
      </xdr:nvCxnSpPr>
      <xdr:spPr>
        <a:xfrm>
          <a:off x="18628804" y="74244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408</xdr:row>
      <xdr:rowOff>39365</xdr:rowOff>
    </xdr:from>
    <xdr:to>
      <xdr:col>10</xdr:col>
      <xdr:colOff>197929</xdr:colOff>
      <xdr:row>410</xdr:row>
      <xdr:rowOff>44450</xdr:rowOff>
    </xdr:to>
    <xdr:cxnSp macro="_xll.PtreeEvent_ObjectClick">
      <xdr:nvCxnSpPr>
        <xdr:cNvPr id="834" name="PTObj_DBranchDLine_1_203">
          <a:extLst>
            <a:ext uri="{FF2B5EF4-FFF2-40B4-BE49-F238E27FC236}">
              <a16:creationId xmlns:a16="http://schemas.microsoft.com/office/drawing/2014/main" id="{3C6909FE-A026-4CF4-9B6B-2A41161FFA77}"/>
            </a:ext>
          </a:extLst>
        </xdr:cNvPr>
        <xdr:cNvCxnSpPr/>
      </xdr:nvCxnSpPr>
      <xdr:spPr>
        <a:xfrm>
          <a:off x="18476404" y="738771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408</xdr:row>
      <xdr:rowOff>40642</xdr:rowOff>
    </xdr:from>
    <xdr:to>
      <xdr:col>9</xdr:col>
      <xdr:colOff>1388870</xdr:colOff>
      <xdr:row>408</xdr:row>
      <xdr:rowOff>40642</xdr:rowOff>
    </xdr:to>
    <xdr:cxnSp macro="_xll.PtreeEvent_ObjectClick">
      <xdr:nvCxnSpPr>
        <xdr:cNvPr id="831" name="PTObj_DBranchHLine_1_202">
          <a:extLst>
            <a:ext uri="{FF2B5EF4-FFF2-40B4-BE49-F238E27FC236}">
              <a16:creationId xmlns:a16="http://schemas.microsoft.com/office/drawing/2014/main" id="{9DBA099C-886A-445F-B3FD-592A5791A3BF}"/>
            </a:ext>
          </a:extLst>
        </xdr:cNvPr>
        <xdr:cNvCxnSpPr/>
      </xdr:nvCxnSpPr>
      <xdr:spPr>
        <a:xfrm>
          <a:off x="17206720" y="73878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406</xdr:row>
      <xdr:rowOff>35564</xdr:rowOff>
    </xdr:from>
    <xdr:to>
      <xdr:col>9</xdr:col>
      <xdr:colOff>204595</xdr:colOff>
      <xdr:row>408</xdr:row>
      <xdr:rowOff>40642</xdr:rowOff>
    </xdr:to>
    <xdr:cxnSp macro="_xll.PtreeEvent_ObjectClick">
      <xdr:nvCxnSpPr>
        <xdr:cNvPr id="830" name="PTObj_DBranchDLine_1_202">
          <a:extLst>
            <a:ext uri="{FF2B5EF4-FFF2-40B4-BE49-F238E27FC236}">
              <a16:creationId xmlns:a16="http://schemas.microsoft.com/office/drawing/2014/main" id="{57057771-288C-4434-8825-33D27C416BE2}"/>
            </a:ext>
          </a:extLst>
        </xdr:cNvPr>
        <xdr:cNvCxnSpPr/>
      </xdr:nvCxnSpPr>
      <xdr:spPr>
        <a:xfrm>
          <a:off x="17054320" y="73511414"/>
          <a:ext cx="152400" cy="3670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406</xdr:row>
      <xdr:rowOff>36829</xdr:rowOff>
    </xdr:from>
    <xdr:to>
      <xdr:col>8</xdr:col>
      <xdr:colOff>1392681</xdr:colOff>
      <xdr:row>406</xdr:row>
      <xdr:rowOff>36829</xdr:rowOff>
    </xdr:to>
    <xdr:cxnSp macro="_xll.PtreeEvent_ObjectClick">
      <xdr:nvCxnSpPr>
        <xdr:cNvPr id="827" name="PTObj_DBranchHLine_1_201">
          <a:extLst>
            <a:ext uri="{FF2B5EF4-FFF2-40B4-BE49-F238E27FC236}">
              <a16:creationId xmlns:a16="http://schemas.microsoft.com/office/drawing/2014/main" id="{284F70F0-C573-468A-BAB5-68F027F9F0B3}"/>
            </a:ext>
          </a:extLst>
        </xdr:cNvPr>
        <xdr:cNvCxnSpPr/>
      </xdr:nvCxnSpPr>
      <xdr:spPr>
        <a:xfrm>
          <a:off x="15782734" y="73512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406</xdr:row>
      <xdr:rowOff>36829</xdr:rowOff>
    </xdr:from>
    <xdr:to>
      <xdr:col>8</xdr:col>
      <xdr:colOff>209359</xdr:colOff>
      <xdr:row>414</xdr:row>
      <xdr:rowOff>42230</xdr:rowOff>
    </xdr:to>
    <xdr:cxnSp macro="_xll.PtreeEvent_ObjectClick">
      <xdr:nvCxnSpPr>
        <xdr:cNvPr id="826" name="PTObj_DBranchDLine_1_201">
          <a:extLst>
            <a:ext uri="{FF2B5EF4-FFF2-40B4-BE49-F238E27FC236}">
              <a16:creationId xmlns:a16="http://schemas.microsoft.com/office/drawing/2014/main" id="{3F413775-8EDB-4D94-ACA9-3A755A786CF1}"/>
            </a:ext>
          </a:extLst>
        </xdr:cNvPr>
        <xdr:cNvCxnSpPr/>
      </xdr:nvCxnSpPr>
      <xdr:spPr>
        <a:xfrm flipV="1">
          <a:off x="15630334" y="73512679"/>
          <a:ext cx="152400" cy="145320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414</xdr:row>
      <xdr:rowOff>52071</xdr:rowOff>
    </xdr:from>
    <xdr:to>
      <xdr:col>7</xdr:col>
      <xdr:colOff>1398397</xdr:colOff>
      <xdr:row>414</xdr:row>
      <xdr:rowOff>52071</xdr:rowOff>
    </xdr:to>
    <xdr:cxnSp macro="_xll.PtreeEvent_ObjectClick">
      <xdr:nvCxnSpPr>
        <xdr:cNvPr id="823" name="PTObj_DBranchHLine_1_205">
          <a:extLst>
            <a:ext uri="{FF2B5EF4-FFF2-40B4-BE49-F238E27FC236}">
              <a16:creationId xmlns:a16="http://schemas.microsoft.com/office/drawing/2014/main" id="{F5F1FC5F-B0A7-4129-A195-52A3A121F198}"/>
            </a:ext>
          </a:extLst>
        </xdr:cNvPr>
        <xdr:cNvCxnSpPr/>
      </xdr:nvCxnSpPr>
      <xdr:spPr>
        <a:xfrm>
          <a:off x="14360652" y="749757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414</xdr:row>
      <xdr:rowOff>52071</xdr:rowOff>
    </xdr:from>
    <xdr:to>
      <xdr:col>7</xdr:col>
      <xdr:colOff>216027</xdr:colOff>
      <xdr:row>424</xdr:row>
      <xdr:rowOff>71754</xdr:rowOff>
    </xdr:to>
    <xdr:cxnSp macro="_xll.PtreeEvent_ObjectClick">
      <xdr:nvCxnSpPr>
        <xdr:cNvPr id="822" name="PTObj_DBranchDLine_1_205">
          <a:extLst>
            <a:ext uri="{FF2B5EF4-FFF2-40B4-BE49-F238E27FC236}">
              <a16:creationId xmlns:a16="http://schemas.microsoft.com/office/drawing/2014/main" id="{CCF2EA35-195B-4595-A173-7E87F47A5B16}"/>
            </a:ext>
          </a:extLst>
        </xdr:cNvPr>
        <xdr:cNvCxnSpPr/>
      </xdr:nvCxnSpPr>
      <xdr:spPr>
        <a:xfrm flipV="1">
          <a:off x="14208252" y="74975721"/>
          <a:ext cx="152400" cy="18294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424</xdr:row>
      <xdr:rowOff>71121</xdr:rowOff>
    </xdr:from>
    <xdr:to>
      <xdr:col>6</xdr:col>
      <xdr:colOff>1402207</xdr:colOff>
      <xdr:row>424</xdr:row>
      <xdr:rowOff>71121</xdr:rowOff>
    </xdr:to>
    <xdr:cxnSp macro="_xll.PtreeEvent_ObjectClick">
      <xdr:nvCxnSpPr>
        <xdr:cNvPr id="819" name="PTObj_DBranchHLine_1_210">
          <a:extLst>
            <a:ext uri="{FF2B5EF4-FFF2-40B4-BE49-F238E27FC236}">
              <a16:creationId xmlns:a16="http://schemas.microsoft.com/office/drawing/2014/main" id="{5189232F-B33A-485D-A385-1CB138A01D2B}"/>
            </a:ext>
          </a:extLst>
        </xdr:cNvPr>
        <xdr:cNvCxnSpPr/>
      </xdr:nvCxnSpPr>
      <xdr:spPr>
        <a:xfrm>
          <a:off x="12938569" y="76804521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424</xdr:row>
      <xdr:rowOff>71121</xdr:rowOff>
    </xdr:from>
    <xdr:to>
      <xdr:col>6</xdr:col>
      <xdr:colOff>222694</xdr:colOff>
      <xdr:row>444</xdr:row>
      <xdr:rowOff>104136</xdr:rowOff>
    </xdr:to>
    <xdr:cxnSp macro="_xll.PtreeEvent_ObjectClick">
      <xdr:nvCxnSpPr>
        <xdr:cNvPr id="818" name="PTObj_DBranchDLine_1_210">
          <a:extLst>
            <a:ext uri="{FF2B5EF4-FFF2-40B4-BE49-F238E27FC236}">
              <a16:creationId xmlns:a16="http://schemas.microsoft.com/office/drawing/2014/main" id="{48655C2C-73D5-45BE-92AE-C6C76E5FFBBB}"/>
            </a:ext>
          </a:extLst>
        </xdr:cNvPr>
        <xdr:cNvCxnSpPr/>
      </xdr:nvCxnSpPr>
      <xdr:spPr>
        <a:xfrm flipV="1">
          <a:off x="12786169" y="76804521"/>
          <a:ext cx="152400" cy="36525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444</xdr:row>
      <xdr:rowOff>109221</xdr:rowOff>
    </xdr:from>
    <xdr:to>
      <xdr:col>5</xdr:col>
      <xdr:colOff>1407922</xdr:colOff>
      <xdr:row>444</xdr:row>
      <xdr:rowOff>109221</xdr:rowOff>
    </xdr:to>
    <xdr:cxnSp macro="_xll.PtreeEvent_ObjectClick">
      <xdr:nvCxnSpPr>
        <xdr:cNvPr id="815" name="PTObj_DBranchHLine_1_220">
          <a:extLst>
            <a:ext uri="{FF2B5EF4-FFF2-40B4-BE49-F238E27FC236}">
              <a16:creationId xmlns:a16="http://schemas.microsoft.com/office/drawing/2014/main" id="{01205C66-7257-4731-927D-59FD25F11284}"/>
            </a:ext>
          </a:extLst>
        </xdr:cNvPr>
        <xdr:cNvCxnSpPr/>
      </xdr:nvCxnSpPr>
      <xdr:spPr>
        <a:xfrm>
          <a:off x="11512676" y="80462121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404</xdr:row>
      <xdr:rowOff>31750</xdr:rowOff>
    </xdr:from>
    <xdr:to>
      <xdr:col>5</xdr:col>
      <xdr:colOff>225551</xdr:colOff>
      <xdr:row>444</xdr:row>
      <xdr:rowOff>109221</xdr:rowOff>
    </xdr:to>
    <xdr:cxnSp macro="_xll.PtreeEvent_ObjectClick">
      <xdr:nvCxnSpPr>
        <xdr:cNvPr id="814" name="PTObj_DBranchDLine_1_220">
          <a:extLst>
            <a:ext uri="{FF2B5EF4-FFF2-40B4-BE49-F238E27FC236}">
              <a16:creationId xmlns:a16="http://schemas.microsoft.com/office/drawing/2014/main" id="{B883BCF1-F3E7-4D48-ADA9-8CB5A5BBF07A}"/>
            </a:ext>
          </a:extLst>
        </xdr:cNvPr>
        <xdr:cNvCxnSpPr/>
      </xdr:nvCxnSpPr>
      <xdr:spPr>
        <a:xfrm>
          <a:off x="11360276" y="73145650"/>
          <a:ext cx="152400" cy="73164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402</xdr:row>
      <xdr:rowOff>29208</xdr:rowOff>
    </xdr:from>
    <xdr:to>
      <xdr:col>11</xdr:col>
      <xdr:colOff>1384111</xdr:colOff>
      <xdr:row>402</xdr:row>
      <xdr:rowOff>29208</xdr:rowOff>
    </xdr:to>
    <xdr:cxnSp macro="_xll.PtreeEvent_ObjectClick">
      <xdr:nvCxnSpPr>
        <xdr:cNvPr id="811" name="PTObj_DBranchHLine_1_199">
          <a:extLst>
            <a:ext uri="{FF2B5EF4-FFF2-40B4-BE49-F238E27FC236}">
              <a16:creationId xmlns:a16="http://schemas.microsoft.com/office/drawing/2014/main" id="{C510E6A3-E973-4FDD-B289-8285B1845167}"/>
            </a:ext>
          </a:extLst>
        </xdr:cNvPr>
        <xdr:cNvCxnSpPr/>
      </xdr:nvCxnSpPr>
      <xdr:spPr>
        <a:xfrm>
          <a:off x="20056601" y="727811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400</xdr:row>
      <xdr:rowOff>20315</xdr:rowOff>
    </xdr:from>
    <xdr:to>
      <xdr:col>11</xdr:col>
      <xdr:colOff>196976</xdr:colOff>
      <xdr:row>402</xdr:row>
      <xdr:rowOff>29208</xdr:rowOff>
    </xdr:to>
    <xdr:cxnSp macro="_xll.PtreeEvent_ObjectClick">
      <xdr:nvCxnSpPr>
        <xdr:cNvPr id="810" name="PTObj_DBranchDLine_1_199">
          <a:extLst>
            <a:ext uri="{FF2B5EF4-FFF2-40B4-BE49-F238E27FC236}">
              <a16:creationId xmlns:a16="http://schemas.microsoft.com/office/drawing/2014/main" id="{5736851A-2512-4862-8477-301EF98320B0}"/>
            </a:ext>
          </a:extLst>
        </xdr:cNvPr>
        <xdr:cNvCxnSpPr/>
      </xdr:nvCxnSpPr>
      <xdr:spPr>
        <a:xfrm>
          <a:off x="19904201" y="724103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400</xdr:row>
      <xdr:rowOff>25400</xdr:rowOff>
    </xdr:from>
    <xdr:to>
      <xdr:col>10</xdr:col>
      <xdr:colOff>1392681</xdr:colOff>
      <xdr:row>400</xdr:row>
      <xdr:rowOff>25400</xdr:rowOff>
    </xdr:to>
    <xdr:cxnSp macro="_xll.PtreeEvent_ObjectClick">
      <xdr:nvCxnSpPr>
        <xdr:cNvPr id="807" name="PTObj_DBranchHLine_1_198">
          <a:extLst>
            <a:ext uri="{FF2B5EF4-FFF2-40B4-BE49-F238E27FC236}">
              <a16:creationId xmlns:a16="http://schemas.microsoft.com/office/drawing/2014/main" id="{83B4D1DE-9486-440D-BAA4-92A303C529DB}"/>
            </a:ext>
          </a:extLst>
        </xdr:cNvPr>
        <xdr:cNvCxnSpPr/>
      </xdr:nvCxnSpPr>
      <xdr:spPr>
        <a:xfrm>
          <a:off x="18628804" y="72415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398</xdr:row>
      <xdr:rowOff>16508</xdr:rowOff>
    </xdr:from>
    <xdr:to>
      <xdr:col>10</xdr:col>
      <xdr:colOff>197929</xdr:colOff>
      <xdr:row>400</xdr:row>
      <xdr:rowOff>25400</xdr:rowOff>
    </xdr:to>
    <xdr:cxnSp macro="_xll.PtreeEvent_ObjectClick">
      <xdr:nvCxnSpPr>
        <xdr:cNvPr id="806" name="PTObj_DBranchDLine_1_198">
          <a:extLst>
            <a:ext uri="{FF2B5EF4-FFF2-40B4-BE49-F238E27FC236}">
              <a16:creationId xmlns:a16="http://schemas.microsoft.com/office/drawing/2014/main" id="{E68B6248-CF5F-4D1F-8269-D02642CB8DA4}"/>
            </a:ext>
          </a:extLst>
        </xdr:cNvPr>
        <xdr:cNvCxnSpPr/>
      </xdr:nvCxnSpPr>
      <xdr:spPr>
        <a:xfrm>
          <a:off x="18476404" y="720445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398</xdr:row>
      <xdr:rowOff>21592</xdr:rowOff>
    </xdr:from>
    <xdr:to>
      <xdr:col>9</xdr:col>
      <xdr:colOff>1388870</xdr:colOff>
      <xdr:row>398</xdr:row>
      <xdr:rowOff>21592</xdr:rowOff>
    </xdr:to>
    <xdr:cxnSp macro="_xll.PtreeEvent_ObjectClick">
      <xdr:nvCxnSpPr>
        <xdr:cNvPr id="803" name="PTObj_DBranchHLine_1_197">
          <a:extLst>
            <a:ext uri="{FF2B5EF4-FFF2-40B4-BE49-F238E27FC236}">
              <a16:creationId xmlns:a16="http://schemas.microsoft.com/office/drawing/2014/main" id="{289FB628-93CF-410F-9632-0D9D0C38820D}"/>
            </a:ext>
          </a:extLst>
        </xdr:cNvPr>
        <xdr:cNvCxnSpPr/>
      </xdr:nvCxnSpPr>
      <xdr:spPr>
        <a:xfrm>
          <a:off x="17206720" y="72049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396</xdr:row>
      <xdr:rowOff>8892</xdr:rowOff>
    </xdr:from>
    <xdr:to>
      <xdr:col>9</xdr:col>
      <xdr:colOff>204595</xdr:colOff>
      <xdr:row>398</xdr:row>
      <xdr:rowOff>21592</xdr:rowOff>
    </xdr:to>
    <xdr:cxnSp macro="_xll.PtreeEvent_ObjectClick">
      <xdr:nvCxnSpPr>
        <xdr:cNvPr id="802" name="PTObj_DBranchDLine_1_197">
          <a:extLst>
            <a:ext uri="{FF2B5EF4-FFF2-40B4-BE49-F238E27FC236}">
              <a16:creationId xmlns:a16="http://schemas.microsoft.com/office/drawing/2014/main" id="{04E838B3-EC78-4D89-B01C-619BAAEFF3DB}"/>
            </a:ext>
          </a:extLst>
        </xdr:cNvPr>
        <xdr:cNvCxnSpPr/>
      </xdr:nvCxnSpPr>
      <xdr:spPr>
        <a:xfrm>
          <a:off x="17054320" y="71674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396</xdr:row>
      <xdr:rowOff>17779</xdr:rowOff>
    </xdr:from>
    <xdr:to>
      <xdr:col>8</xdr:col>
      <xdr:colOff>1392681</xdr:colOff>
      <xdr:row>396</xdr:row>
      <xdr:rowOff>17779</xdr:rowOff>
    </xdr:to>
    <xdr:cxnSp macro="_xll.PtreeEvent_ObjectClick">
      <xdr:nvCxnSpPr>
        <xdr:cNvPr id="799" name="PTObj_DBranchHLine_1_196">
          <a:extLst>
            <a:ext uri="{FF2B5EF4-FFF2-40B4-BE49-F238E27FC236}">
              <a16:creationId xmlns:a16="http://schemas.microsoft.com/office/drawing/2014/main" id="{DF4217D9-C15F-408D-B36A-89D94E051CED}"/>
            </a:ext>
          </a:extLst>
        </xdr:cNvPr>
        <xdr:cNvCxnSpPr/>
      </xdr:nvCxnSpPr>
      <xdr:spPr>
        <a:xfrm>
          <a:off x="15782734" y="71683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394</xdr:row>
      <xdr:rowOff>4130</xdr:rowOff>
    </xdr:from>
    <xdr:to>
      <xdr:col>8</xdr:col>
      <xdr:colOff>209359</xdr:colOff>
      <xdr:row>396</xdr:row>
      <xdr:rowOff>17779</xdr:rowOff>
    </xdr:to>
    <xdr:cxnSp macro="_xll.PtreeEvent_ObjectClick">
      <xdr:nvCxnSpPr>
        <xdr:cNvPr id="798" name="PTObj_DBranchDLine_1_196">
          <a:extLst>
            <a:ext uri="{FF2B5EF4-FFF2-40B4-BE49-F238E27FC236}">
              <a16:creationId xmlns:a16="http://schemas.microsoft.com/office/drawing/2014/main" id="{F0CDC563-B746-4E62-A85B-2EDA9FCB736C}"/>
            </a:ext>
          </a:extLst>
        </xdr:cNvPr>
        <xdr:cNvCxnSpPr/>
      </xdr:nvCxnSpPr>
      <xdr:spPr>
        <a:xfrm>
          <a:off x="15630334" y="71308280"/>
          <a:ext cx="152400" cy="37559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392</xdr:row>
      <xdr:rowOff>10158</xdr:rowOff>
    </xdr:from>
    <xdr:to>
      <xdr:col>11</xdr:col>
      <xdr:colOff>1385063</xdr:colOff>
      <xdr:row>392</xdr:row>
      <xdr:rowOff>10158</xdr:rowOff>
    </xdr:to>
    <xdr:cxnSp macro="_xll.PtreeEvent_ObjectClick">
      <xdr:nvCxnSpPr>
        <xdr:cNvPr id="795" name="PTObj_DBranchHLine_1_194">
          <a:extLst>
            <a:ext uri="{FF2B5EF4-FFF2-40B4-BE49-F238E27FC236}">
              <a16:creationId xmlns:a16="http://schemas.microsoft.com/office/drawing/2014/main" id="{397960B0-0CAC-4BE9-9493-4636A41EFE9C}"/>
            </a:ext>
          </a:extLst>
        </xdr:cNvPr>
        <xdr:cNvCxnSpPr/>
      </xdr:nvCxnSpPr>
      <xdr:spPr>
        <a:xfrm>
          <a:off x="20056601" y="70952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389</xdr:row>
      <xdr:rowOff>178426</xdr:rowOff>
    </xdr:from>
    <xdr:to>
      <xdr:col>11</xdr:col>
      <xdr:colOff>196976</xdr:colOff>
      <xdr:row>392</xdr:row>
      <xdr:rowOff>10158</xdr:rowOff>
    </xdr:to>
    <xdr:cxnSp macro="_xll.PtreeEvent_ObjectClick">
      <xdr:nvCxnSpPr>
        <xdr:cNvPr id="794" name="PTObj_DBranchDLine_1_194">
          <a:extLst>
            <a:ext uri="{FF2B5EF4-FFF2-40B4-BE49-F238E27FC236}">
              <a16:creationId xmlns:a16="http://schemas.microsoft.com/office/drawing/2014/main" id="{7B386B67-598F-4A3D-95C1-413C4E95BC42}"/>
            </a:ext>
          </a:extLst>
        </xdr:cNvPr>
        <xdr:cNvCxnSpPr/>
      </xdr:nvCxnSpPr>
      <xdr:spPr>
        <a:xfrm>
          <a:off x="19904201" y="70577701"/>
          <a:ext cx="152400" cy="3746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390</xdr:row>
      <xdr:rowOff>6350</xdr:rowOff>
    </xdr:from>
    <xdr:to>
      <xdr:col>10</xdr:col>
      <xdr:colOff>1392681</xdr:colOff>
      <xdr:row>390</xdr:row>
      <xdr:rowOff>6350</xdr:rowOff>
    </xdr:to>
    <xdr:cxnSp macro="_xll.PtreeEvent_ObjectClick">
      <xdr:nvCxnSpPr>
        <xdr:cNvPr id="791" name="PTObj_DBranchHLine_1_193">
          <a:extLst>
            <a:ext uri="{FF2B5EF4-FFF2-40B4-BE49-F238E27FC236}">
              <a16:creationId xmlns:a16="http://schemas.microsoft.com/office/drawing/2014/main" id="{C82F7A77-1B02-48E4-AB22-FA14494BF30B}"/>
            </a:ext>
          </a:extLst>
        </xdr:cNvPr>
        <xdr:cNvCxnSpPr/>
      </xdr:nvCxnSpPr>
      <xdr:spPr>
        <a:xfrm>
          <a:off x="18628804" y="70586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388</xdr:row>
      <xdr:rowOff>1265</xdr:rowOff>
    </xdr:from>
    <xdr:to>
      <xdr:col>10</xdr:col>
      <xdr:colOff>197929</xdr:colOff>
      <xdr:row>390</xdr:row>
      <xdr:rowOff>6350</xdr:rowOff>
    </xdr:to>
    <xdr:cxnSp macro="_xll.PtreeEvent_ObjectClick">
      <xdr:nvCxnSpPr>
        <xdr:cNvPr id="790" name="PTObj_DBranchDLine_1_193">
          <a:extLst>
            <a:ext uri="{FF2B5EF4-FFF2-40B4-BE49-F238E27FC236}">
              <a16:creationId xmlns:a16="http://schemas.microsoft.com/office/drawing/2014/main" id="{C1089525-443E-4424-9D0A-55C5181D7756}"/>
            </a:ext>
          </a:extLst>
        </xdr:cNvPr>
        <xdr:cNvCxnSpPr/>
      </xdr:nvCxnSpPr>
      <xdr:spPr>
        <a:xfrm>
          <a:off x="18476404" y="702195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388</xdr:row>
      <xdr:rowOff>2542</xdr:rowOff>
    </xdr:from>
    <xdr:to>
      <xdr:col>9</xdr:col>
      <xdr:colOff>1388870</xdr:colOff>
      <xdr:row>388</xdr:row>
      <xdr:rowOff>2542</xdr:rowOff>
    </xdr:to>
    <xdr:cxnSp macro="_xll.PtreeEvent_ObjectClick">
      <xdr:nvCxnSpPr>
        <xdr:cNvPr id="787" name="PTObj_DBranchHLine_1_192">
          <a:extLst>
            <a:ext uri="{FF2B5EF4-FFF2-40B4-BE49-F238E27FC236}">
              <a16:creationId xmlns:a16="http://schemas.microsoft.com/office/drawing/2014/main" id="{1F312A47-C211-4963-B3FE-2B42E9FA321E}"/>
            </a:ext>
          </a:extLst>
        </xdr:cNvPr>
        <xdr:cNvCxnSpPr/>
      </xdr:nvCxnSpPr>
      <xdr:spPr>
        <a:xfrm>
          <a:off x="17206720" y="70220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385</xdr:row>
      <xdr:rowOff>178439</xdr:rowOff>
    </xdr:from>
    <xdr:to>
      <xdr:col>9</xdr:col>
      <xdr:colOff>204595</xdr:colOff>
      <xdr:row>388</xdr:row>
      <xdr:rowOff>2542</xdr:rowOff>
    </xdr:to>
    <xdr:cxnSp macro="_xll.PtreeEvent_ObjectClick">
      <xdr:nvCxnSpPr>
        <xdr:cNvPr id="786" name="PTObj_DBranchDLine_1_192">
          <a:extLst>
            <a:ext uri="{FF2B5EF4-FFF2-40B4-BE49-F238E27FC236}">
              <a16:creationId xmlns:a16="http://schemas.microsoft.com/office/drawing/2014/main" id="{6168DB54-D87E-4818-8C19-F5C269E179F5}"/>
            </a:ext>
          </a:extLst>
        </xdr:cNvPr>
        <xdr:cNvCxnSpPr/>
      </xdr:nvCxnSpPr>
      <xdr:spPr>
        <a:xfrm>
          <a:off x="17054320" y="69853814"/>
          <a:ext cx="152400" cy="3670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385</xdr:row>
      <xdr:rowOff>179704</xdr:rowOff>
    </xdr:from>
    <xdr:to>
      <xdr:col>8</xdr:col>
      <xdr:colOff>1392681</xdr:colOff>
      <xdr:row>385</xdr:row>
      <xdr:rowOff>179704</xdr:rowOff>
    </xdr:to>
    <xdr:cxnSp macro="_xll.PtreeEvent_ObjectClick">
      <xdr:nvCxnSpPr>
        <xdr:cNvPr id="783" name="PTObj_DBranchHLine_1_191">
          <a:extLst>
            <a:ext uri="{FF2B5EF4-FFF2-40B4-BE49-F238E27FC236}">
              <a16:creationId xmlns:a16="http://schemas.microsoft.com/office/drawing/2014/main" id="{CA206029-EF45-4D4A-B672-ABBBEA0EA16B}"/>
            </a:ext>
          </a:extLst>
        </xdr:cNvPr>
        <xdr:cNvCxnSpPr/>
      </xdr:nvCxnSpPr>
      <xdr:spPr>
        <a:xfrm>
          <a:off x="15782734" y="69855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385</xdr:row>
      <xdr:rowOff>179704</xdr:rowOff>
    </xdr:from>
    <xdr:to>
      <xdr:col>8</xdr:col>
      <xdr:colOff>209359</xdr:colOff>
      <xdr:row>394</xdr:row>
      <xdr:rowOff>4130</xdr:rowOff>
    </xdr:to>
    <xdr:cxnSp macro="_xll.PtreeEvent_ObjectClick">
      <xdr:nvCxnSpPr>
        <xdr:cNvPr id="782" name="PTObj_DBranchDLine_1_191">
          <a:extLst>
            <a:ext uri="{FF2B5EF4-FFF2-40B4-BE49-F238E27FC236}">
              <a16:creationId xmlns:a16="http://schemas.microsoft.com/office/drawing/2014/main" id="{02B3E8CA-5802-40CA-A92C-E8F45E0E11B6}"/>
            </a:ext>
          </a:extLst>
        </xdr:cNvPr>
        <xdr:cNvCxnSpPr/>
      </xdr:nvCxnSpPr>
      <xdr:spPr>
        <a:xfrm flipV="1">
          <a:off x="15630334" y="69855079"/>
          <a:ext cx="152400" cy="145320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394</xdr:row>
      <xdr:rowOff>13971</xdr:rowOff>
    </xdr:from>
    <xdr:to>
      <xdr:col>7</xdr:col>
      <xdr:colOff>1398397</xdr:colOff>
      <xdr:row>394</xdr:row>
      <xdr:rowOff>13971</xdr:rowOff>
    </xdr:to>
    <xdr:cxnSp macro="_xll.PtreeEvent_ObjectClick">
      <xdr:nvCxnSpPr>
        <xdr:cNvPr id="779" name="PTObj_DBranchHLine_1_195">
          <a:extLst>
            <a:ext uri="{FF2B5EF4-FFF2-40B4-BE49-F238E27FC236}">
              <a16:creationId xmlns:a16="http://schemas.microsoft.com/office/drawing/2014/main" id="{A673D9F5-2526-49DC-91DA-B5DE6E5C2975}"/>
            </a:ext>
          </a:extLst>
        </xdr:cNvPr>
        <xdr:cNvCxnSpPr/>
      </xdr:nvCxnSpPr>
      <xdr:spPr>
        <a:xfrm>
          <a:off x="14362557" y="713181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383</xdr:row>
      <xdr:rowOff>174625</xdr:rowOff>
    </xdr:from>
    <xdr:to>
      <xdr:col>7</xdr:col>
      <xdr:colOff>217932</xdr:colOff>
      <xdr:row>394</xdr:row>
      <xdr:rowOff>13971</xdr:rowOff>
    </xdr:to>
    <xdr:cxnSp macro="_xll.PtreeEvent_ObjectClick">
      <xdr:nvCxnSpPr>
        <xdr:cNvPr id="778" name="PTObj_DBranchDLine_1_195">
          <a:extLst>
            <a:ext uri="{FF2B5EF4-FFF2-40B4-BE49-F238E27FC236}">
              <a16:creationId xmlns:a16="http://schemas.microsoft.com/office/drawing/2014/main" id="{2A0F2D1C-F7B8-4089-B0A3-B793953B9CA4}"/>
            </a:ext>
          </a:extLst>
        </xdr:cNvPr>
        <xdr:cNvCxnSpPr/>
      </xdr:nvCxnSpPr>
      <xdr:spPr>
        <a:xfrm>
          <a:off x="14210157" y="69488050"/>
          <a:ext cx="152400" cy="18300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381</xdr:row>
      <xdr:rowOff>172083</xdr:rowOff>
    </xdr:from>
    <xdr:to>
      <xdr:col>11</xdr:col>
      <xdr:colOff>1384111</xdr:colOff>
      <xdr:row>381</xdr:row>
      <xdr:rowOff>172083</xdr:rowOff>
    </xdr:to>
    <xdr:cxnSp macro="_xll.PtreeEvent_ObjectClick">
      <xdr:nvCxnSpPr>
        <xdr:cNvPr id="775" name="PTObj_DBranchHLine_1_189">
          <a:extLst>
            <a:ext uri="{FF2B5EF4-FFF2-40B4-BE49-F238E27FC236}">
              <a16:creationId xmlns:a16="http://schemas.microsoft.com/office/drawing/2014/main" id="{E0DD732F-E17C-4129-A4EA-7DEF222784B6}"/>
            </a:ext>
          </a:extLst>
        </xdr:cNvPr>
        <xdr:cNvCxnSpPr/>
      </xdr:nvCxnSpPr>
      <xdr:spPr>
        <a:xfrm>
          <a:off x="20056601" y="691235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379</xdr:row>
      <xdr:rowOff>163190</xdr:rowOff>
    </xdr:from>
    <xdr:to>
      <xdr:col>11</xdr:col>
      <xdr:colOff>196976</xdr:colOff>
      <xdr:row>381</xdr:row>
      <xdr:rowOff>172083</xdr:rowOff>
    </xdr:to>
    <xdr:cxnSp macro="_xll.PtreeEvent_ObjectClick">
      <xdr:nvCxnSpPr>
        <xdr:cNvPr id="774" name="PTObj_DBranchDLine_1_189">
          <a:extLst>
            <a:ext uri="{FF2B5EF4-FFF2-40B4-BE49-F238E27FC236}">
              <a16:creationId xmlns:a16="http://schemas.microsoft.com/office/drawing/2014/main" id="{0667D69B-12A6-401C-8013-88ADF7035B5F}"/>
            </a:ext>
          </a:extLst>
        </xdr:cNvPr>
        <xdr:cNvCxnSpPr/>
      </xdr:nvCxnSpPr>
      <xdr:spPr>
        <a:xfrm>
          <a:off x="19904201" y="687527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379</xdr:row>
      <xdr:rowOff>168275</xdr:rowOff>
    </xdr:from>
    <xdr:to>
      <xdr:col>10</xdr:col>
      <xdr:colOff>1392681</xdr:colOff>
      <xdr:row>379</xdr:row>
      <xdr:rowOff>168275</xdr:rowOff>
    </xdr:to>
    <xdr:cxnSp macro="_xll.PtreeEvent_ObjectClick">
      <xdr:nvCxnSpPr>
        <xdr:cNvPr id="771" name="PTObj_DBranchHLine_1_188">
          <a:extLst>
            <a:ext uri="{FF2B5EF4-FFF2-40B4-BE49-F238E27FC236}">
              <a16:creationId xmlns:a16="http://schemas.microsoft.com/office/drawing/2014/main" id="{6FB4CAE8-B78F-4E5D-9CE7-4D82D2DB826A}"/>
            </a:ext>
          </a:extLst>
        </xdr:cNvPr>
        <xdr:cNvCxnSpPr/>
      </xdr:nvCxnSpPr>
      <xdr:spPr>
        <a:xfrm>
          <a:off x="18628804" y="68757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377</xdr:row>
      <xdr:rowOff>159383</xdr:rowOff>
    </xdr:from>
    <xdr:to>
      <xdr:col>10</xdr:col>
      <xdr:colOff>197929</xdr:colOff>
      <xdr:row>379</xdr:row>
      <xdr:rowOff>168275</xdr:rowOff>
    </xdr:to>
    <xdr:cxnSp macro="_xll.PtreeEvent_ObjectClick">
      <xdr:nvCxnSpPr>
        <xdr:cNvPr id="770" name="PTObj_DBranchDLine_1_188">
          <a:extLst>
            <a:ext uri="{FF2B5EF4-FFF2-40B4-BE49-F238E27FC236}">
              <a16:creationId xmlns:a16="http://schemas.microsoft.com/office/drawing/2014/main" id="{D0323D2D-D748-4CBC-A65A-1575D30C9AC7}"/>
            </a:ext>
          </a:extLst>
        </xdr:cNvPr>
        <xdr:cNvCxnSpPr/>
      </xdr:nvCxnSpPr>
      <xdr:spPr>
        <a:xfrm>
          <a:off x="18476404" y="683869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377</xdr:row>
      <xdr:rowOff>164467</xdr:rowOff>
    </xdr:from>
    <xdr:to>
      <xdr:col>9</xdr:col>
      <xdr:colOff>1388870</xdr:colOff>
      <xdr:row>377</xdr:row>
      <xdr:rowOff>164467</xdr:rowOff>
    </xdr:to>
    <xdr:cxnSp macro="_xll.PtreeEvent_ObjectClick">
      <xdr:nvCxnSpPr>
        <xdr:cNvPr id="767" name="PTObj_DBranchHLine_1_187">
          <a:extLst>
            <a:ext uri="{FF2B5EF4-FFF2-40B4-BE49-F238E27FC236}">
              <a16:creationId xmlns:a16="http://schemas.microsoft.com/office/drawing/2014/main" id="{5E39C5A2-E350-4237-A08F-05ED55BD65CF}"/>
            </a:ext>
          </a:extLst>
        </xdr:cNvPr>
        <xdr:cNvCxnSpPr/>
      </xdr:nvCxnSpPr>
      <xdr:spPr>
        <a:xfrm>
          <a:off x="17206720" y="68392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375</xdr:row>
      <xdr:rowOff>151767</xdr:rowOff>
    </xdr:from>
    <xdr:to>
      <xdr:col>9</xdr:col>
      <xdr:colOff>204595</xdr:colOff>
      <xdr:row>377</xdr:row>
      <xdr:rowOff>164467</xdr:rowOff>
    </xdr:to>
    <xdr:cxnSp macro="_xll.PtreeEvent_ObjectClick">
      <xdr:nvCxnSpPr>
        <xdr:cNvPr id="766" name="PTObj_DBranchDLine_1_187">
          <a:extLst>
            <a:ext uri="{FF2B5EF4-FFF2-40B4-BE49-F238E27FC236}">
              <a16:creationId xmlns:a16="http://schemas.microsoft.com/office/drawing/2014/main" id="{3D9CC971-8BD0-42FA-ACD2-2814334D2123}"/>
            </a:ext>
          </a:extLst>
        </xdr:cNvPr>
        <xdr:cNvCxnSpPr/>
      </xdr:nvCxnSpPr>
      <xdr:spPr>
        <a:xfrm>
          <a:off x="17054320" y="680173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375</xdr:row>
      <xdr:rowOff>160654</xdr:rowOff>
    </xdr:from>
    <xdr:to>
      <xdr:col>8</xdr:col>
      <xdr:colOff>1392681</xdr:colOff>
      <xdr:row>375</xdr:row>
      <xdr:rowOff>160654</xdr:rowOff>
    </xdr:to>
    <xdr:cxnSp macro="_xll.PtreeEvent_ObjectClick">
      <xdr:nvCxnSpPr>
        <xdr:cNvPr id="763" name="PTObj_DBranchHLine_1_186">
          <a:extLst>
            <a:ext uri="{FF2B5EF4-FFF2-40B4-BE49-F238E27FC236}">
              <a16:creationId xmlns:a16="http://schemas.microsoft.com/office/drawing/2014/main" id="{A5F8C153-8453-4FF8-B6A6-131D02ABD354}"/>
            </a:ext>
          </a:extLst>
        </xdr:cNvPr>
        <xdr:cNvCxnSpPr/>
      </xdr:nvCxnSpPr>
      <xdr:spPr>
        <a:xfrm>
          <a:off x="15782734" y="68026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373</xdr:row>
      <xdr:rowOff>147005</xdr:rowOff>
    </xdr:from>
    <xdr:to>
      <xdr:col>8</xdr:col>
      <xdr:colOff>209359</xdr:colOff>
      <xdr:row>375</xdr:row>
      <xdr:rowOff>160654</xdr:rowOff>
    </xdr:to>
    <xdr:cxnSp macro="_xll.PtreeEvent_ObjectClick">
      <xdr:nvCxnSpPr>
        <xdr:cNvPr id="762" name="PTObj_DBranchDLine_1_186">
          <a:extLst>
            <a:ext uri="{FF2B5EF4-FFF2-40B4-BE49-F238E27FC236}">
              <a16:creationId xmlns:a16="http://schemas.microsoft.com/office/drawing/2014/main" id="{E0513FD6-E7A7-4E92-9785-A7B12D9B8A37}"/>
            </a:ext>
          </a:extLst>
        </xdr:cNvPr>
        <xdr:cNvCxnSpPr/>
      </xdr:nvCxnSpPr>
      <xdr:spPr>
        <a:xfrm>
          <a:off x="15630334" y="67650680"/>
          <a:ext cx="152400" cy="37559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371</xdr:row>
      <xdr:rowOff>153033</xdr:rowOff>
    </xdr:from>
    <xdr:to>
      <xdr:col>11</xdr:col>
      <xdr:colOff>1385063</xdr:colOff>
      <xdr:row>371</xdr:row>
      <xdr:rowOff>153033</xdr:rowOff>
    </xdr:to>
    <xdr:cxnSp macro="_xll.PtreeEvent_ObjectClick">
      <xdr:nvCxnSpPr>
        <xdr:cNvPr id="759" name="PTObj_DBranchHLine_1_184">
          <a:extLst>
            <a:ext uri="{FF2B5EF4-FFF2-40B4-BE49-F238E27FC236}">
              <a16:creationId xmlns:a16="http://schemas.microsoft.com/office/drawing/2014/main" id="{817F97EA-AF78-49CD-A849-FBB0CB2490D9}"/>
            </a:ext>
          </a:extLst>
        </xdr:cNvPr>
        <xdr:cNvCxnSpPr/>
      </xdr:nvCxnSpPr>
      <xdr:spPr>
        <a:xfrm>
          <a:off x="20056601" y="672947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369</xdr:row>
      <xdr:rowOff>140333</xdr:rowOff>
    </xdr:from>
    <xdr:to>
      <xdr:col>11</xdr:col>
      <xdr:colOff>196976</xdr:colOff>
      <xdr:row>371</xdr:row>
      <xdr:rowOff>153033</xdr:rowOff>
    </xdr:to>
    <xdr:cxnSp macro="_xll.PtreeEvent_ObjectClick">
      <xdr:nvCxnSpPr>
        <xdr:cNvPr id="758" name="PTObj_DBranchDLine_1_184">
          <a:extLst>
            <a:ext uri="{FF2B5EF4-FFF2-40B4-BE49-F238E27FC236}">
              <a16:creationId xmlns:a16="http://schemas.microsoft.com/office/drawing/2014/main" id="{906D81D8-1151-4B0E-A645-D70FF5D2D0FF}"/>
            </a:ext>
          </a:extLst>
        </xdr:cNvPr>
        <xdr:cNvCxnSpPr/>
      </xdr:nvCxnSpPr>
      <xdr:spPr>
        <a:xfrm>
          <a:off x="19904201" y="669201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369</xdr:row>
      <xdr:rowOff>149225</xdr:rowOff>
    </xdr:from>
    <xdr:to>
      <xdr:col>10</xdr:col>
      <xdr:colOff>1392681</xdr:colOff>
      <xdr:row>369</xdr:row>
      <xdr:rowOff>149225</xdr:rowOff>
    </xdr:to>
    <xdr:cxnSp macro="_xll.PtreeEvent_ObjectClick">
      <xdr:nvCxnSpPr>
        <xdr:cNvPr id="755" name="PTObj_DBranchHLine_1_183">
          <a:extLst>
            <a:ext uri="{FF2B5EF4-FFF2-40B4-BE49-F238E27FC236}">
              <a16:creationId xmlns:a16="http://schemas.microsoft.com/office/drawing/2014/main" id="{DEC30C9D-416B-446F-AE02-5A976170135E}"/>
            </a:ext>
          </a:extLst>
        </xdr:cNvPr>
        <xdr:cNvCxnSpPr/>
      </xdr:nvCxnSpPr>
      <xdr:spPr>
        <a:xfrm>
          <a:off x="18628804" y="66929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367</xdr:row>
      <xdr:rowOff>144140</xdr:rowOff>
    </xdr:from>
    <xdr:to>
      <xdr:col>10</xdr:col>
      <xdr:colOff>197929</xdr:colOff>
      <xdr:row>369</xdr:row>
      <xdr:rowOff>149225</xdr:rowOff>
    </xdr:to>
    <xdr:cxnSp macro="_xll.PtreeEvent_ObjectClick">
      <xdr:nvCxnSpPr>
        <xdr:cNvPr id="754" name="PTObj_DBranchDLine_1_183">
          <a:extLst>
            <a:ext uri="{FF2B5EF4-FFF2-40B4-BE49-F238E27FC236}">
              <a16:creationId xmlns:a16="http://schemas.microsoft.com/office/drawing/2014/main" id="{518F04A9-679F-463E-9797-FC43B0607D5D}"/>
            </a:ext>
          </a:extLst>
        </xdr:cNvPr>
        <xdr:cNvCxnSpPr/>
      </xdr:nvCxnSpPr>
      <xdr:spPr>
        <a:xfrm>
          <a:off x="18476404" y="665619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367</xdr:row>
      <xdr:rowOff>145417</xdr:rowOff>
    </xdr:from>
    <xdr:to>
      <xdr:col>9</xdr:col>
      <xdr:colOff>1388870</xdr:colOff>
      <xdr:row>367</xdr:row>
      <xdr:rowOff>145417</xdr:rowOff>
    </xdr:to>
    <xdr:cxnSp macro="_xll.PtreeEvent_ObjectClick">
      <xdr:nvCxnSpPr>
        <xdr:cNvPr id="751" name="PTObj_DBranchHLine_1_182">
          <a:extLst>
            <a:ext uri="{FF2B5EF4-FFF2-40B4-BE49-F238E27FC236}">
              <a16:creationId xmlns:a16="http://schemas.microsoft.com/office/drawing/2014/main" id="{F6E2A444-80AF-4BB3-AE9E-A0B2E403EEAD}"/>
            </a:ext>
          </a:extLst>
        </xdr:cNvPr>
        <xdr:cNvCxnSpPr/>
      </xdr:nvCxnSpPr>
      <xdr:spPr>
        <a:xfrm>
          <a:off x="17206720" y="66563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365</xdr:row>
      <xdr:rowOff>140333</xdr:rowOff>
    </xdr:from>
    <xdr:to>
      <xdr:col>9</xdr:col>
      <xdr:colOff>204595</xdr:colOff>
      <xdr:row>367</xdr:row>
      <xdr:rowOff>145417</xdr:rowOff>
    </xdr:to>
    <xdr:cxnSp macro="_xll.PtreeEvent_ObjectClick">
      <xdr:nvCxnSpPr>
        <xdr:cNvPr id="750" name="PTObj_DBranchDLine_1_182">
          <a:extLst>
            <a:ext uri="{FF2B5EF4-FFF2-40B4-BE49-F238E27FC236}">
              <a16:creationId xmlns:a16="http://schemas.microsoft.com/office/drawing/2014/main" id="{F4F6892C-0FD5-489D-BB22-DF790BA5ED3F}"/>
            </a:ext>
          </a:extLst>
        </xdr:cNvPr>
        <xdr:cNvCxnSpPr/>
      </xdr:nvCxnSpPr>
      <xdr:spPr>
        <a:xfrm>
          <a:off x="17054320" y="661962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365</xdr:row>
      <xdr:rowOff>141604</xdr:rowOff>
    </xdr:from>
    <xdr:to>
      <xdr:col>8</xdr:col>
      <xdr:colOff>1392681</xdr:colOff>
      <xdr:row>365</xdr:row>
      <xdr:rowOff>141604</xdr:rowOff>
    </xdr:to>
    <xdr:cxnSp macro="_xll.PtreeEvent_ObjectClick">
      <xdr:nvCxnSpPr>
        <xdr:cNvPr id="747" name="PTObj_DBranchHLine_1_181">
          <a:extLst>
            <a:ext uri="{FF2B5EF4-FFF2-40B4-BE49-F238E27FC236}">
              <a16:creationId xmlns:a16="http://schemas.microsoft.com/office/drawing/2014/main" id="{4BC68947-67F2-4691-B6EB-D005EC03791F}"/>
            </a:ext>
          </a:extLst>
        </xdr:cNvPr>
        <xdr:cNvCxnSpPr/>
      </xdr:nvCxnSpPr>
      <xdr:spPr>
        <a:xfrm>
          <a:off x="15782734" y="66197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365</xdr:row>
      <xdr:rowOff>141604</xdr:rowOff>
    </xdr:from>
    <xdr:to>
      <xdr:col>8</xdr:col>
      <xdr:colOff>209359</xdr:colOff>
      <xdr:row>373</xdr:row>
      <xdr:rowOff>147005</xdr:rowOff>
    </xdr:to>
    <xdr:cxnSp macro="_xll.PtreeEvent_ObjectClick">
      <xdr:nvCxnSpPr>
        <xdr:cNvPr id="746" name="PTObj_DBranchDLine_1_181">
          <a:extLst>
            <a:ext uri="{FF2B5EF4-FFF2-40B4-BE49-F238E27FC236}">
              <a16:creationId xmlns:a16="http://schemas.microsoft.com/office/drawing/2014/main" id="{54914E90-5D46-4B4D-9F53-2D0FA372C299}"/>
            </a:ext>
          </a:extLst>
        </xdr:cNvPr>
        <xdr:cNvCxnSpPr/>
      </xdr:nvCxnSpPr>
      <xdr:spPr>
        <a:xfrm flipV="1">
          <a:off x="15630334" y="66197479"/>
          <a:ext cx="152400" cy="145320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373</xdr:row>
      <xdr:rowOff>156846</xdr:rowOff>
    </xdr:from>
    <xdr:to>
      <xdr:col>7</xdr:col>
      <xdr:colOff>1398397</xdr:colOff>
      <xdr:row>373</xdr:row>
      <xdr:rowOff>156846</xdr:rowOff>
    </xdr:to>
    <xdr:cxnSp macro="_xll.PtreeEvent_ObjectClick">
      <xdr:nvCxnSpPr>
        <xdr:cNvPr id="743" name="PTObj_DBranchHLine_1_185">
          <a:extLst>
            <a:ext uri="{FF2B5EF4-FFF2-40B4-BE49-F238E27FC236}">
              <a16:creationId xmlns:a16="http://schemas.microsoft.com/office/drawing/2014/main" id="{060482E4-66D9-4107-8A25-893DC8DDF404}"/>
            </a:ext>
          </a:extLst>
        </xdr:cNvPr>
        <xdr:cNvCxnSpPr/>
      </xdr:nvCxnSpPr>
      <xdr:spPr>
        <a:xfrm>
          <a:off x="14360652" y="676605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373</xdr:row>
      <xdr:rowOff>156846</xdr:rowOff>
    </xdr:from>
    <xdr:to>
      <xdr:col>7</xdr:col>
      <xdr:colOff>216027</xdr:colOff>
      <xdr:row>383</xdr:row>
      <xdr:rowOff>176529</xdr:rowOff>
    </xdr:to>
    <xdr:cxnSp macro="_xll.PtreeEvent_ObjectClick">
      <xdr:nvCxnSpPr>
        <xdr:cNvPr id="742" name="PTObj_DBranchDLine_1_185">
          <a:extLst>
            <a:ext uri="{FF2B5EF4-FFF2-40B4-BE49-F238E27FC236}">
              <a16:creationId xmlns:a16="http://schemas.microsoft.com/office/drawing/2014/main" id="{29775004-F474-4B79-9334-603467EB633F}"/>
            </a:ext>
          </a:extLst>
        </xdr:cNvPr>
        <xdr:cNvCxnSpPr/>
      </xdr:nvCxnSpPr>
      <xdr:spPr>
        <a:xfrm flipV="1">
          <a:off x="14208252" y="67660521"/>
          <a:ext cx="152400" cy="18294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383</xdr:row>
      <xdr:rowOff>175896</xdr:rowOff>
    </xdr:from>
    <xdr:to>
      <xdr:col>6</xdr:col>
      <xdr:colOff>1402207</xdr:colOff>
      <xdr:row>383</xdr:row>
      <xdr:rowOff>175896</xdr:rowOff>
    </xdr:to>
    <xdr:cxnSp macro="_xll.PtreeEvent_ObjectClick">
      <xdr:nvCxnSpPr>
        <xdr:cNvPr id="739" name="PTObj_DBranchHLine_1_190">
          <a:extLst>
            <a:ext uri="{FF2B5EF4-FFF2-40B4-BE49-F238E27FC236}">
              <a16:creationId xmlns:a16="http://schemas.microsoft.com/office/drawing/2014/main" id="{571FB927-9266-473E-B166-B704DD928CA2}"/>
            </a:ext>
          </a:extLst>
        </xdr:cNvPr>
        <xdr:cNvCxnSpPr/>
      </xdr:nvCxnSpPr>
      <xdr:spPr>
        <a:xfrm>
          <a:off x="12936665" y="69489321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363</xdr:row>
      <xdr:rowOff>136525</xdr:rowOff>
    </xdr:from>
    <xdr:to>
      <xdr:col>6</xdr:col>
      <xdr:colOff>220790</xdr:colOff>
      <xdr:row>383</xdr:row>
      <xdr:rowOff>175896</xdr:rowOff>
    </xdr:to>
    <xdr:cxnSp macro="_xll.PtreeEvent_ObjectClick">
      <xdr:nvCxnSpPr>
        <xdr:cNvPr id="738" name="PTObj_DBranchDLine_1_190">
          <a:extLst>
            <a:ext uri="{FF2B5EF4-FFF2-40B4-BE49-F238E27FC236}">
              <a16:creationId xmlns:a16="http://schemas.microsoft.com/office/drawing/2014/main" id="{42C5B802-4C90-49B4-85C9-C371FB19B656}"/>
            </a:ext>
          </a:extLst>
        </xdr:cNvPr>
        <xdr:cNvCxnSpPr/>
      </xdr:nvCxnSpPr>
      <xdr:spPr>
        <a:xfrm>
          <a:off x="12784265" y="65830450"/>
          <a:ext cx="152400" cy="3658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361</xdr:row>
      <xdr:rowOff>133983</xdr:rowOff>
    </xdr:from>
    <xdr:to>
      <xdr:col>11</xdr:col>
      <xdr:colOff>1384111</xdr:colOff>
      <xdr:row>361</xdr:row>
      <xdr:rowOff>133983</xdr:rowOff>
    </xdr:to>
    <xdr:cxnSp macro="_xll.PtreeEvent_ObjectClick">
      <xdr:nvCxnSpPr>
        <xdr:cNvPr id="735" name="PTObj_DBranchHLine_1_179">
          <a:extLst>
            <a:ext uri="{FF2B5EF4-FFF2-40B4-BE49-F238E27FC236}">
              <a16:creationId xmlns:a16="http://schemas.microsoft.com/office/drawing/2014/main" id="{81ECFF57-87AD-4049-93E6-70DEBB759A09}"/>
            </a:ext>
          </a:extLst>
        </xdr:cNvPr>
        <xdr:cNvCxnSpPr/>
      </xdr:nvCxnSpPr>
      <xdr:spPr>
        <a:xfrm>
          <a:off x="20056601" y="654659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359</xdr:row>
      <xdr:rowOff>125090</xdr:rowOff>
    </xdr:from>
    <xdr:to>
      <xdr:col>11</xdr:col>
      <xdr:colOff>196976</xdr:colOff>
      <xdr:row>361</xdr:row>
      <xdr:rowOff>133983</xdr:rowOff>
    </xdr:to>
    <xdr:cxnSp macro="_xll.PtreeEvent_ObjectClick">
      <xdr:nvCxnSpPr>
        <xdr:cNvPr id="734" name="PTObj_DBranchDLine_1_179">
          <a:extLst>
            <a:ext uri="{FF2B5EF4-FFF2-40B4-BE49-F238E27FC236}">
              <a16:creationId xmlns:a16="http://schemas.microsoft.com/office/drawing/2014/main" id="{D5535BDD-8BC0-4809-8635-B20D6536B65F}"/>
            </a:ext>
          </a:extLst>
        </xdr:cNvPr>
        <xdr:cNvCxnSpPr/>
      </xdr:nvCxnSpPr>
      <xdr:spPr>
        <a:xfrm>
          <a:off x="19904201" y="650951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359</xdr:row>
      <xdr:rowOff>130175</xdr:rowOff>
    </xdr:from>
    <xdr:to>
      <xdr:col>10</xdr:col>
      <xdr:colOff>1392681</xdr:colOff>
      <xdr:row>359</xdr:row>
      <xdr:rowOff>130175</xdr:rowOff>
    </xdr:to>
    <xdr:cxnSp macro="_xll.PtreeEvent_ObjectClick">
      <xdr:nvCxnSpPr>
        <xdr:cNvPr id="731" name="PTObj_DBranchHLine_1_178">
          <a:extLst>
            <a:ext uri="{FF2B5EF4-FFF2-40B4-BE49-F238E27FC236}">
              <a16:creationId xmlns:a16="http://schemas.microsoft.com/office/drawing/2014/main" id="{6334313A-5BE4-40B2-8DDB-0793088B96B2}"/>
            </a:ext>
          </a:extLst>
        </xdr:cNvPr>
        <xdr:cNvCxnSpPr/>
      </xdr:nvCxnSpPr>
      <xdr:spPr>
        <a:xfrm>
          <a:off x="18628804" y="65100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357</xdr:row>
      <xdr:rowOff>121283</xdr:rowOff>
    </xdr:from>
    <xdr:to>
      <xdr:col>10</xdr:col>
      <xdr:colOff>197929</xdr:colOff>
      <xdr:row>359</xdr:row>
      <xdr:rowOff>130175</xdr:rowOff>
    </xdr:to>
    <xdr:cxnSp macro="_xll.PtreeEvent_ObjectClick">
      <xdr:nvCxnSpPr>
        <xdr:cNvPr id="730" name="PTObj_DBranchDLine_1_178">
          <a:extLst>
            <a:ext uri="{FF2B5EF4-FFF2-40B4-BE49-F238E27FC236}">
              <a16:creationId xmlns:a16="http://schemas.microsoft.com/office/drawing/2014/main" id="{60FA3613-20E1-4E09-82B8-0F6CB138B359}"/>
            </a:ext>
          </a:extLst>
        </xdr:cNvPr>
        <xdr:cNvCxnSpPr/>
      </xdr:nvCxnSpPr>
      <xdr:spPr>
        <a:xfrm>
          <a:off x="18476404" y="64729358"/>
          <a:ext cx="152400" cy="3708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357</xdr:row>
      <xdr:rowOff>126367</xdr:rowOff>
    </xdr:from>
    <xdr:to>
      <xdr:col>9</xdr:col>
      <xdr:colOff>1388870</xdr:colOff>
      <xdr:row>357</xdr:row>
      <xdr:rowOff>126367</xdr:rowOff>
    </xdr:to>
    <xdr:cxnSp macro="_xll.PtreeEvent_ObjectClick">
      <xdr:nvCxnSpPr>
        <xdr:cNvPr id="727" name="PTObj_DBranchHLine_1_177">
          <a:extLst>
            <a:ext uri="{FF2B5EF4-FFF2-40B4-BE49-F238E27FC236}">
              <a16:creationId xmlns:a16="http://schemas.microsoft.com/office/drawing/2014/main" id="{DE6A2CD5-0BD3-4DD2-85BB-2122853C9B14}"/>
            </a:ext>
          </a:extLst>
        </xdr:cNvPr>
        <xdr:cNvCxnSpPr/>
      </xdr:nvCxnSpPr>
      <xdr:spPr>
        <a:xfrm>
          <a:off x="17206720" y="64734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355</xdr:row>
      <xdr:rowOff>113667</xdr:rowOff>
    </xdr:from>
    <xdr:to>
      <xdr:col>9</xdr:col>
      <xdr:colOff>204595</xdr:colOff>
      <xdr:row>357</xdr:row>
      <xdr:rowOff>126367</xdr:rowOff>
    </xdr:to>
    <xdr:cxnSp macro="_xll.PtreeEvent_ObjectClick">
      <xdr:nvCxnSpPr>
        <xdr:cNvPr id="726" name="PTObj_DBranchDLine_1_177">
          <a:extLst>
            <a:ext uri="{FF2B5EF4-FFF2-40B4-BE49-F238E27FC236}">
              <a16:creationId xmlns:a16="http://schemas.microsoft.com/office/drawing/2014/main" id="{FF3B594A-B3AE-4B44-A760-E9FE597BA71D}"/>
            </a:ext>
          </a:extLst>
        </xdr:cNvPr>
        <xdr:cNvCxnSpPr/>
      </xdr:nvCxnSpPr>
      <xdr:spPr>
        <a:xfrm>
          <a:off x="17054320" y="643597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355</xdr:row>
      <xdr:rowOff>122554</xdr:rowOff>
    </xdr:from>
    <xdr:to>
      <xdr:col>8</xdr:col>
      <xdr:colOff>1392681</xdr:colOff>
      <xdr:row>355</xdr:row>
      <xdr:rowOff>122554</xdr:rowOff>
    </xdr:to>
    <xdr:cxnSp macro="_xll.PtreeEvent_ObjectClick">
      <xdr:nvCxnSpPr>
        <xdr:cNvPr id="723" name="PTObj_DBranchHLine_1_176">
          <a:extLst>
            <a:ext uri="{FF2B5EF4-FFF2-40B4-BE49-F238E27FC236}">
              <a16:creationId xmlns:a16="http://schemas.microsoft.com/office/drawing/2014/main" id="{800DBCA6-57FB-4DD0-A1A5-97ED64C64331}"/>
            </a:ext>
          </a:extLst>
        </xdr:cNvPr>
        <xdr:cNvCxnSpPr/>
      </xdr:nvCxnSpPr>
      <xdr:spPr>
        <a:xfrm>
          <a:off x="15782734" y="64368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353</xdr:row>
      <xdr:rowOff>108905</xdr:rowOff>
    </xdr:from>
    <xdr:to>
      <xdr:col>8</xdr:col>
      <xdr:colOff>209359</xdr:colOff>
      <xdr:row>355</xdr:row>
      <xdr:rowOff>122554</xdr:rowOff>
    </xdr:to>
    <xdr:cxnSp macro="_xll.PtreeEvent_ObjectClick">
      <xdr:nvCxnSpPr>
        <xdr:cNvPr id="722" name="PTObj_DBranchDLine_1_176">
          <a:extLst>
            <a:ext uri="{FF2B5EF4-FFF2-40B4-BE49-F238E27FC236}">
              <a16:creationId xmlns:a16="http://schemas.microsoft.com/office/drawing/2014/main" id="{094DBD60-14D3-4BFA-9B2B-54452AC07ACA}"/>
            </a:ext>
          </a:extLst>
        </xdr:cNvPr>
        <xdr:cNvCxnSpPr/>
      </xdr:nvCxnSpPr>
      <xdr:spPr>
        <a:xfrm>
          <a:off x="15630334" y="63993080"/>
          <a:ext cx="152400" cy="37559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351</xdr:row>
      <xdr:rowOff>114933</xdr:rowOff>
    </xdr:from>
    <xdr:to>
      <xdr:col>11</xdr:col>
      <xdr:colOff>1385063</xdr:colOff>
      <xdr:row>351</xdr:row>
      <xdr:rowOff>114933</xdr:rowOff>
    </xdr:to>
    <xdr:cxnSp macro="_xll.PtreeEvent_ObjectClick">
      <xdr:nvCxnSpPr>
        <xdr:cNvPr id="719" name="PTObj_DBranchHLine_1_174">
          <a:extLst>
            <a:ext uri="{FF2B5EF4-FFF2-40B4-BE49-F238E27FC236}">
              <a16:creationId xmlns:a16="http://schemas.microsoft.com/office/drawing/2014/main" id="{F147BB08-AF53-4305-83A6-7EA68342953E}"/>
            </a:ext>
          </a:extLst>
        </xdr:cNvPr>
        <xdr:cNvCxnSpPr/>
      </xdr:nvCxnSpPr>
      <xdr:spPr>
        <a:xfrm>
          <a:off x="20056601" y="636371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349</xdr:row>
      <xdr:rowOff>102233</xdr:rowOff>
    </xdr:from>
    <xdr:to>
      <xdr:col>11</xdr:col>
      <xdr:colOff>196976</xdr:colOff>
      <xdr:row>351</xdr:row>
      <xdr:rowOff>114933</xdr:rowOff>
    </xdr:to>
    <xdr:cxnSp macro="_xll.PtreeEvent_ObjectClick">
      <xdr:nvCxnSpPr>
        <xdr:cNvPr id="718" name="PTObj_DBranchDLine_1_174">
          <a:extLst>
            <a:ext uri="{FF2B5EF4-FFF2-40B4-BE49-F238E27FC236}">
              <a16:creationId xmlns:a16="http://schemas.microsoft.com/office/drawing/2014/main" id="{9DFEC066-4402-4239-B05B-F9FDE7C337E7}"/>
            </a:ext>
          </a:extLst>
        </xdr:cNvPr>
        <xdr:cNvCxnSpPr/>
      </xdr:nvCxnSpPr>
      <xdr:spPr>
        <a:xfrm>
          <a:off x="19904201" y="63262508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349</xdr:row>
      <xdr:rowOff>111125</xdr:rowOff>
    </xdr:from>
    <xdr:to>
      <xdr:col>10</xdr:col>
      <xdr:colOff>1392681</xdr:colOff>
      <xdr:row>349</xdr:row>
      <xdr:rowOff>111125</xdr:rowOff>
    </xdr:to>
    <xdr:cxnSp macro="_xll.PtreeEvent_ObjectClick">
      <xdr:nvCxnSpPr>
        <xdr:cNvPr id="715" name="PTObj_DBranchHLine_1_173">
          <a:extLst>
            <a:ext uri="{FF2B5EF4-FFF2-40B4-BE49-F238E27FC236}">
              <a16:creationId xmlns:a16="http://schemas.microsoft.com/office/drawing/2014/main" id="{52C889EB-839C-4B7C-8A48-96D3F56D315A}"/>
            </a:ext>
          </a:extLst>
        </xdr:cNvPr>
        <xdr:cNvCxnSpPr/>
      </xdr:nvCxnSpPr>
      <xdr:spPr>
        <a:xfrm>
          <a:off x="18628804" y="63271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347</xdr:row>
      <xdr:rowOff>106040</xdr:rowOff>
    </xdr:from>
    <xdr:to>
      <xdr:col>10</xdr:col>
      <xdr:colOff>197929</xdr:colOff>
      <xdr:row>349</xdr:row>
      <xdr:rowOff>111125</xdr:rowOff>
    </xdr:to>
    <xdr:cxnSp macro="_xll.PtreeEvent_ObjectClick">
      <xdr:nvCxnSpPr>
        <xdr:cNvPr id="714" name="PTObj_DBranchDLine_1_173">
          <a:extLst>
            <a:ext uri="{FF2B5EF4-FFF2-40B4-BE49-F238E27FC236}">
              <a16:creationId xmlns:a16="http://schemas.microsoft.com/office/drawing/2014/main" id="{C3FEE0C9-3C1A-4D2A-8EC1-784588C55AB1}"/>
            </a:ext>
          </a:extLst>
        </xdr:cNvPr>
        <xdr:cNvCxnSpPr/>
      </xdr:nvCxnSpPr>
      <xdr:spPr>
        <a:xfrm>
          <a:off x="18476404" y="62904365"/>
          <a:ext cx="152400" cy="3670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347</xdr:row>
      <xdr:rowOff>107317</xdr:rowOff>
    </xdr:from>
    <xdr:to>
      <xdr:col>9</xdr:col>
      <xdr:colOff>1388870</xdr:colOff>
      <xdr:row>347</xdr:row>
      <xdr:rowOff>107317</xdr:rowOff>
    </xdr:to>
    <xdr:cxnSp macro="_xll.PtreeEvent_ObjectClick">
      <xdr:nvCxnSpPr>
        <xdr:cNvPr id="711" name="PTObj_DBranchHLine_1_172">
          <a:extLst>
            <a:ext uri="{FF2B5EF4-FFF2-40B4-BE49-F238E27FC236}">
              <a16:creationId xmlns:a16="http://schemas.microsoft.com/office/drawing/2014/main" id="{5BF5C221-A9E0-42C2-AA89-78EA0FE93C09}"/>
            </a:ext>
          </a:extLst>
        </xdr:cNvPr>
        <xdr:cNvCxnSpPr/>
      </xdr:nvCxnSpPr>
      <xdr:spPr>
        <a:xfrm>
          <a:off x="17206720" y="62905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345</xdr:row>
      <xdr:rowOff>102233</xdr:rowOff>
    </xdr:from>
    <xdr:to>
      <xdr:col>9</xdr:col>
      <xdr:colOff>204595</xdr:colOff>
      <xdr:row>347</xdr:row>
      <xdr:rowOff>107317</xdr:rowOff>
    </xdr:to>
    <xdr:cxnSp macro="_xll.PtreeEvent_ObjectClick">
      <xdr:nvCxnSpPr>
        <xdr:cNvPr id="710" name="PTObj_DBranchDLine_1_172">
          <a:extLst>
            <a:ext uri="{FF2B5EF4-FFF2-40B4-BE49-F238E27FC236}">
              <a16:creationId xmlns:a16="http://schemas.microsoft.com/office/drawing/2014/main" id="{7810FF97-06FF-4C63-B130-4778AE7C3AC2}"/>
            </a:ext>
          </a:extLst>
        </xdr:cNvPr>
        <xdr:cNvCxnSpPr/>
      </xdr:nvCxnSpPr>
      <xdr:spPr>
        <a:xfrm>
          <a:off x="17054320" y="62538608"/>
          <a:ext cx="152400" cy="36703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345</xdr:row>
      <xdr:rowOff>103504</xdr:rowOff>
    </xdr:from>
    <xdr:to>
      <xdr:col>8</xdr:col>
      <xdr:colOff>1392681</xdr:colOff>
      <xdr:row>345</xdr:row>
      <xdr:rowOff>103504</xdr:rowOff>
    </xdr:to>
    <xdr:cxnSp macro="_xll.PtreeEvent_ObjectClick">
      <xdr:nvCxnSpPr>
        <xdr:cNvPr id="707" name="PTObj_DBranchHLine_1_171">
          <a:extLst>
            <a:ext uri="{FF2B5EF4-FFF2-40B4-BE49-F238E27FC236}">
              <a16:creationId xmlns:a16="http://schemas.microsoft.com/office/drawing/2014/main" id="{B9F057DB-4D18-4B98-ABCD-4ED6DDF4FF7D}"/>
            </a:ext>
          </a:extLst>
        </xdr:cNvPr>
        <xdr:cNvCxnSpPr/>
      </xdr:nvCxnSpPr>
      <xdr:spPr>
        <a:xfrm>
          <a:off x="15782734" y="62539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345</xdr:row>
      <xdr:rowOff>103504</xdr:rowOff>
    </xdr:from>
    <xdr:to>
      <xdr:col>8</xdr:col>
      <xdr:colOff>209359</xdr:colOff>
      <xdr:row>353</xdr:row>
      <xdr:rowOff>108905</xdr:rowOff>
    </xdr:to>
    <xdr:cxnSp macro="_xll.PtreeEvent_ObjectClick">
      <xdr:nvCxnSpPr>
        <xdr:cNvPr id="706" name="PTObj_DBranchDLine_1_171">
          <a:extLst>
            <a:ext uri="{FF2B5EF4-FFF2-40B4-BE49-F238E27FC236}">
              <a16:creationId xmlns:a16="http://schemas.microsoft.com/office/drawing/2014/main" id="{0C578243-AB5B-4669-A882-FBC87A33ACD0}"/>
            </a:ext>
          </a:extLst>
        </xdr:cNvPr>
        <xdr:cNvCxnSpPr/>
      </xdr:nvCxnSpPr>
      <xdr:spPr>
        <a:xfrm flipV="1">
          <a:off x="15630334" y="62539879"/>
          <a:ext cx="152400" cy="145320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353</xdr:row>
      <xdr:rowOff>118746</xdr:rowOff>
    </xdr:from>
    <xdr:to>
      <xdr:col>7</xdr:col>
      <xdr:colOff>1398397</xdr:colOff>
      <xdr:row>353</xdr:row>
      <xdr:rowOff>118746</xdr:rowOff>
    </xdr:to>
    <xdr:cxnSp macro="_xll.PtreeEvent_ObjectClick">
      <xdr:nvCxnSpPr>
        <xdr:cNvPr id="703" name="PTObj_DBranchHLine_1_175">
          <a:extLst>
            <a:ext uri="{FF2B5EF4-FFF2-40B4-BE49-F238E27FC236}">
              <a16:creationId xmlns:a16="http://schemas.microsoft.com/office/drawing/2014/main" id="{2BE864BD-CE14-43E5-9386-B899A729CA1E}"/>
            </a:ext>
          </a:extLst>
        </xdr:cNvPr>
        <xdr:cNvCxnSpPr/>
      </xdr:nvCxnSpPr>
      <xdr:spPr>
        <a:xfrm>
          <a:off x="14362557" y="640029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343</xdr:row>
      <xdr:rowOff>98425</xdr:rowOff>
    </xdr:from>
    <xdr:to>
      <xdr:col>7</xdr:col>
      <xdr:colOff>217932</xdr:colOff>
      <xdr:row>353</xdr:row>
      <xdr:rowOff>118746</xdr:rowOff>
    </xdr:to>
    <xdr:cxnSp macro="_xll.PtreeEvent_ObjectClick">
      <xdr:nvCxnSpPr>
        <xdr:cNvPr id="702" name="PTObj_DBranchDLine_1_175">
          <a:extLst>
            <a:ext uri="{FF2B5EF4-FFF2-40B4-BE49-F238E27FC236}">
              <a16:creationId xmlns:a16="http://schemas.microsoft.com/office/drawing/2014/main" id="{F3615A2A-F8D8-42BB-816D-49ABF1A8E7A2}"/>
            </a:ext>
          </a:extLst>
        </xdr:cNvPr>
        <xdr:cNvCxnSpPr/>
      </xdr:nvCxnSpPr>
      <xdr:spPr>
        <a:xfrm>
          <a:off x="14210157" y="62172850"/>
          <a:ext cx="152400" cy="18300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341</xdr:row>
      <xdr:rowOff>95883</xdr:rowOff>
    </xdr:from>
    <xdr:to>
      <xdr:col>11</xdr:col>
      <xdr:colOff>1384111</xdr:colOff>
      <xdr:row>341</xdr:row>
      <xdr:rowOff>95883</xdr:rowOff>
    </xdr:to>
    <xdr:cxnSp macro="_xll.PtreeEvent_ObjectClick">
      <xdr:nvCxnSpPr>
        <xdr:cNvPr id="699" name="PTObj_DBranchHLine_1_169">
          <a:extLst>
            <a:ext uri="{FF2B5EF4-FFF2-40B4-BE49-F238E27FC236}">
              <a16:creationId xmlns:a16="http://schemas.microsoft.com/office/drawing/2014/main" id="{1DC4A037-C630-4172-A80F-4DF319D2A059}"/>
            </a:ext>
          </a:extLst>
        </xdr:cNvPr>
        <xdr:cNvCxnSpPr/>
      </xdr:nvCxnSpPr>
      <xdr:spPr>
        <a:xfrm>
          <a:off x="20056601" y="61808358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339</xdr:row>
      <xdr:rowOff>86990</xdr:rowOff>
    </xdr:from>
    <xdr:to>
      <xdr:col>11</xdr:col>
      <xdr:colOff>196976</xdr:colOff>
      <xdr:row>341</xdr:row>
      <xdr:rowOff>95883</xdr:rowOff>
    </xdr:to>
    <xdr:cxnSp macro="_xll.PtreeEvent_ObjectClick">
      <xdr:nvCxnSpPr>
        <xdr:cNvPr id="698" name="PTObj_DBranchDLine_1_169">
          <a:extLst>
            <a:ext uri="{FF2B5EF4-FFF2-40B4-BE49-F238E27FC236}">
              <a16:creationId xmlns:a16="http://schemas.microsoft.com/office/drawing/2014/main" id="{4EBDD876-90D0-4B95-A75E-A1608311B70C}"/>
            </a:ext>
          </a:extLst>
        </xdr:cNvPr>
        <xdr:cNvCxnSpPr/>
      </xdr:nvCxnSpPr>
      <xdr:spPr>
        <a:xfrm>
          <a:off x="19904201" y="61437515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339</xdr:row>
      <xdr:rowOff>92075</xdr:rowOff>
    </xdr:from>
    <xdr:to>
      <xdr:col>10</xdr:col>
      <xdr:colOff>1392681</xdr:colOff>
      <xdr:row>339</xdr:row>
      <xdr:rowOff>92075</xdr:rowOff>
    </xdr:to>
    <xdr:cxnSp macro="_xll.PtreeEvent_ObjectClick">
      <xdr:nvCxnSpPr>
        <xdr:cNvPr id="695" name="PTObj_DBranchHLine_1_168">
          <a:extLst>
            <a:ext uri="{FF2B5EF4-FFF2-40B4-BE49-F238E27FC236}">
              <a16:creationId xmlns:a16="http://schemas.microsoft.com/office/drawing/2014/main" id="{B1D07AEA-DE28-408D-8008-25FB3661D28C}"/>
            </a:ext>
          </a:extLst>
        </xdr:cNvPr>
        <xdr:cNvCxnSpPr/>
      </xdr:nvCxnSpPr>
      <xdr:spPr>
        <a:xfrm>
          <a:off x="18628804" y="61442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337</xdr:row>
      <xdr:rowOff>76522</xdr:rowOff>
    </xdr:from>
    <xdr:to>
      <xdr:col>10</xdr:col>
      <xdr:colOff>197929</xdr:colOff>
      <xdr:row>339</xdr:row>
      <xdr:rowOff>92075</xdr:rowOff>
    </xdr:to>
    <xdr:cxnSp macro="_xll.PtreeEvent_ObjectClick">
      <xdr:nvCxnSpPr>
        <xdr:cNvPr id="694" name="PTObj_DBranchDLine_1_168">
          <a:extLst>
            <a:ext uri="{FF2B5EF4-FFF2-40B4-BE49-F238E27FC236}">
              <a16:creationId xmlns:a16="http://schemas.microsoft.com/office/drawing/2014/main" id="{AA90A126-F25D-4F53-BF2A-4F9D56967054}"/>
            </a:ext>
          </a:extLst>
        </xdr:cNvPr>
        <xdr:cNvCxnSpPr/>
      </xdr:nvCxnSpPr>
      <xdr:spPr>
        <a:xfrm>
          <a:off x="18476404" y="610650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337</xdr:row>
      <xdr:rowOff>88267</xdr:rowOff>
    </xdr:from>
    <xdr:to>
      <xdr:col>9</xdr:col>
      <xdr:colOff>1388870</xdr:colOff>
      <xdr:row>337</xdr:row>
      <xdr:rowOff>88267</xdr:rowOff>
    </xdr:to>
    <xdr:cxnSp macro="_xll.PtreeEvent_ObjectClick">
      <xdr:nvCxnSpPr>
        <xdr:cNvPr id="691" name="PTObj_DBranchHLine_1_167">
          <a:extLst>
            <a:ext uri="{FF2B5EF4-FFF2-40B4-BE49-F238E27FC236}">
              <a16:creationId xmlns:a16="http://schemas.microsoft.com/office/drawing/2014/main" id="{769C5A4B-95D4-4C0B-9E47-DB200E776EB8}"/>
            </a:ext>
          </a:extLst>
        </xdr:cNvPr>
        <xdr:cNvCxnSpPr/>
      </xdr:nvCxnSpPr>
      <xdr:spPr>
        <a:xfrm>
          <a:off x="17206720" y="610768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335</xdr:row>
      <xdr:rowOff>75567</xdr:rowOff>
    </xdr:from>
    <xdr:to>
      <xdr:col>9</xdr:col>
      <xdr:colOff>204595</xdr:colOff>
      <xdr:row>337</xdr:row>
      <xdr:rowOff>88267</xdr:rowOff>
    </xdr:to>
    <xdr:cxnSp macro="_xll.PtreeEvent_ObjectClick">
      <xdr:nvCxnSpPr>
        <xdr:cNvPr id="690" name="PTObj_DBranchDLine_1_167">
          <a:extLst>
            <a:ext uri="{FF2B5EF4-FFF2-40B4-BE49-F238E27FC236}">
              <a16:creationId xmlns:a16="http://schemas.microsoft.com/office/drawing/2014/main" id="{E04B2C71-BA74-48FF-86FD-4FACD802D09C}"/>
            </a:ext>
          </a:extLst>
        </xdr:cNvPr>
        <xdr:cNvCxnSpPr/>
      </xdr:nvCxnSpPr>
      <xdr:spPr>
        <a:xfrm>
          <a:off x="17054320" y="607021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335</xdr:row>
      <xdr:rowOff>84454</xdr:rowOff>
    </xdr:from>
    <xdr:to>
      <xdr:col>8</xdr:col>
      <xdr:colOff>1392681</xdr:colOff>
      <xdr:row>335</xdr:row>
      <xdr:rowOff>84454</xdr:rowOff>
    </xdr:to>
    <xdr:cxnSp macro="_xll.PtreeEvent_ObjectClick">
      <xdr:nvCxnSpPr>
        <xdr:cNvPr id="687" name="PTObj_DBranchHLine_1_166">
          <a:extLst>
            <a:ext uri="{FF2B5EF4-FFF2-40B4-BE49-F238E27FC236}">
              <a16:creationId xmlns:a16="http://schemas.microsoft.com/office/drawing/2014/main" id="{7FBE039B-CE1F-4108-8E58-5851B8098238}"/>
            </a:ext>
          </a:extLst>
        </xdr:cNvPr>
        <xdr:cNvCxnSpPr/>
      </xdr:nvCxnSpPr>
      <xdr:spPr>
        <a:xfrm>
          <a:off x="15782734" y="60711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333</xdr:row>
      <xdr:rowOff>75561</xdr:rowOff>
    </xdr:from>
    <xdr:to>
      <xdr:col>8</xdr:col>
      <xdr:colOff>209359</xdr:colOff>
      <xdr:row>335</xdr:row>
      <xdr:rowOff>84454</xdr:rowOff>
    </xdr:to>
    <xdr:cxnSp macro="_xll.PtreeEvent_ObjectClick">
      <xdr:nvCxnSpPr>
        <xdr:cNvPr id="686" name="PTObj_DBranchDLine_1_166">
          <a:extLst>
            <a:ext uri="{FF2B5EF4-FFF2-40B4-BE49-F238E27FC236}">
              <a16:creationId xmlns:a16="http://schemas.microsoft.com/office/drawing/2014/main" id="{071DE603-0FB1-4640-BAC9-A14B60918F1A}"/>
            </a:ext>
          </a:extLst>
        </xdr:cNvPr>
        <xdr:cNvCxnSpPr/>
      </xdr:nvCxnSpPr>
      <xdr:spPr>
        <a:xfrm>
          <a:off x="15630334" y="603402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331</xdr:row>
      <xdr:rowOff>76833</xdr:rowOff>
    </xdr:from>
    <xdr:to>
      <xdr:col>11</xdr:col>
      <xdr:colOff>1385063</xdr:colOff>
      <xdr:row>331</xdr:row>
      <xdr:rowOff>76833</xdr:rowOff>
    </xdr:to>
    <xdr:cxnSp macro="_xll.PtreeEvent_ObjectClick">
      <xdr:nvCxnSpPr>
        <xdr:cNvPr id="683" name="PTObj_DBranchHLine_1_164">
          <a:extLst>
            <a:ext uri="{FF2B5EF4-FFF2-40B4-BE49-F238E27FC236}">
              <a16:creationId xmlns:a16="http://schemas.microsoft.com/office/drawing/2014/main" id="{E1456DBC-311E-40F5-A2CB-5B2AAFD67F49}"/>
            </a:ext>
          </a:extLst>
        </xdr:cNvPr>
        <xdr:cNvCxnSpPr/>
      </xdr:nvCxnSpPr>
      <xdr:spPr>
        <a:xfrm>
          <a:off x="20056601" y="599795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329</xdr:row>
      <xdr:rowOff>70799</xdr:rowOff>
    </xdr:from>
    <xdr:to>
      <xdr:col>11</xdr:col>
      <xdr:colOff>196976</xdr:colOff>
      <xdr:row>331</xdr:row>
      <xdr:rowOff>76833</xdr:rowOff>
    </xdr:to>
    <xdr:cxnSp macro="_xll.PtreeEvent_ObjectClick">
      <xdr:nvCxnSpPr>
        <xdr:cNvPr id="682" name="PTObj_DBranchDLine_1_164">
          <a:extLst>
            <a:ext uri="{FF2B5EF4-FFF2-40B4-BE49-F238E27FC236}">
              <a16:creationId xmlns:a16="http://schemas.microsoft.com/office/drawing/2014/main" id="{EBB5AD24-11AE-4A8C-BF30-EBDB2C19CE06}"/>
            </a:ext>
          </a:extLst>
        </xdr:cNvPr>
        <xdr:cNvCxnSpPr/>
      </xdr:nvCxnSpPr>
      <xdr:spPr>
        <a:xfrm>
          <a:off x="19904201" y="596115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329</xdr:row>
      <xdr:rowOff>73025</xdr:rowOff>
    </xdr:from>
    <xdr:to>
      <xdr:col>10</xdr:col>
      <xdr:colOff>1392681</xdr:colOff>
      <xdr:row>329</xdr:row>
      <xdr:rowOff>73025</xdr:rowOff>
    </xdr:to>
    <xdr:cxnSp macro="_xll.PtreeEvent_ObjectClick">
      <xdr:nvCxnSpPr>
        <xdr:cNvPr id="679" name="PTObj_DBranchHLine_1_163">
          <a:extLst>
            <a:ext uri="{FF2B5EF4-FFF2-40B4-BE49-F238E27FC236}">
              <a16:creationId xmlns:a16="http://schemas.microsoft.com/office/drawing/2014/main" id="{34E69948-AE07-4C82-AFF1-AA692F6CE62F}"/>
            </a:ext>
          </a:extLst>
        </xdr:cNvPr>
        <xdr:cNvCxnSpPr/>
      </xdr:nvCxnSpPr>
      <xdr:spPr>
        <a:xfrm>
          <a:off x="18628804" y="59613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327</xdr:row>
      <xdr:rowOff>68895</xdr:rowOff>
    </xdr:from>
    <xdr:to>
      <xdr:col>10</xdr:col>
      <xdr:colOff>197929</xdr:colOff>
      <xdr:row>329</xdr:row>
      <xdr:rowOff>73025</xdr:rowOff>
    </xdr:to>
    <xdr:cxnSp macro="_xll.PtreeEvent_ObjectClick">
      <xdr:nvCxnSpPr>
        <xdr:cNvPr id="678" name="PTObj_DBranchDLine_1_163">
          <a:extLst>
            <a:ext uri="{FF2B5EF4-FFF2-40B4-BE49-F238E27FC236}">
              <a16:creationId xmlns:a16="http://schemas.microsoft.com/office/drawing/2014/main" id="{D8612C7A-AB3F-4040-92E4-4C4B648CD6F8}"/>
            </a:ext>
          </a:extLst>
        </xdr:cNvPr>
        <xdr:cNvCxnSpPr/>
      </xdr:nvCxnSpPr>
      <xdr:spPr>
        <a:xfrm>
          <a:off x="18476404" y="592477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327</xdr:row>
      <xdr:rowOff>69217</xdr:rowOff>
    </xdr:from>
    <xdr:to>
      <xdr:col>9</xdr:col>
      <xdr:colOff>1388870</xdr:colOff>
      <xdr:row>327</xdr:row>
      <xdr:rowOff>69217</xdr:rowOff>
    </xdr:to>
    <xdr:cxnSp macro="_xll.PtreeEvent_ObjectClick">
      <xdr:nvCxnSpPr>
        <xdr:cNvPr id="675" name="PTObj_DBranchHLine_1_162">
          <a:extLst>
            <a:ext uri="{FF2B5EF4-FFF2-40B4-BE49-F238E27FC236}">
              <a16:creationId xmlns:a16="http://schemas.microsoft.com/office/drawing/2014/main" id="{AF1626D0-4D3C-4757-B8E6-AD61D36D5B53}"/>
            </a:ext>
          </a:extLst>
        </xdr:cNvPr>
        <xdr:cNvCxnSpPr/>
      </xdr:nvCxnSpPr>
      <xdr:spPr>
        <a:xfrm>
          <a:off x="17206720" y="592480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325</xdr:row>
      <xdr:rowOff>63184</xdr:rowOff>
    </xdr:from>
    <xdr:to>
      <xdr:col>9</xdr:col>
      <xdr:colOff>204595</xdr:colOff>
      <xdr:row>327</xdr:row>
      <xdr:rowOff>69217</xdr:rowOff>
    </xdr:to>
    <xdr:cxnSp macro="_xll.PtreeEvent_ObjectClick">
      <xdr:nvCxnSpPr>
        <xdr:cNvPr id="674" name="PTObj_DBranchDLine_1_162">
          <a:extLst>
            <a:ext uri="{FF2B5EF4-FFF2-40B4-BE49-F238E27FC236}">
              <a16:creationId xmlns:a16="http://schemas.microsoft.com/office/drawing/2014/main" id="{F0466C73-B841-4DBD-9F00-5B5F1F253A16}"/>
            </a:ext>
          </a:extLst>
        </xdr:cNvPr>
        <xdr:cNvCxnSpPr/>
      </xdr:nvCxnSpPr>
      <xdr:spPr>
        <a:xfrm>
          <a:off x="17054320" y="588800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325</xdr:row>
      <xdr:rowOff>65404</xdr:rowOff>
    </xdr:from>
    <xdr:to>
      <xdr:col>8</xdr:col>
      <xdr:colOff>1392681</xdr:colOff>
      <xdr:row>325</xdr:row>
      <xdr:rowOff>65404</xdr:rowOff>
    </xdr:to>
    <xdr:cxnSp macro="_xll.PtreeEvent_ObjectClick">
      <xdr:nvCxnSpPr>
        <xdr:cNvPr id="671" name="PTObj_DBranchHLine_1_161">
          <a:extLst>
            <a:ext uri="{FF2B5EF4-FFF2-40B4-BE49-F238E27FC236}">
              <a16:creationId xmlns:a16="http://schemas.microsoft.com/office/drawing/2014/main" id="{9920B52B-ECE7-4CCD-95E2-BAE7A9EA1506}"/>
            </a:ext>
          </a:extLst>
        </xdr:cNvPr>
        <xdr:cNvCxnSpPr/>
      </xdr:nvCxnSpPr>
      <xdr:spPr>
        <a:xfrm>
          <a:off x="15782734" y="58882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325</xdr:row>
      <xdr:rowOff>65404</xdr:rowOff>
    </xdr:from>
    <xdr:to>
      <xdr:col>8</xdr:col>
      <xdr:colOff>209359</xdr:colOff>
      <xdr:row>333</xdr:row>
      <xdr:rowOff>75561</xdr:rowOff>
    </xdr:to>
    <xdr:cxnSp macro="_xll.PtreeEvent_ObjectClick">
      <xdr:nvCxnSpPr>
        <xdr:cNvPr id="670" name="PTObj_DBranchDLine_1_161">
          <a:extLst>
            <a:ext uri="{FF2B5EF4-FFF2-40B4-BE49-F238E27FC236}">
              <a16:creationId xmlns:a16="http://schemas.microsoft.com/office/drawing/2014/main" id="{FDF4BFB7-2C9B-4F5B-B0DF-AE4DA746675D}"/>
            </a:ext>
          </a:extLst>
        </xdr:cNvPr>
        <xdr:cNvCxnSpPr/>
      </xdr:nvCxnSpPr>
      <xdr:spPr>
        <a:xfrm flipV="1">
          <a:off x="15630334" y="588822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333</xdr:row>
      <xdr:rowOff>80646</xdr:rowOff>
    </xdr:from>
    <xdr:to>
      <xdr:col>7</xdr:col>
      <xdr:colOff>1398397</xdr:colOff>
      <xdr:row>333</xdr:row>
      <xdr:rowOff>80646</xdr:rowOff>
    </xdr:to>
    <xdr:cxnSp macro="_xll.PtreeEvent_ObjectClick">
      <xdr:nvCxnSpPr>
        <xdr:cNvPr id="667" name="PTObj_DBranchHLine_1_165">
          <a:extLst>
            <a:ext uri="{FF2B5EF4-FFF2-40B4-BE49-F238E27FC236}">
              <a16:creationId xmlns:a16="http://schemas.microsoft.com/office/drawing/2014/main" id="{AA115F5F-9567-4E7E-88BD-4A596A6851E4}"/>
            </a:ext>
          </a:extLst>
        </xdr:cNvPr>
        <xdr:cNvCxnSpPr/>
      </xdr:nvCxnSpPr>
      <xdr:spPr>
        <a:xfrm>
          <a:off x="14360652" y="603453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333</xdr:row>
      <xdr:rowOff>80646</xdr:rowOff>
    </xdr:from>
    <xdr:to>
      <xdr:col>7</xdr:col>
      <xdr:colOff>216027</xdr:colOff>
      <xdr:row>343</xdr:row>
      <xdr:rowOff>100329</xdr:rowOff>
    </xdr:to>
    <xdr:cxnSp macro="_xll.PtreeEvent_ObjectClick">
      <xdr:nvCxnSpPr>
        <xdr:cNvPr id="666" name="PTObj_DBranchDLine_1_165">
          <a:extLst>
            <a:ext uri="{FF2B5EF4-FFF2-40B4-BE49-F238E27FC236}">
              <a16:creationId xmlns:a16="http://schemas.microsoft.com/office/drawing/2014/main" id="{AAA2C766-2272-40AA-B3E8-8BA185949D29}"/>
            </a:ext>
          </a:extLst>
        </xdr:cNvPr>
        <xdr:cNvCxnSpPr/>
      </xdr:nvCxnSpPr>
      <xdr:spPr>
        <a:xfrm flipV="1">
          <a:off x="14208252" y="60345321"/>
          <a:ext cx="152400" cy="18294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343</xdr:row>
      <xdr:rowOff>99696</xdr:rowOff>
    </xdr:from>
    <xdr:to>
      <xdr:col>6</xdr:col>
      <xdr:colOff>1402207</xdr:colOff>
      <xdr:row>343</xdr:row>
      <xdr:rowOff>99696</xdr:rowOff>
    </xdr:to>
    <xdr:cxnSp macro="_xll.PtreeEvent_ObjectClick">
      <xdr:nvCxnSpPr>
        <xdr:cNvPr id="663" name="PTObj_DBranchHLine_1_170">
          <a:extLst>
            <a:ext uri="{FF2B5EF4-FFF2-40B4-BE49-F238E27FC236}">
              <a16:creationId xmlns:a16="http://schemas.microsoft.com/office/drawing/2014/main" id="{337E613E-09F8-46B0-A60C-C914B15DE259}"/>
            </a:ext>
          </a:extLst>
        </xdr:cNvPr>
        <xdr:cNvCxnSpPr/>
      </xdr:nvCxnSpPr>
      <xdr:spPr>
        <a:xfrm>
          <a:off x="12938569" y="62174121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343</xdr:row>
      <xdr:rowOff>99696</xdr:rowOff>
    </xdr:from>
    <xdr:to>
      <xdr:col>6</xdr:col>
      <xdr:colOff>222694</xdr:colOff>
      <xdr:row>363</xdr:row>
      <xdr:rowOff>138429</xdr:rowOff>
    </xdr:to>
    <xdr:cxnSp macro="_xll.PtreeEvent_ObjectClick">
      <xdr:nvCxnSpPr>
        <xdr:cNvPr id="662" name="PTObj_DBranchDLine_1_170">
          <a:extLst>
            <a:ext uri="{FF2B5EF4-FFF2-40B4-BE49-F238E27FC236}">
              <a16:creationId xmlns:a16="http://schemas.microsoft.com/office/drawing/2014/main" id="{23CA8557-C82A-46AB-BF48-47BBB9A43FEA}"/>
            </a:ext>
          </a:extLst>
        </xdr:cNvPr>
        <xdr:cNvCxnSpPr/>
      </xdr:nvCxnSpPr>
      <xdr:spPr>
        <a:xfrm flipV="1">
          <a:off x="12786169" y="62174121"/>
          <a:ext cx="152400" cy="36582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363</xdr:row>
      <xdr:rowOff>137796</xdr:rowOff>
    </xdr:from>
    <xdr:to>
      <xdr:col>5</xdr:col>
      <xdr:colOff>1407922</xdr:colOff>
      <xdr:row>363</xdr:row>
      <xdr:rowOff>137796</xdr:rowOff>
    </xdr:to>
    <xdr:cxnSp macro="_xll.PtreeEvent_ObjectClick">
      <xdr:nvCxnSpPr>
        <xdr:cNvPr id="659" name="PTObj_DBranchHLine_1_180">
          <a:extLst>
            <a:ext uri="{FF2B5EF4-FFF2-40B4-BE49-F238E27FC236}">
              <a16:creationId xmlns:a16="http://schemas.microsoft.com/office/drawing/2014/main" id="{D00490C6-5615-4E2E-BAEF-9E0D80450792}"/>
            </a:ext>
          </a:extLst>
        </xdr:cNvPr>
        <xdr:cNvCxnSpPr/>
      </xdr:nvCxnSpPr>
      <xdr:spPr>
        <a:xfrm>
          <a:off x="11510772" y="65831721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363</xdr:row>
      <xdr:rowOff>137796</xdr:rowOff>
    </xdr:from>
    <xdr:to>
      <xdr:col>5</xdr:col>
      <xdr:colOff>223647</xdr:colOff>
      <xdr:row>404</xdr:row>
      <xdr:rowOff>33654</xdr:rowOff>
    </xdr:to>
    <xdr:cxnSp macro="_xll.PtreeEvent_ObjectClick">
      <xdr:nvCxnSpPr>
        <xdr:cNvPr id="658" name="PTObj_DBranchDLine_1_180">
          <a:extLst>
            <a:ext uri="{FF2B5EF4-FFF2-40B4-BE49-F238E27FC236}">
              <a16:creationId xmlns:a16="http://schemas.microsoft.com/office/drawing/2014/main" id="{C8EA588F-1C22-436B-976A-967DE659E8B7}"/>
            </a:ext>
          </a:extLst>
        </xdr:cNvPr>
        <xdr:cNvCxnSpPr/>
      </xdr:nvCxnSpPr>
      <xdr:spPr>
        <a:xfrm flipV="1">
          <a:off x="11358372" y="65831721"/>
          <a:ext cx="152400" cy="73158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226505</xdr:colOff>
      <xdr:row>404</xdr:row>
      <xdr:rowOff>33021</xdr:rowOff>
    </xdr:from>
    <xdr:to>
      <xdr:col>4</xdr:col>
      <xdr:colOff>1411732</xdr:colOff>
      <xdr:row>404</xdr:row>
      <xdr:rowOff>33021</xdr:rowOff>
    </xdr:to>
    <xdr:cxnSp macro="_xll.PtreeEvent_ObjectClick">
      <xdr:nvCxnSpPr>
        <xdr:cNvPr id="655" name="PTObj_DBranchHLine_1_200">
          <a:extLst>
            <a:ext uri="{FF2B5EF4-FFF2-40B4-BE49-F238E27FC236}">
              <a16:creationId xmlns:a16="http://schemas.microsoft.com/office/drawing/2014/main" id="{E81EFFB4-6449-4DCF-A397-E43974200208}"/>
            </a:ext>
          </a:extLst>
        </xdr:cNvPr>
        <xdr:cNvCxnSpPr/>
      </xdr:nvCxnSpPr>
      <xdr:spPr>
        <a:xfrm>
          <a:off x="10084880" y="73146921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74105</xdr:colOff>
      <xdr:row>404</xdr:row>
      <xdr:rowOff>33021</xdr:rowOff>
    </xdr:from>
    <xdr:to>
      <xdr:col>4</xdr:col>
      <xdr:colOff>226505</xdr:colOff>
      <xdr:row>485</xdr:row>
      <xdr:rowOff>1265</xdr:rowOff>
    </xdr:to>
    <xdr:cxnSp macro="_xll.PtreeEvent_ObjectClick">
      <xdr:nvCxnSpPr>
        <xdr:cNvPr id="654" name="PTObj_DBranchDLine_1_200">
          <a:extLst>
            <a:ext uri="{FF2B5EF4-FFF2-40B4-BE49-F238E27FC236}">
              <a16:creationId xmlns:a16="http://schemas.microsoft.com/office/drawing/2014/main" id="{40F40BE8-AE78-4E4E-879B-870862E702E9}"/>
            </a:ext>
          </a:extLst>
        </xdr:cNvPr>
        <xdr:cNvCxnSpPr/>
      </xdr:nvCxnSpPr>
      <xdr:spPr>
        <a:xfrm flipV="1">
          <a:off x="9932480" y="73146921"/>
          <a:ext cx="152400" cy="14627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228409</xdr:colOff>
      <xdr:row>485</xdr:row>
      <xdr:rowOff>4446</xdr:rowOff>
    </xdr:from>
    <xdr:to>
      <xdr:col>3</xdr:col>
      <xdr:colOff>1417447</xdr:colOff>
      <xdr:row>485</xdr:row>
      <xdr:rowOff>4446</xdr:rowOff>
    </xdr:to>
    <xdr:cxnSp macro="_xll.PtreeEvent_ObjectClick">
      <xdr:nvCxnSpPr>
        <xdr:cNvPr id="651" name="PTObj_DBranchHLine_1_240">
          <a:extLst>
            <a:ext uri="{FF2B5EF4-FFF2-40B4-BE49-F238E27FC236}">
              <a16:creationId xmlns:a16="http://schemas.microsoft.com/office/drawing/2014/main" id="{D99CD198-E681-4BBA-A29A-6F9FA5E85F71}"/>
            </a:ext>
          </a:extLst>
        </xdr:cNvPr>
        <xdr:cNvCxnSpPr/>
      </xdr:nvCxnSpPr>
      <xdr:spPr>
        <a:xfrm>
          <a:off x="8658034" y="87777321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76009</xdr:colOff>
      <xdr:row>323</xdr:row>
      <xdr:rowOff>56511</xdr:rowOff>
    </xdr:from>
    <xdr:to>
      <xdr:col>3</xdr:col>
      <xdr:colOff>228409</xdr:colOff>
      <xdr:row>485</xdr:row>
      <xdr:rowOff>4446</xdr:rowOff>
    </xdr:to>
    <xdr:cxnSp macro="_xll.PtreeEvent_ObjectClick">
      <xdr:nvCxnSpPr>
        <xdr:cNvPr id="650" name="PTObj_DBranchDLine_1_240">
          <a:extLst>
            <a:ext uri="{FF2B5EF4-FFF2-40B4-BE49-F238E27FC236}">
              <a16:creationId xmlns:a16="http://schemas.microsoft.com/office/drawing/2014/main" id="{B8C77EFA-01F8-40E4-A30D-C100F3563562}"/>
            </a:ext>
          </a:extLst>
        </xdr:cNvPr>
        <xdr:cNvCxnSpPr/>
      </xdr:nvCxnSpPr>
      <xdr:spPr>
        <a:xfrm>
          <a:off x="8505634" y="58511436"/>
          <a:ext cx="152400" cy="2926588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321</xdr:row>
      <xdr:rowOff>57783</xdr:rowOff>
    </xdr:from>
    <xdr:to>
      <xdr:col>11</xdr:col>
      <xdr:colOff>1392682</xdr:colOff>
      <xdr:row>321</xdr:row>
      <xdr:rowOff>57783</xdr:rowOff>
    </xdr:to>
    <xdr:cxnSp macro="_xll.PtreeEvent_ObjectClick">
      <xdr:nvCxnSpPr>
        <xdr:cNvPr id="647" name="PTObj_DBranchHLine_1_159">
          <a:extLst>
            <a:ext uri="{FF2B5EF4-FFF2-40B4-BE49-F238E27FC236}">
              <a16:creationId xmlns:a16="http://schemas.microsoft.com/office/drawing/2014/main" id="{4F565CB0-BC4A-41AB-B2BB-EC25E392B973}"/>
            </a:ext>
          </a:extLst>
        </xdr:cNvPr>
        <xdr:cNvCxnSpPr/>
      </xdr:nvCxnSpPr>
      <xdr:spPr>
        <a:xfrm>
          <a:off x="20056601" y="581507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319</xdr:row>
      <xdr:rowOff>41275</xdr:rowOff>
    </xdr:from>
    <xdr:to>
      <xdr:col>11</xdr:col>
      <xdr:colOff>196976</xdr:colOff>
      <xdr:row>321</xdr:row>
      <xdr:rowOff>57783</xdr:rowOff>
    </xdr:to>
    <xdr:cxnSp macro="_xll.PtreeEvent_ObjectClick">
      <xdr:nvCxnSpPr>
        <xdr:cNvPr id="646" name="PTObj_DBranchDLine_1_159">
          <a:extLst>
            <a:ext uri="{FF2B5EF4-FFF2-40B4-BE49-F238E27FC236}">
              <a16:creationId xmlns:a16="http://schemas.microsoft.com/office/drawing/2014/main" id="{700EFC14-91DA-4FE3-BB78-0250F57C0715}"/>
            </a:ext>
          </a:extLst>
        </xdr:cNvPr>
        <xdr:cNvCxnSpPr/>
      </xdr:nvCxnSpPr>
      <xdr:spPr>
        <a:xfrm>
          <a:off x="19904201" y="577723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319</xdr:row>
      <xdr:rowOff>53975</xdr:rowOff>
    </xdr:from>
    <xdr:to>
      <xdr:col>10</xdr:col>
      <xdr:colOff>1392681</xdr:colOff>
      <xdr:row>319</xdr:row>
      <xdr:rowOff>53975</xdr:rowOff>
    </xdr:to>
    <xdr:cxnSp macro="_xll.PtreeEvent_ObjectClick">
      <xdr:nvCxnSpPr>
        <xdr:cNvPr id="643" name="PTObj_DBranchHLine_1_158">
          <a:extLst>
            <a:ext uri="{FF2B5EF4-FFF2-40B4-BE49-F238E27FC236}">
              <a16:creationId xmlns:a16="http://schemas.microsoft.com/office/drawing/2014/main" id="{EA7E00D4-1E71-4796-931A-DD8DE7122EB8}"/>
            </a:ext>
          </a:extLst>
        </xdr:cNvPr>
        <xdr:cNvCxnSpPr/>
      </xdr:nvCxnSpPr>
      <xdr:spPr>
        <a:xfrm>
          <a:off x="18628804" y="57785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317</xdr:row>
      <xdr:rowOff>38422</xdr:rowOff>
    </xdr:from>
    <xdr:to>
      <xdr:col>10</xdr:col>
      <xdr:colOff>197929</xdr:colOff>
      <xdr:row>319</xdr:row>
      <xdr:rowOff>53975</xdr:rowOff>
    </xdr:to>
    <xdr:cxnSp macro="_xll.PtreeEvent_ObjectClick">
      <xdr:nvCxnSpPr>
        <xdr:cNvPr id="642" name="PTObj_DBranchDLine_1_158">
          <a:extLst>
            <a:ext uri="{FF2B5EF4-FFF2-40B4-BE49-F238E27FC236}">
              <a16:creationId xmlns:a16="http://schemas.microsoft.com/office/drawing/2014/main" id="{649956F3-70A6-4359-955A-A4026149606A}"/>
            </a:ext>
          </a:extLst>
        </xdr:cNvPr>
        <xdr:cNvCxnSpPr/>
      </xdr:nvCxnSpPr>
      <xdr:spPr>
        <a:xfrm>
          <a:off x="18476404" y="574074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317</xdr:row>
      <xdr:rowOff>50167</xdr:rowOff>
    </xdr:from>
    <xdr:to>
      <xdr:col>9</xdr:col>
      <xdr:colOff>1388870</xdr:colOff>
      <xdr:row>317</xdr:row>
      <xdr:rowOff>50167</xdr:rowOff>
    </xdr:to>
    <xdr:cxnSp macro="_xll.PtreeEvent_ObjectClick">
      <xdr:nvCxnSpPr>
        <xdr:cNvPr id="639" name="PTObj_DBranchHLine_1_157">
          <a:extLst>
            <a:ext uri="{FF2B5EF4-FFF2-40B4-BE49-F238E27FC236}">
              <a16:creationId xmlns:a16="http://schemas.microsoft.com/office/drawing/2014/main" id="{F850AE64-5CC2-42A7-964B-C6068AAE9D56}"/>
            </a:ext>
          </a:extLst>
        </xdr:cNvPr>
        <xdr:cNvCxnSpPr/>
      </xdr:nvCxnSpPr>
      <xdr:spPr>
        <a:xfrm>
          <a:off x="17206720" y="574192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315</xdr:row>
      <xdr:rowOff>37467</xdr:rowOff>
    </xdr:from>
    <xdr:to>
      <xdr:col>9</xdr:col>
      <xdr:colOff>204595</xdr:colOff>
      <xdr:row>317</xdr:row>
      <xdr:rowOff>50167</xdr:rowOff>
    </xdr:to>
    <xdr:cxnSp macro="_xll.PtreeEvent_ObjectClick">
      <xdr:nvCxnSpPr>
        <xdr:cNvPr id="638" name="PTObj_DBranchDLine_1_157">
          <a:extLst>
            <a:ext uri="{FF2B5EF4-FFF2-40B4-BE49-F238E27FC236}">
              <a16:creationId xmlns:a16="http://schemas.microsoft.com/office/drawing/2014/main" id="{38268410-0395-4B5D-AF45-95C6F0465730}"/>
            </a:ext>
          </a:extLst>
        </xdr:cNvPr>
        <xdr:cNvCxnSpPr/>
      </xdr:nvCxnSpPr>
      <xdr:spPr>
        <a:xfrm>
          <a:off x="17054320" y="570445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315</xdr:row>
      <xdr:rowOff>46354</xdr:rowOff>
    </xdr:from>
    <xdr:to>
      <xdr:col>8</xdr:col>
      <xdr:colOff>1392681</xdr:colOff>
      <xdr:row>315</xdr:row>
      <xdr:rowOff>46354</xdr:rowOff>
    </xdr:to>
    <xdr:cxnSp macro="_xll.PtreeEvent_ObjectClick">
      <xdr:nvCxnSpPr>
        <xdr:cNvPr id="635" name="PTObj_DBranchHLine_1_156">
          <a:extLst>
            <a:ext uri="{FF2B5EF4-FFF2-40B4-BE49-F238E27FC236}">
              <a16:creationId xmlns:a16="http://schemas.microsoft.com/office/drawing/2014/main" id="{A0493F3B-F722-4AFA-837F-F3E3F7F282A8}"/>
            </a:ext>
          </a:extLst>
        </xdr:cNvPr>
        <xdr:cNvCxnSpPr/>
      </xdr:nvCxnSpPr>
      <xdr:spPr>
        <a:xfrm>
          <a:off x="15782734" y="57053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313</xdr:row>
      <xdr:rowOff>37461</xdr:rowOff>
    </xdr:from>
    <xdr:to>
      <xdr:col>8</xdr:col>
      <xdr:colOff>209359</xdr:colOff>
      <xdr:row>315</xdr:row>
      <xdr:rowOff>46354</xdr:rowOff>
    </xdr:to>
    <xdr:cxnSp macro="_xll.PtreeEvent_ObjectClick">
      <xdr:nvCxnSpPr>
        <xdr:cNvPr id="634" name="PTObj_DBranchDLine_1_156">
          <a:extLst>
            <a:ext uri="{FF2B5EF4-FFF2-40B4-BE49-F238E27FC236}">
              <a16:creationId xmlns:a16="http://schemas.microsoft.com/office/drawing/2014/main" id="{746E4756-5F6C-49EC-B8D5-69F6CD20F42D}"/>
            </a:ext>
          </a:extLst>
        </xdr:cNvPr>
        <xdr:cNvCxnSpPr/>
      </xdr:nvCxnSpPr>
      <xdr:spPr>
        <a:xfrm>
          <a:off x="15630334" y="566826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311</xdr:row>
      <xdr:rowOff>38733</xdr:rowOff>
    </xdr:from>
    <xdr:to>
      <xdr:col>11</xdr:col>
      <xdr:colOff>1385063</xdr:colOff>
      <xdr:row>311</xdr:row>
      <xdr:rowOff>38733</xdr:rowOff>
    </xdr:to>
    <xdr:cxnSp macro="_xll.PtreeEvent_ObjectClick">
      <xdr:nvCxnSpPr>
        <xdr:cNvPr id="631" name="PTObj_DBranchHLine_1_154">
          <a:extLst>
            <a:ext uri="{FF2B5EF4-FFF2-40B4-BE49-F238E27FC236}">
              <a16:creationId xmlns:a16="http://schemas.microsoft.com/office/drawing/2014/main" id="{9474CFF6-0548-440E-976C-BA7EBFB020D6}"/>
            </a:ext>
          </a:extLst>
        </xdr:cNvPr>
        <xdr:cNvCxnSpPr/>
      </xdr:nvCxnSpPr>
      <xdr:spPr>
        <a:xfrm>
          <a:off x="20056601" y="563219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309</xdr:row>
      <xdr:rowOff>32699</xdr:rowOff>
    </xdr:from>
    <xdr:to>
      <xdr:col>11</xdr:col>
      <xdr:colOff>196976</xdr:colOff>
      <xdr:row>311</xdr:row>
      <xdr:rowOff>38733</xdr:rowOff>
    </xdr:to>
    <xdr:cxnSp macro="_xll.PtreeEvent_ObjectClick">
      <xdr:nvCxnSpPr>
        <xdr:cNvPr id="630" name="PTObj_DBranchDLine_1_154">
          <a:extLst>
            <a:ext uri="{FF2B5EF4-FFF2-40B4-BE49-F238E27FC236}">
              <a16:creationId xmlns:a16="http://schemas.microsoft.com/office/drawing/2014/main" id="{D95D711F-07E9-4E91-9C6E-BB220D1198DA}"/>
            </a:ext>
          </a:extLst>
        </xdr:cNvPr>
        <xdr:cNvCxnSpPr/>
      </xdr:nvCxnSpPr>
      <xdr:spPr>
        <a:xfrm>
          <a:off x="19904201" y="559539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309</xdr:row>
      <xdr:rowOff>34925</xdr:rowOff>
    </xdr:from>
    <xdr:to>
      <xdr:col>10</xdr:col>
      <xdr:colOff>1392681</xdr:colOff>
      <xdr:row>309</xdr:row>
      <xdr:rowOff>34925</xdr:rowOff>
    </xdr:to>
    <xdr:cxnSp macro="_xll.PtreeEvent_ObjectClick">
      <xdr:nvCxnSpPr>
        <xdr:cNvPr id="627" name="PTObj_DBranchHLine_1_153">
          <a:extLst>
            <a:ext uri="{FF2B5EF4-FFF2-40B4-BE49-F238E27FC236}">
              <a16:creationId xmlns:a16="http://schemas.microsoft.com/office/drawing/2014/main" id="{919CA32D-62E6-47FD-8C1D-4BD5E566CA77}"/>
            </a:ext>
          </a:extLst>
        </xdr:cNvPr>
        <xdr:cNvCxnSpPr/>
      </xdr:nvCxnSpPr>
      <xdr:spPr>
        <a:xfrm>
          <a:off x="18628804" y="55956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307</xdr:row>
      <xdr:rowOff>30795</xdr:rowOff>
    </xdr:from>
    <xdr:to>
      <xdr:col>10</xdr:col>
      <xdr:colOff>197929</xdr:colOff>
      <xdr:row>309</xdr:row>
      <xdr:rowOff>34925</xdr:rowOff>
    </xdr:to>
    <xdr:cxnSp macro="_xll.PtreeEvent_ObjectClick">
      <xdr:nvCxnSpPr>
        <xdr:cNvPr id="626" name="PTObj_DBranchDLine_1_153">
          <a:extLst>
            <a:ext uri="{FF2B5EF4-FFF2-40B4-BE49-F238E27FC236}">
              <a16:creationId xmlns:a16="http://schemas.microsoft.com/office/drawing/2014/main" id="{299B455A-401C-483E-A865-39EA1CD07DA7}"/>
            </a:ext>
          </a:extLst>
        </xdr:cNvPr>
        <xdr:cNvCxnSpPr/>
      </xdr:nvCxnSpPr>
      <xdr:spPr>
        <a:xfrm>
          <a:off x="18476404" y="555901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307</xdr:row>
      <xdr:rowOff>31117</xdr:rowOff>
    </xdr:from>
    <xdr:to>
      <xdr:col>9</xdr:col>
      <xdr:colOff>1388870</xdr:colOff>
      <xdr:row>307</xdr:row>
      <xdr:rowOff>31117</xdr:rowOff>
    </xdr:to>
    <xdr:cxnSp macro="_xll.PtreeEvent_ObjectClick">
      <xdr:nvCxnSpPr>
        <xdr:cNvPr id="623" name="PTObj_DBranchHLine_1_152">
          <a:extLst>
            <a:ext uri="{FF2B5EF4-FFF2-40B4-BE49-F238E27FC236}">
              <a16:creationId xmlns:a16="http://schemas.microsoft.com/office/drawing/2014/main" id="{8A93975D-03EA-4101-9272-4DF3162D143D}"/>
            </a:ext>
          </a:extLst>
        </xdr:cNvPr>
        <xdr:cNvCxnSpPr/>
      </xdr:nvCxnSpPr>
      <xdr:spPr>
        <a:xfrm>
          <a:off x="17206720" y="555904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305</xdr:row>
      <xdr:rowOff>25084</xdr:rowOff>
    </xdr:from>
    <xdr:to>
      <xdr:col>9</xdr:col>
      <xdr:colOff>204595</xdr:colOff>
      <xdr:row>307</xdr:row>
      <xdr:rowOff>31117</xdr:rowOff>
    </xdr:to>
    <xdr:cxnSp macro="_xll.PtreeEvent_ObjectClick">
      <xdr:nvCxnSpPr>
        <xdr:cNvPr id="622" name="PTObj_DBranchDLine_1_152">
          <a:extLst>
            <a:ext uri="{FF2B5EF4-FFF2-40B4-BE49-F238E27FC236}">
              <a16:creationId xmlns:a16="http://schemas.microsoft.com/office/drawing/2014/main" id="{93E696F1-F9EB-436C-9764-CFE7D48B58D0}"/>
            </a:ext>
          </a:extLst>
        </xdr:cNvPr>
        <xdr:cNvCxnSpPr/>
      </xdr:nvCxnSpPr>
      <xdr:spPr>
        <a:xfrm>
          <a:off x="17054320" y="55222459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305</xdr:row>
      <xdr:rowOff>27304</xdr:rowOff>
    </xdr:from>
    <xdr:to>
      <xdr:col>8</xdr:col>
      <xdr:colOff>1392681</xdr:colOff>
      <xdr:row>305</xdr:row>
      <xdr:rowOff>27304</xdr:rowOff>
    </xdr:to>
    <xdr:cxnSp macro="_xll.PtreeEvent_ObjectClick">
      <xdr:nvCxnSpPr>
        <xdr:cNvPr id="619" name="PTObj_DBranchHLine_1_151">
          <a:extLst>
            <a:ext uri="{FF2B5EF4-FFF2-40B4-BE49-F238E27FC236}">
              <a16:creationId xmlns:a16="http://schemas.microsoft.com/office/drawing/2014/main" id="{C5B92D36-991F-419A-94D7-39FE17BB6E23}"/>
            </a:ext>
          </a:extLst>
        </xdr:cNvPr>
        <xdr:cNvCxnSpPr/>
      </xdr:nvCxnSpPr>
      <xdr:spPr>
        <a:xfrm>
          <a:off x="15782734" y="55224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305</xdr:row>
      <xdr:rowOff>27304</xdr:rowOff>
    </xdr:from>
    <xdr:to>
      <xdr:col>8</xdr:col>
      <xdr:colOff>209359</xdr:colOff>
      <xdr:row>313</xdr:row>
      <xdr:rowOff>37461</xdr:rowOff>
    </xdr:to>
    <xdr:cxnSp macro="_xll.PtreeEvent_ObjectClick">
      <xdr:nvCxnSpPr>
        <xdr:cNvPr id="618" name="PTObj_DBranchDLine_1_151">
          <a:extLst>
            <a:ext uri="{FF2B5EF4-FFF2-40B4-BE49-F238E27FC236}">
              <a16:creationId xmlns:a16="http://schemas.microsoft.com/office/drawing/2014/main" id="{882B7D6C-12E8-482D-B541-51995D821CCA}"/>
            </a:ext>
          </a:extLst>
        </xdr:cNvPr>
        <xdr:cNvCxnSpPr/>
      </xdr:nvCxnSpPr>
      <xdr:spPr>
        <a:xfrm flipV="1">
          <a:off x="15630334" y="552246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313</xdr:row>
      <xdr:rowOff>42546</xdr:rowOff>
    </xdr:from>
    <xdr:to>
      <xdr:col>7</xdr:col>
      <xdr:colOff>1398397</xdr:colOff>
      <xdr:row>313</xdr:row>
      <xdr:rowOff>42546</xdr:rowOff>
    </xdr:to>
    <xdr:cxnSp macro="_xll.PtreeEvent_ObjectClick">
      <xdr:nvCxnSpPr>
        <xdr:cNvPr id="615" name="PTObj_DBranchHLine_1_155">
          <a:extLst>
            <a:ext uri="{FF2B5EF4-FFF2-40B4-BE49-F238E27FC236}">
              <a16:creationId xmlns:a16="http://schemas.microsoft.com/office/drawing/2014/main" id="{B58F544E-D903-416E-9F66-9582EB7B1805}"/>
            </a:ext>
          </a:extLst>
        </xdr:cNvPr>
        <xdr:cNvCxnSpPr/>
      </xdr:nvCxnSpPr>
      <xdr:spPr>
        <a:xfrm>
          <a:off x="14362557" y="566877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303</xdr:row>
      <xdr:rowOff>18411</xdr:rowOff>
    </xdr:from>
    <xdr:to>
      <xdr:col>7</xdr:col>
      <xdr:colOff>217932</xdr:colOff>
      <xdr:row>313</xdr:row>
      <xdr:rowOff>42546</xdr:rowOff>
    </xdr:to>
    <xdr:cxnSp macro="_xll.PtreeEvent_ObjectClick">
      <xdr:nvCxnSpPr>
        <xdr:cNvPr id="614" name="PTObj_DBranchDLine_1_155">
          <a:extLst>
            <a:ext uri="{FF2B5EF4-FFF2-40B4-BE49-F238E27FC236}">
              <a16:creationId xmlns:a16="http://schemas.microsoft.com/office/drawing/2014/main" id="{6110C717-C62B-4085-ACF6-5C1896C65D32}"/>
            </a:ext>
          </a:extLst>
        </xdr:cNvPr>
        <xdr:cNvCxnSpPr/>
      </xdr:nvCxnSpPr>
      <xdr:spPr>
        <a:xfrm>
          <a:off x="14210157" y="54853836"/>
          <a:ext cx="152400" cy="183388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301</xdr:row>
      <xdr:rowOff>19683</xdr:rowOff>
    </xdr:from>
    <xdr:to>
      <xdr:col>11</xdr:col>
      <xdr:colOff>1392682</xdr:colOff>
      <xdr:row>301</xdr:row>
      <xdr:rowOff>19683</xdr:rowOff>
    </xdr:to>
    <xdr:cxnSp macro="_xll.PtreeEvent_ObjectClick">
      <xdr:nvCxnSpPr>
        <xdr:cNvPr id="611" name="PTObj_DBranchHLine_1_149">
          <a:extLst>
            <a:ext uri="{FF2B5EF4-FFF2-40B4-BE49-F238E27FC236}">
              <a16:creationId xmlns:a16="http://schemas.microsoft.com/office/drawing/2014/main" id="{9AA01E93-6363-405A-8754-FDAD206A4733}"/>
            </a:ext>
          </a:extLst>
        </xdr:cNvPr>
        <xdr:cNvCxnSpPr/>
      </xdr:nvCxnSpPr>
      <xdr:spPr>
        <a:xfrm>
          <a:off x="20056601" y="54493158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299</xdr:row>
      <xdr:rowOff>3175</xdr:rowOff>
    </xdr:from>
    <xdr:to>
      <xdr:col>11</xdr:col>
      <xdr:colOff>196976</xdr:colOff>
      <xdr:row>301</xdr:row>
      <xdr:rowOff>19683</xdr:rowOff>
    </xdr:to>
    <xdr:cxnSp macro="_xll.PtreeEvent_ObjectClick">
      <xdr:nvCxnSpPr>
        <xdr:cNvPr id="610" name="PTObj_DBranchDLine_1_149">
          <a:extLst>
            <a:ext uri="{FF2B5EF4-FFF2-40B4-BE49-F238E27FC236}">
              <a16:creationId xmlns:a16="http://schemas.microsoft.com/office/drawing/2014/main" id="{421A7A89-6246-4085-9B01-D092AABF0DA2}"/>
            </a:ext>
          </a:extLst>
        </xdr:cNvPr>
        <xdr:cNvCxnSpPr/>
      </xdr:nvCxnSpPr>
      <xdr:spPr>
        <a:xfrm>
          <a:off x="19904201" y="54114700"/>
          <a:ext cx="152400" cy="37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299</xdr:row>
      <xdr:rowOff>15875</xdr:rowOff>
    </xdr:from>
    <xdr:to>
      <xdr:col>10</xdr:col>
      <xdr:colOff>1392681</xdr:colOff>
      <xdr:row>299</xdr:row>
      <xdr:rowOff>15875</xdr:rowOff>
    </xdr:to>
    <xdr:cxnSp macro="_xll.PtreeEvent_ObjectClick">
      <xdr:nvCxnSpPr>
        <xdr:cNvPr id="607" name="PTObj_DBranchHLine_1_148">
          <a:extLst>
            <a:ext uri="{FF2B5EF4-FFF2-40B4-BE49-F238E27FC236}">
              <a16:creationId xmlns:a16="http://schemas.microsoft.com/office/drawing/2014/main" id="{79C3A9D7-64B4-48EE-A9AB-315DA49B2F77}"/>
            </a:ext>
          </a:extLst>
        </xdr:cNvPr>
        <xdr:cNvCxnSpPr/>
      </xdr:nvCxnSpPr>
      <xdr:spPr>
        <a:xfrm>
          <a:off x="18628804" y="54127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297</xdr:row>
      <xdr:rowOff>322</xdr:rowOff>
    </xdr:from>
    <xdr:to>
      <xdr:col>10</xdr:col>
      <xdr:colOff>197929</xdr:colOff>
      <xdr:row>299</xdr:row>
      <xdr:rowOff>15875</xdr:rowOff>
    </xdr:to>
    <xdr:cxnSp macro="_xll.PtreeEvent_ObjectClick">
      <xdr:nvCxnSpPr>
        <xdr:cNvPr id="606" name="PTObj_DBranchDLine_1_148">
          <a:extLst>
            <a:ext uri="{FF2B5EF4-FFF2-40B4-BE49-F238E27FC236}">
              <a16:creationId xmlns:a16="http://schemas.microsoft.com/office/drawing/2014/main" id="{32CF1DDA-B419-48D9-88AF-EBBA2E822950}"/>
            </a:ext>
          </a:extLst>
        </xdr:cNvPr>
        <xdr:cNvCxnSpPr/>
      </xdr:nvCxnSpPr>
      <xdr:spPr>
        <a:xfrm>
          <a:off x="18476404" y="53749897"/>
          <a:ext cx="152400" cy="3775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297</xdr:row>
      <xdr:rowOff>12067</xdr:rowOff>
    </xdr:from>
    <xdr:to>
      <xdr:col>9</xdr:col>
      <xdr:colOff>1388870</xdr:colOff>
      <xdr:row>297</xdr:row>
      <xdr:rowOff>12067</xdr:rowOff>
    </xdr:to>
    <xdr:cxnSp macro="_xll.PtreeEvent_ObjectClick">
      <xdr:nvCxnSpPr>
        <xdr:cNvPr id="603" name="PTObj_DBranchHLine_1_147">
          <a:extLst>
            <a:ext uri="{FF2B5EF4-FFF2-40B4-BE49-F238E27FC236}">
              <a16:creationId xmlns:a16="http://schemas.microsoft.com/office/drawing/2014/main" id="{BC1822AF-D0F2-4C23-897D-FC2741B2F1C9}"/>
            </a:ext>
          </a:extLst>
        </xdr:cNvPr>
        <xdr:cNvCxnSpPr/>
      </xdr:nvCxnSpPr>
      <xdr:spPr>
        <a:xfrm>
          <a:off x="17206720" y="53761642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294</xdr:row>
      <xdr:rowOff>180342</xdr:rowOff>
    </xdr:from>
    <xdr:to>
      <xdr:col>9</xdr:col>
      <xdr:colOff>204595</xdr:colOff>
      <xdr:row>297</xdr:row>
      <xdr:rowOff>12067</xdr:rowOff>
    </xdr:to>
    <xdr:cxnSp macro="_xll.PtreeEvent_ObjectClick">
      <xdr:nvCxnSpPr>
        <xdr:cNvPr id="602" name="PTObj_DBranchDLine_1_147">
          <a:extLst>
            <a:ext uri="{FF2B5EF4-FFF2-40B4-BE49-F238E27FC236}">
              <a16:creationId xmlns:a16="http://schemas.microsoft.com/office/drawing/2014/main" id="{62A4D8EC-70D6-425C-B5C7-0DCE2662D0A0}"/>
            </a:ext>
          </a:extLst>
        </xdr:cNvPr>
        <xdr:cNvCxnSpPr/>
      </xdr:nvCxnSpPr>
      <xdr:spPr>
        <a:xfrm>
          <a:off x="17054320" y="53386992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295</xdr:row>
      <xdr:rowOff>8254</xdr:rowOff>
    </xdr:from>
    <xdr:to>
      <xdr:col>8</xdr:col>
      <xdr:colOff>1392681</xdr:colOff>
      <xdr:row>295</xdr:row>
      <xdr:rowOff>8254</xdr:rowOff>
    </xdr:to>
    <xdr:cxnSp macro="_xll.PtreeEvent_ObjectClick">
      <xdr:nvCxnSpPr>
        <xdr:cNvPr id="599" name="PTObj_DBranchHLine_1_146">
          <a:extLst>
            <a:ext uri="{FF2B5EF4-FFF2-40B4-BE49-F238E27FC236}">
              <a16:creationId xmlns:a16="http://schemas.microsoft.com/office/drawing/2014/main" id="{B2E63DEB-2C2C-4714-BE8A-729FA788F8DD}"/>
            </a:ext>
          </a:extLst>
        </xdr:cNvPr>
        <xdr:cNvCxnSpPr/>
      </xdr:nvCxnSpPr>
      <xdr:spPr>
        <a:xfrm>
          <a:off x="15782734" y="53395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292</xdr:row>
      <xdr:rowOff>180336</xdr:rowOff>
    </xdr:from>
    <xdr:to>
      <xdr:col>8</xdr:col>
      <xdr:colOff>209359</xdr:colOff>
      <xdr:row>295</xdr:row>
      <xdr:rowOff>8254</xdr:rowOff>
    </xdr:to>
    <xdr:cxnSp macro="_xll.PtreeEvent_ObjectClick">
      <xdr:nvCxnSpPr>
        <xdr:cNvPr id="598" name="PTObj_DBranchDLine_1_146">
          <a:extLst>
            <a:ext uri="{FF2B5EF4-FFF2-40B4-BE49-F238E27FC236}">
              <a16:creationId xmlns:a16="http://schemas.microsoft.com/office/drawing/2014/main" id="{D5F48B88-7273-4C58-89DA-EEEE7821FD37}"/>
            </a:ext>
          </a:extLst>
        </xdr:cNvPr>
        <xdr:cNvCxnSpPr/>
      </xdr:nvCxnSpPr>
      <xdr:spPr>
        <a:xfrm>
          <a:off x="15630334" y="53025036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291</xdr:row>
      <xdr:rowOff>633</xdr:rowOff>
    </xdr:from>
    <xdr:to>
      <xdr:col>11</xdr:col>
      <xdr:colOff>1385063</xdr:colOff>
      <xdr:row>291</xdr:row>
      <xdr:rowOff>633</xdr:rowOff>
    </xdr:to>
    <xdr:cxnSp macro="_xll.PtreeEvent_ObjectClick">
      <xdr:nvCxnSpPr>
        <xdr:cNvPr id="595" name="PTObj_DBranchHLine_1_144">
          <a:extLst>
            <a:ext uri="{FF2B5EF4-FFF2-40B4-BE49-F238E27FC236}">
              <a16:creationId xmlns:a16="http://schemas.microsoft.com/office/drawing/2014/main" id="{8796EEB9-EC80-4A5E-98CA-59957A572A3A}"/>
            </a:ext>
          </a:extLst>
        </xdr:cNvPr>
        <xdr:cNvCxnSpPr/>
      </xdr:nvCxnSpPr>
      <xdr:spPr>
        <a:xfrm>
          <a:off x="20056601" y="52664358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288</xdr:row>
      <xdr:rowOff>175574</xdr:rowOff>
    </xdr:from>
    <xdr:to>
      <xdr:col>11</xdr:col>
      <xdr:colOff>196976</xdr:colOff>
      <xdr:row>291</xdr:row>
      <xdr:rowOff>633</xdr:rowOff>
    </xdr:to>
    <xdr:cxnSp macro="_xll.PtreeEvent_ObjectClick">
      <xdr:nvCxnSpPr>
        <xdr:cNvPr id="594" name="PTObj_DBranchDLine_1_144">
          <a:extLst>
            <a:ext uri="{FF2B5EF4-FFF2-40B4-BE49-F238E27FC236}">
              <a16:creationId xmlns:a16="http://schemas.microsoft.com/office/drawing/2014/main" id="{FDA9955E-E848-4716-A9DC-04DCE318A37B}"/>
            </a:ext>
          </a:extLst>
        </xdr:cNvPr>
        <xdr:cNvCxnSpPr/>
      </xdr:nvCxnSpPr>
      <xdr:spPr>
        <a:xfrm>
          <a:off x="19904201" y="52296374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288</xdr:row>
      <xdr:rowOff>177800</xdr:rowOff>
    </xdr:from>
    <xdr:to>
      <xdr:col>10</xdr:col>
      <xdr:colOff>1392681</xdr:colOff>
      <xdr:row>288</xdr:row>
      <xdr:rowOff>177800</xdr:rowOff>
    </xdr:to>
    <xdr:cxnSp macro="_xll.PtreeEvent_ObjectClick">
      <xdr:nvCxnSpPr>
        <xdr:cNvPr id="591" name="PTObj_DBranchHLine_1_143">
          <a:extLst>
            <a:ext uri="{FF2B5EF4-FFF2-40B4-BE49-F238E27FC236}">
              <a16:creationId xmlns:a16="http://schemas.microsoft.com/office/drawing/2014/main" id="{D79FBAFA-36A5-48AE-AA90-BCFDC2D1975B}"/>
            </a:ext>
          </a:extLst>
        </xdr:cNvPr>
        <xdr:cNvCxnSpPr/>
      </xdr:nvCxnSpPr>
      <xdr:spPr>
        <a:xfrm>
          <a:off x="18628804" y="52298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286</xdr:row>
      <xdr:rowOff>173670</xdr:rowOff>
    </xdr:from>
    <xdr:to>
      <xdr:col>10</xdr:col>
      <xdr:colOff>197929</xdr:colOff>
      <xdr:row>288</xdr:row>
      <xdr:rowOff>177800</xdr:rowOff>
    </xdr:to>
    <xdr:cxnSp macro="_xll.PtreeEvent_ObjectClick">
      <xdr:nvCxnSpPr>
        <xdr:cNvPr id="590" name="PTObj_DBranchDLine_1_143">
          <a:extLst>
            <a:ext uri="{FF2B5EF4-FFF2-40B4-BE49-F238E27FC236}">
              <a16:creationId xmlns:a16="http://schemas.microsoft.com/office/drawing/2014/main" id="{70A9F845-8BCA-4237-8D5B-F5760BB3C1BA}"/>
            </a:ext>
          </a:extLst>
        </xdr:cNvPr>
        <xdr:cNvCxnSpPr/>
      </xdr:nvCxnSpPr>
      <xdr:spPr>
        <a:xfrm>
          <a:off x="18476404" y="519325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286</xdr:row>
      <xdr:rowOff>173989</xdr:rowOff>
    </xdr:from>
    <xdr:to>
      <xdr:col>9</xdr:col>
      <xdr:colOff>1388870</xdr:colOff>
      <xdr:row>286</xdr:row>
      <xdr:rowOff>173989</xdr:rowOff>
    </xdr:to>
    <xdr:cxnSp macro="_xll.PtreeEvent_ObjectClick">
      <xdr:nvCxnSpPr>
        <xdr:cNvPr id="587" name="PTObj_DBranchHLine_1_142">
          <a:extLst>
            <a:ext uri="{FF2B5EF4-FFF2-40B4-BE49-F238E27FC236}">
              <a16:creationId xmlns:a16="http://schemas.microsoft.com/office/drawing/2014/main" id="{96C8A0DA-D3AF-47D8-A6CB-5A20468BF85C}"/>
            </a:ext>
          </a:extLst>
        </xdr:cNvPr>
        <xdr:cNvCxnSpPr/>
      </xdr:nvCxnSpPr>
      <xdr:spPr>
        <a:xfrm>
          <a:off x="17206720" y="519328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284</xdr:row>
      <xdr:rowOff>167956</xdr:rowOff>
    </xdr:from>
    <xdr:to>
      <xdr:col>9</xdr:col>
      <xdr:colOff>204595</xdr:colOff>
      <xdr:row>286</xdr:row>
      <xdr:rowOff>173989</xdr:rowOff>
    </xdr:to>
    <xdr:cxnSp macro="_xll.PtreeEvent_ObjectClick">
      <xdr:nvCxnSpPr>
        <xdr:cNvPr id="586" name="PTObj_DBranchDLine_1_142">
          <a:extLst>
            <a:ext uri="{FF2B5EF4-FFF2-40B4-BE49-F238E27FC236}">
              <a16:creationId xmlns:a16="http://schemas.microsoft.com/office/drawing/2014/main" id="{BF81D16C-DC24-4261-8337-B448EB8EF563}"/>
            </a:ext>
          </a:extLst>
        </xdr:cNvPr>
        <xdr:cNvCxnSpPr/>
      </xdr:nvCxnSpPr>
      <xdr:spPr>
        <a:xfrm>
          <a:off x="17054320" y="51564856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284</xdr:row>
      <xdr:rowOff>170179</xdr:rowOff>
    </xdr:from>
    <xdr:to>
      <xdr:col>8</xdr:col>
      <xdr:colOff>1392681</xdr:colOff>
      <xdr:row>284</xdr:row>
      <xdr:rowOff>170179</xdr:rowOff>
    </xdr:to>
    <xdr:cxnSp macro="_xll.PtreeEvent_ObjectClick">
      <xdr:nvCxnSpPr>
        <xdr:cNvPr id="583" name="PTObj_DBranchHLine_1_141">
          <a:extLst>
            <a:ext uri="{FF2B5EF4-FFF2-40B4-BE49-F238E27FC236}">
              <a16:creationId xmlns:a16="http://schemas.microsoft.com/office/drawing/2014/main" id="{1CDE45C4-4D3F-4CA8-B900-AF335C710CF9}"/>
            </a:ext>
          </a:extLst>
        </xdr:cNvPr>
        <xdr:cNvCxnSpPr/>
      </xdr:nvCxnSpPr>
      <xdr:spPr>
        <a:xfrm>
          <a:off x="15782734" y="51567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284</xdr:row>
      <xdr:rowOff>170179</xdr:rowOff>
    </xdr:from>
    <xdr:to>
      <xdr:col>8</xdr:col>
      <xdr:colOff>209359</xdr:colOff>
      <xdr:row>292</xdr:row>
      <xdr:rowOff>180336</xdr:rowOff>
    </xdr:to>
    <xdr:cxnSp macro="_xll.PtreeEvent_ObjectClick">
      <xdr:nvCxnSpPr>
        <xdr:cNvPr id="582" name="PTObj_DBranchDLine_1_141">
          <a:extLst>
            <a:ext uri="{FF2B5EF4-FFF2-40B4-BE49-F238E27FC236}">
              <a16:creationId xmlns:a16="http://schemas.microsoft.com/office/drawing/2014/main" id="{EE2E8E22-ED26-4F05-B576-DC3AD3B3DCF0}"/>
            </a:ext>
          </a:extLst>
        </xdr:cNvPr>
        <xdr:cNvCxnSpPr/>
      </xdr:nvCxnSpPr>
      <xdr:spPr>
        <a:xfrm flipV="1">
          <a:off x="15630334" y="51567079"/>
          <a:ext cx="152400" cy="145795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293</xdr:row>
      <xdr:rowOff>4446</xdr:rowOff>
    </xdr:from>
    <xdr:to>
      <xdr:col>7</xdr:col>
      <xdr:colOff>1398397</xdr:colOff>
      <xdr:row>293</xdr:row>
      <xdr:rowOff>4446</xdr:rowOff>
    </xdr:to>
    <xdr:cxnSp macro="_xll.PtreeEvent_ObjectClick">
      <xdr:nvCxnSpPr>
        <xdr:cNvPr id="579" name="PTObj_DBranchHLine_1_145">
          <a:extLst>
            <a:ext uri="{FF2B5EF4-FFF2-40B4-BE49-F238E27FC236}">
              <a16:creationId xmlns:a16="http://schemas.microsoft.com/office/drawing/2014/main" id="{742E7AEC-4A36-40B8-B7BF-1EF420004B13}"/>
            </a:ext>
          </a:extLst>
        </xdr:cNvPr>
        <xdr:cNvCxnSpPr/>
      </xdr:nvCxnSpPr>
      <xdr:spPr>
        <a:xfrm>
          <a:off x="14360652" y="530301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293</xdr:row>
      <xdr:rowOff>4446</xdr:rowOff>
    </xdr:from>
    <xdr:to>
      <xdr:col>7</xdr:col>
      <xdr:colOff>216027</xdr:colOff>
      <xdr:row>303</xdr:row>
      <xdr:rowOff>18411</xdr:rowOff>
    </xdr:to>
    <xdr:cxnSp macro="_xll.PtreeEvent_ObjectClick">
      <xdr:nvCxnSpPr>
        <xdr:cNvPr id="578" name="PTObj_DBranchDLine_1_145">
          <a:extLst>
            <a:ext uri="{FF2B5EF4-FFF2-40B4-BE49-F238E27FC236}">
              <a16:creationId xmlns:a16="http://schemas.microsoft.com/office/drawing/2014/main" id="{BC707A13-2957-45DB-B302-E857C51265D8}"/>
            </a:ext>
          </a:extLst>
        </xdr:cNvPr>
        <xdr:cNvCxnSpPr/>
      </xdr:nvCxnSpPr>
      <xdr:spPr>
        <a:xfrm flipV="1">
          <a:off x="14208252" y="53030121"/>
          <a:ext cx="152400" cy="18237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303</xdr:row>
      <xdr:rowOff>23496</xdr:rowOff>
    </xdr:from>
    <xdr:to>
      <xdr:col>6</xdr:col>
      <xdr:colOff>1402207</xdr:colOff>
      <xdr:row>303</xdr:row>
      <xdr:rowOff>23496</xdr:rowOff>
    </xdr:to>
    <xdr:cxnSp macro="_xll.PtreeEvent_ObjectClick">
      <xdr:nvCxnSpPr>
        <xdr:cNvPr id="575" name="PTObj_DBranchHLine_1_150">
          <a:extLst>
            <a:ext uri="{FF2B5EF4-FFF2-40B4-BE49-F238E27FC236}">
              <a16:creationId xmlns:a16="http://schemas.microsoft.com/office/drawing/2014/main" id="{C6792DBA-116F-4522-A84C-67874C1D0164}"/>
            </a:ext>
          </a:extLst>
        </xdr:cNvPr>
        <xdr:cNvCxnSpPr/>
      </xdr:nvCxnSpPr>
      <xdr:spPr>
        <a:xfrm>
          <a:off x="12936665" y="54858921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282</xdr:row>
      <xdr:rowOff>161289</xdr:rowOff>
    </xdr:from>
    <xdr:to>
      <xdr:col>6</xdr:col>
      <xdr:colOff>220790</xdr:colOff>
      <xdr:row>303</xdr:row>
      <xdr:rowOff>23496</xdr:rowOff>
    </xdr:to>
    <xdr:cxnSp macro="_xll.PtreeEvent_ObjectClick">
      <xdr:nvCxnSpPr>
        <xdr:cNvPr id="574" name="PTObj_DBranchDLine_1_150">
          <a:extLst>
            <a:ext uri="{FF2B5EF4-FFF2-40B4-BE49-F238E27FC236}">
              <a16:creationId xmlns:a16="http://schemas.microsoft.com/office/drawing/2014/main" id="{E9A43E75-B8BF-443B-A312-5FC08C42BDB1}"/>
            </a:ext>
          </a:extLst>
        </xdr:cNvPr>
        <xdr:cNvCxnSpPr/>
      </xdr:nvCxnSpPr>
      <xdr:spPr>
        <a:xfrm>
          <a:off x="12784265" y="51196239"/>
          <a:ext cx="152400" cy="3662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280</xdr:row>
      <xdr:rowOff>162561</xdr:rowOff>
    </xdr:from>
    <xdr:to>
      <xdr:col>11</xdr:col>
      <xdr:colOff>1392682</xdr:colOff>
      <xdr:row>280</xdr:row>
      <xdr:rowOff>162561</xdr:rowOff>
    </xdr:to>
    <xdr:cxnSp macro="_xll.PtreeEvent_ObjectClick">
      <xdr:nvCxnSpPr>
        <xdr:cNvPr id="571" name="PTObj_DBranchHLine_1_139">
          <a:extLst>
            <a:ext uri="{FF2B5EF4-FFF2-40B4-BE49-F238E27FC236}">
              <a16:creationId xmlns:a16="http://schemas.microsoft.com/office/drawing/2014/main" id="{FA74ED79-81DE-4AC2-8098-162E14351DB0}"/>
            </a:ext>
          </a:extLst>
        </xdr:cNvPr>
        <xdr:cNvCxnSpPr/>
      </xdr:nvCxnSpPr>
      <xdr:spPr>
        <a:xfrm>
          <a:off x="20056601" y="50835561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278</xdr:row>
      <xdr:rowOff>146050</xdr:rowOff>
    </xdr:from>
    <xdr:to>
      <xdr:col>11</xdr:col>
      <xdr:colOff>196976</xdr:colOff>
      <xdr:row>280</xdr:row>
      <xdr:rowOff>162561</xdr:rowOff>
    </xdr:to>
    <xdr:cxnSp macro="_xll.PtreeEvent_ObjectClick">
      <xdr:nvCxnSpPr>
        <xdr:cNvPr id="570" name="PTObj_DBranchDLine_1_139">
          <a:extLst>
            <a:ext uri="{FF2B5EF4-FFF2-40B4-BE49-F238E27FC236}">
              <a16:creationId xmlns:a16="http://schemas.microsoft.com/office/drawing/2014/main" id="{FD635C25-6209-4F7C-BBC4-43CC6303FC61}"/>
            </a:ext>
          </a:extLst>
        </xdr:cNvPr>
        <xdr:cNvCxnSpPr/>
      </xdr:nvCxnSpPr>
      <xdr:spPr>
        <a:xfrm>
          <a:off x="19904201" y="50457100"/>
          <a:ext cx="152400" cy="3784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278</xdr:row>
      <xdr:rowOff>158750</xdr:rowOff>
    </xdr:from>
    <xdr:to>
      <xdr:col>10</xdr:col>
      <xdr:colOff>1392681</xdr:colOff>
      <xdr:row>278</xdr:row>
      <xdr:rowOff>158750</xdr:rowOff>
    </xdr:to>
    <xdr:cxnSp macro="_xll.PtreeEvent_ObjectClick">
      <xdr:nvCxnSpPr>
        <xdr:cNvPr id="567" name="PTObj_DBranchHLine_1_138">
          <a:extLst>
            <a:ext uri="{FF2B5EF4-FFF2-40B4-BE49-F238E27FC236}">
              <a16:creationId xmlns:a16="http://schemas.microsoft.com/office/drawing/2014/main" id="{F50ACD01-D8DF-4D7F-9579-76301C34560E}"/>
            </a:ext>
          </a:extLst>
        </xdr:cNvPr>
        <xdr:cNvCxnSpPr/>
      </xdr:nvCxnSpPr>
      <xdr:spPr>
        <a:xfrm>
          <a:off x="18628804" y="50469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276</xdr:row>
      <xdr:rowOff>143194</xdr:rowOff>
    </xdr:from>
    <xdr:to>
      <xdr:col>10</xdr:col>
      <xdr:colOff>197929</xdr:colOff>
      <xdr:row>278</xdr:row>
      <xdr:rowOff>158750</xdr:rowOff>
    </xdr:to>
    <xdr:cxnSp macro="_xll.PtreeEvent_ObjectClick">
      <xdr:nvCxnSpPr>
        <xdr:cNvPr id="566" name="PTObj_DBranchDLine_1_138">
          <a:extLst>
            <a:ext uri="{FF2B5EF4-FFF2-40B4-BE49-F238E27FC236}">
              <a16:creationId xmlns:a16="http://schemas.microsoft.com/office/drawing/2014/main" id="{CC11675B-28E8-4529-904A-AE47F4A3FB33}"/>
            </a:ext>
          </a:extLst>
        </xdr:cNvPr>
        <xdr:cNvCxnSpPr/>
      </xdr:nvCxnSpPr>
      <xdr:spPr>
        <a:xfrm>
          <a:off x="18476404" y="50092294"/>
          <a:ext cx="152400" cy="37750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276</xdr:row>
      <xdr:rowOff>154939</xdr:rowOff>
    </xdr:from>
    <xdr:to>
      <xdr:col>9</xdr:col>
      <xdr:colOff>1388870</xdr:colOff>
      <xdr:row>276</xdr:row>
      <xdr:rowOff>154939</xdr:rowOff>
    </xdr:to>
    <xdr:cxnSp macro="_xll.PtreeEvent_ObjectClick">
      <xdr:nvCxnSpPr>
        <xdr:cNvPr id="563" name="PTObj_DBranchHLine_1_137">
          <a:extLst>
            <a:ext uri="{FF2B5EF4-FFF2-40B4-BE49-F238E27FC236}">
              <a16:creationId xmlns:a16="http://schemas.microsoft.com/office/drawing/2014/main" id="{75C9D78A-DE52-4740-93AC-45A28138E3F3}"/>
            </a:ext>
          </a:extLst>
        </xdr:cNvPr>
        <xdr:cNvCxnSpPr/>
      </xdr:nvCxnSpPr>
      <xdr:spPr>
        <a:xfrm>
          <a:off x="17206720" y="501040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274</xdr:row>
      <xdr:rowOff>142239</xdr:rowOff>
    </xdr:from>
    <xdr:to>
      <xdr:col>9</xdr:col>
      <xdr:colOff>204595</xdr:colOff>
      <xdr:row>276</xdr:row>
      <xdr:rowOff>154939</xdr:rowOff>
    </xdr:to>
    <xdr:cxnSp macro="_xll.PtreeEvent_ObjectClick">
      <xdr:nvCxnSpPr>
        <xdr:cNvPr id="562" name="PTObj_DBranchDLine_1_137">
          <a:extLst>
            <a:ext uri="{FF2B5EF4-FFF2-40B4-BE49-F238E27FC236}">
              <a16:creationId xmlns:a16="http://schemas.microsoft.com/office/drawing/2014/main" id="{386F6A82-E031-4BF5-AB1C-6F6619A64D37}"/>
            </a:ext>
          </a:extLst>
        </xdr:cNvPr>
        <xdr:cNvCxnSpPr/>
      </xdr:nvCxnSpPr>
      <xdr:spPr>
        <a:xfrm>
          <a:off x="17054320" y="497293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274</xdr:row>
      <xdr:rowOff>151129</xdr:rowOff>
    </xdr:from>
    <xdr:to>
      <xdr:col>8</xdr:col>
      <xdr:colOff>1392681</xdr:colOff>
      <xdr:row>274</xdr:row>
      <xdr:rowOff>151129</xdr:rowOff>
    </xdr:to>
    <xdr:cxnSp macro="_xll.PtreeEvent_ObjectClick">
      <xdr:nvCxnSpPr>
        <xdr:cNvPr id="559" name="PTObj_DBranchHLine_1_136">
          <a:extLst>
            <a:ext uri="{FF2B5EF4-FFF2-40B4-BE49-F238E27FC236}">
              <a16:creationId xmlns:a16="http://schemas.microsoft.com/office/drawing/2014/main" id="{9AD1DB8A-ABD7-4081-BA37-87517862FE47}"/>
            </a:ext>
          </a:extLst>
        </xdr:cNvPr>
        <xdr:cNvCxnSpPr/>
      </xdr:nvCxnSpPr>
      <xdr:spPr>
        <a:xfrm>
          <a:off x="15782734" y="49738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272</xdr:row>
      <xdr:rowOff>142239</xdr:rowOff>
    </xdr:from>
    <xdr:to>
      <xdr:col>8</xdr:col>
      <xdr:colOff>209359</xdr:colOff>
      <xdr:row>274</xdr:row>
      <xdr:rowOff>151129</xdr:rowOff>
    </xdr:to>
    <xdr:cxnSp macro="_xll.PtreeEvent_ObjectClick">
      <xdr:nvCxnSpPr>
        <xdr:cNvPr id="558" name="PTObj_DBranchDLine_1_136">
          <a:extLst>
            <a:ext uri="{FF2B5EF4-FFF2-40B4-BE49-F238E27FC236}">
              <a16:creationId xmlns:a16="http://schemas.microsoft.com/office/drawing/2014/main" id="{7B71E541-1E0B-4960-A85D-B069506986E6}"/>
            </a:ext>
          </a:extLst>
        </xdr:cNvPr>
        <xdr:cNvCxnSpPr/>
      </xdr:nvCxnSpPr>
      <xdr:spPr>
        <a:xfrm>
          <a:off x="15630334" y="49367439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270</xdr:row>
      <xdr:rowOff>143511</xdr:rowOff>
    </xdr:from>
    <xdr:to>
      <xdr:col>11</xdr:col>
      <xdr:colOff>1385063</xdr:colOff>
      <xdr:row>270</xdr:row>
      <xdr:rowOff>143511</xdr:rowOff>
    </xdr:to>
    <xdr:cxnSp macro="_xll.PtreeEvent_ObjectClick">
      <xdr:nvCxnSpPr>
        <xdr:cNvPr id="555" name="PTObj_DBranchHLine_1_134">
          <a:extLst>
            <a:ext uri="{FF2B5EF4-FFF2-40B4-BE49-F238E27FC236}">
              <a16:creationId xmlns:a16="http://schemas.microsoft.com/office/drawing/2014/main" id="{998F416E-C7A3-4CF9-863D-C2AFE9E06D39}"/>
            </a:ext>
          </a:extLst>
        </xdr:cNvPr>
        <xdr:cNvCxnSpPr/>
      </xdr:nvCxnSpPr>
      <xdr:spPr>
        <a:xfrm>
          <a:off x="20056601" y="490067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268</xdr:row>
      <xdr:rowOff>137477</xdr:rowOff>
    </xdr:from>
    <xdr:to>
      <xdr:col>11</xdr:col>
      <xdr:colOff>196976</xdr:colOff>
      <xdr:row>270</xdr:row>
      <xdr:rowOff>143511</xdr:rowOff>
    </xdr:to>
    <xdr:cxnSp macro="_xll.PtreeEvent_ObjectClick">
      <xdr:nvCxnSpPr>
        <xdr:cNvPr id="554" name="PTObj_DBranchDLine_1_134">
          <a:extLst>
            <a:ext uri="{FF2B5EF4-FFF2-40B4-BE49-F238E27FC236}">
              <a16:creationId xmlns:a16="http://schemas.microsoft.com/office/drawing/2014/main" id="{CA59AA79-CC41-46CB-9D2D-C4E3023CA68C}"/>
            </a:ext>
          </a:extLst>
        </xdr:cNvPr>
        <xdr:cNvCxnSpPr/>
      </xdr:nvCxnSpPr>
      <xdr:spPr>
        <a:xfrm>
          <a:off x="19904201" y="48638777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268</xdr:row>
      <xdr:rowOff>139700</xdr:rowOff>
    </xdr:from>
    <xdr:to>
      <xdr:col>10</xdr:col>
      <xdr:colOff>1392681</xdr:colOff>
      <xdr:row>268</xdr:row>
      <xdr:rowOff>139700</xdr:rowOff>
    </xdr:to>
    <xdr:cxnSp macro="_xll.PtreeEvent_ObjectClick">
      <xdr:nvCxnSpPr>
        <xdr:cNvPr id="551" name="PTObj_DBranchHLine_1_133">
          <a:extLst>
            <a:ext uri="{FF2B5EF4-FFF2-40B4-BE49-F238E27FC236}">
              <a16:creationId xmlns:a16="http://schemas.microsoft.com/office/drawing/2014/main" id="{CFE9BFD1-4C37-459B-B2A7-14D268110CCA}"/>
            </a:ext>
          </a:extLst>
        </xdr:cNvPr>
        <xdr:cNvCxnSpPr/>
      </xdr:nvCxnSpPr>
      <xdr:spPr>
        <a:xfrm>
          <a:off x="18628804" y="48641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266</xdr:row>
      <xdr:rowOff>135570</xdr:rowOff>
    </xdr:from>
    <xdr:to>
      <xdr:col>10</xdr:col>
      <xdr:colOff>197929</xdr:colOff>
      <xdr:row>268</xdr:row>
      <xdr:rowOff>139700</xdr:rowOff>
    </xdr:to>
    <xdr:cxnSp macro="_xll.PtreeEvent_ObjectClick">
      <xdr:nvCxnSpPr>
        <xdr:cNvPr id="550" name="PTObj_DBranchDLine_1_133">
          <a:extLst>
            <a:ext uri="{FF2B5EF4-FFF2-40B4-BE49-F238E27FC236}">
              <a16:creationId xmlns:a16="http://schemas.microsoft.com/office/drawing/2014/main" id="{401E7F05-6F74-481A-B730-FCAB325298BA}"/>
            </a:ext>
          </a:extLst>
        </xdr:cNvPr>
        <xdr:cNvCxnSpPr/>
      </xdr:nvCxnSpPr>
      <xdr:spPr>
        <a:xfrm>
          <a:off x="18476404" y="482749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266</xdr:row>
      <xdr:rowOff>135889</xdr:rowOff>
    </xdr:from>
    <xdr:to>
      <xdr:col>9</xdr:col>
      <xdr:colOff>1388870</xdr:colOff>
      <xdr:row>266</xdr:row>
      <xdr:rowOff>135889</xdr:rowOff>
    </xdr:to>
    <xdr:cxnSp macro="_xll.PtreeEvent_ObjectClick">
      <xdr:nvCxnSpPr>
        <xdr:cNvPr id="547" name="PTObj_DBranchHLine_1_132">
          <a:extLst>
            <a:ext uri="{FF2B5EF4-FFF2-40B4-BE49-F238E27FC236}">
              <a16:creationId xmlns:a16="http://schemas.microsoft.com/office/drawing/2014/main" id="{B22A37C6-0895-4703-9BFA-364BD385A4B0}"/>
            </a:ext>
          </a:extLst>
        </xdr:cNvPr>
        <xdr:cNvCxnSpPr/>
      </xdr:nvCxnSpPr>
      <xdr:spPr>
        <a:xfrm>
          <a:off x="17206720" y="482752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264</xdr:row>
      <xdr:rowOff>129856</xdr:rowOff>
    </xdr:from>
    <xdr:to>
      <xdr:col>9</xdr:col>
      <xdr:colOff>204595</xdr:colOff>
      <xdr:row>266</xdr:row>
      <xdr:rowOff>135889</xdr:rowOff>
    </xdr:to>
    <xdr:cxnSp macro="_xll.PtreeEvent_ObjectClick">
      <xdr:nvCxnSpPr>
        <xdr:cNvPr id="546" name="PTObj_DBranchDLine_1_132">
          <a:extLst>
            <a:ext uri="{FF2B5EF4-FFF2-40B4-BE49-F238E27FC236}">
              <a16:creationId xmlns:a16="http://schemas.microsoft.com/office/drawing/2014/main" id="{882298AE-07FA-4210-A6A5-6E8B4AE98EAE}"/>
            </a:ext>
          </a:extLst>
        </xdr:cNvPr>
        <xdr:cNvCxnSpPr/>
      </xdr:nvCxnSpPr>
      <xdr:spPr>
        <a:xfrm>
          <a:off x="17054320" y="47907256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264</xdr:row>
      <xdr:rowOff>132079</xdr:rowOff>
    </xdr:from>
    <xdr:to>
      <xdr:col>8</xdr:col>
      <xdr:colOff>1392681</xdr:colOff>
      <xdr:row>264</xdr:row>
      <xdr:rowOff>132079</xdr:rowOff>
    </xdr:to>
    <xdr:cxnSp macro="_xll.PtreeEvent_ObjectClick">
      <xdr:nvCxnSpPr>
        <xdr:cNvPr id="543" name="PTObj_DBranchHLine_1_131">
          <a:extLst>
            <a:ext uri="{FF2B5EF4-FFF2-40B4-BE49-F238E27FC236}">
              <a16:creationId xmlns:a16="http://schemas.microsoft.com/office/drawing/2014/main" id="{4159DD24-F300-4AF8-B508-D5FE3B04106C}"/>
            </a:ext>
          </a:extLst>
        </xdr:cNvPr>
        <xdr:cNvCxnSpPr/>
      </xdr:nvCxnSpPr>
      <xdr:spPr>
        <a:xfrm>
          <a:off x="15782734" y="47909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264</xdr:row>
      <xdr:rowOff>132079</xdr:rowOff>
    </xdr:from>
    <xdr:to>
      <xdr:col>8</xdr:col>
      <xdr:colOff>209359</xdr:colOff>
      <xdr:row>272</xdr:row>
      <xdr:rowOff>142239</xdr:rowOff>
    </xdr:to>
    <xdr:cxnSp macro="_xll.PtreeEvent_ObjectClick">
      <xdr:nvCxnSpPr>
        <xdr:cNvPr id="542" name="PTObj_DBranchDLine_1_131">
          <a:extLst>
            <a:ext uri="{FF2B5EF4-FFF2-40B4-BE49-F238E27FC236}">
              <a16:creationId xmlns:a16="http://schemas.microsoft.com/office/drawing/2014/main" id="{7E0F4384-F76B-41D4-A2F7-0E84C2A67A18}"/>
            </a:ext>
          </a:extLst>
        </xdr:cNvPr>
        <xdr:cNvCxnSpPr/>
      </xdr:nvCxnSpPr>
      <xdr:spPr>
        <a:xfrm flipV="1">
          <a:off x="15630334" y="47909479"/>
          <a:ext cx="152400" cy="1457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272</xdr:row>
      <xdr:rowOff>147321</xdr:rowOff>
    </xdr:from>
    <xdr:to>
      <xdr:col>7</xdr:col>
      <xdr:colOff>1398397</xdr:colOff>
      <xdr:row>272</xdr:row>
      <xdr:rowOff>147321</xdr:rowOff>
    </xdr:to>
    <xdr:cxnSp macro="_xll.PtreeEvent_ObjectClick">
      <xdr:nvCxnSpPr>
        <xdr:cNvPr id="539" name="PTObj_DBranchHLine_1_135">
          <a:extLst>
            <a:ext uri="{FF2B5EF4-FFF2-40B4-BE49-F238E27FC236}">
              <a16:creationId xmlns:a16="http://schemas.microsoft.com/office/drawing/2014/main" id="{CF38E9CD-220A-436F-B4C9-1C69033F842F}"/>
            </a:ext>
          </a:extLst>
        </xdr:cNvPr>
        <xdr:cNvCxnSpPr/>
      </xdr:nvCxnSpPr>
      <xdr:spPr>
        <a:xfrm>
          <a:off x="14362557" y="493725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262</xdr:row>
      <xdr:rowOff>123189</xdr:rowOff>
    </xdr:from>
    <xdr:to>
      <xdr:col>7</xdr:col>
      <xdr:colOff>217932</xdr:colOff>
      <xdr:row>272</xdr:row>
      <xdr:rowOff>147321</xdr:rowOff>
    </xdr:to>
    <xdr:cxnSp macro="_xll.PtreeEvent_ObjectClick">
      <xdr:nvCxnSpPr>
        <xdr:cNvPr id="538" name="PTObj_DBranchDLine_1_135">
          <a:extLst>
            <a:ext uri="{FF2B5EF4-FFF2-40B4-BE49-F238E27FC236}">
              <a16:creationId xmlns:a16="http://schemas.microsoft.com/office/drawing/2014/main" id="{74574911-B847-486E-960D-6B4EAE4A809F}"/>
            </a:ext>
          </a:extLst>
        </xdr:cNvPr>
        <xdr:cNvCxnSpPr/>
      </xdr:nvCxnSpPr>
      <xdr:spPr>
        <a:xfrm>
          <a:off x="14210157" y="47538639"/>
          <a:ext cx="152400" cy="18338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260</xdr:row>
      <xdr:rowOff>124461</xdr:rowOff>
    </xdr:from>
    <xdr:to>
      <xdr:col>11</xdr:col>
      <xdr:colOff>1392682</xdr:colOff>
      <xdr:row>260</xdr:row>
      <xdr:rowOff>124461</xdr:rowOff>
    </xdr:to>
    <xdr:cxnSp macro="_xll.PtreeEvent_ObjectClick">
      <xdr:nvCxnSpPr>
        <xdr:cNvPr id="535" name="PTObj_DBranchHLine_1_129">
          <a:extLst>
            <a:ext uri="{FF2B5EF4-FFF2-40B4-BE49-F238E27FC236}">
              <a16:creationId xmlns:a16="http://schemas.microsoft.com/office/drawing/2014/main" id="{AD55D4AF-43D7-481F-BF81-8A99B5F38270}"/>
            </a:ext>
          </a:extLst>
        </xdr:cNvPr>
        <xdr:cNvCxnSpPr/>
      </xdr:nvCxnSpPr>
      <xdr:spPr>
        <a:xfrm>
          <a:off x="20056601" y="47177961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258</xdr:row>
      <xdr:rowOff>107950</xdr:rowOff>
    </xdr:from>
    <xdr:to>
      <xdr:col>11</xdr:col>
      <xdr:colOff>196976</xdr:colOff>
      <xdr:row>260</xdr:row>
      <xdr:rowOff>124461</xdr:rowOff>
    </xdr:to>
    <xdr:cxnSp macro="_xll.PtreeEvent_ObjectClick">
      <xdr:nvCxnSpPr>
        <xdr:cNvPr id="534" name="PTObj_DBranchDLine_1_129">
          <a:extLst>
            <a:ext uri="{FF2B5EF4-FFF2-40B4-BE49-F238E27FC236}">
              <a16:creationId xmlns:a16="http://schemas.microsoft.com/office/drawing/2014/main" id="{7D7134AB-0109-47F4-BFEF-E671B617ACBD}"/>
            </a:ext>
          </a:extLst>
        </xdr:cNvPr>
        <xdr:cNvCxnSpPr/>
      </xdr:nvCxnSpPr>
      <xdr:spPr>
        <a:xfrm>
          <a:off x="19904201" y="46799500"/>
          <a:ext cx="152400" cy="3784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258</xdr:row>
      <xdr:rowOff>120650</xdr:rowOff>
    </xdr:from>
    <xdr:to>
      <xdr:col>10</xdr:col>
      <xdr:colOff>1392681</xdr:colOff>
      <xdr:row>258</xdr:row>
      <xdr:rowOff>120650</xdr:rowOff>
    </xdr:to>
    <xdr:cxnSp macro="_xll.PtreeEvent_ObjectClick">
      <xdr:nvCxnSpPr>
        <xdr:cNvPr id="531" name="PTObj_DBranchHLine_1_128">
          <a:extLst>
            <a:ext uri="{FF2B5EF4-FFF2-40B4-BE49-F238E27FC236}">
              <a16:creationId xmlns:a16="http://schemas.microsoft.com/office/drawing/2014/main" id="{02BFA060-2CFA-4030-9ECB-AAF55D835E19}"/>
            </a:ext>
          </a:extLst>
        </xdr:cNvPr>
        <xdr:cNvCxnSpPr/>
      </xdr:nvCxnSpPr>
      <xdr:spPr>
        <a:xfrm>
          <a:off x="18628804" y="46812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256</xdr:row>
      <xdr:rowOff>105094</xdr:rowOff>
    </xdr:from>
    <xdr:to>
      <xdr:col>10</xdr:col>
      <xdr:colOff>197929</xdr:colOff>
      <xdr:row>258</xdr:row>
      <xdr:rowOff>120650</xdr:rowOff>
    </xdr:to>
    <xdr:cxnSp macro="_xll.PtreeEvent_ObjectClick">
      <xdr:nvCxnSpPr>
        <xdr:cNvPr id="530" name="PTObj_DBranchDLine_1_128">
          <a:extLst>
            <a:ext uri="{FF2B5EF4-FFF2-40B4-BE49-F238E27FC236}">
              <a16:creationId xmlns:a16="http://schemas.microsoft.com/office/drawing/2014/main" id="{D598BAC0-700C-44AC-9F4F-F1E7E9BCBFA6}"/>
            </a:ext>
          </a:extLst>
        </xdr:cNvPr>
        <xdr:cNvCxnSpPr/>
      </xdr:nvCxnSpPr>
      <xdr:spPr>
        <a:xfrm>
          <a:off x="18476404" y="46434694"/>
          <a:ext cx="152400" cy="37750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256</xdr:row>
      <xdr:rowOff>116839</xdr:rowOff>
    </xdr:from>
    <xdr:to>
      <xdr:col>9</xdr:col>
      <xdr:colOff>1388870</xdr:colOff>
      <xdr:row>256</xdr:row>
      <xdr:rowOff>116839</xdr:rowOff>
    </xdr:to>
    <xdr:cxnSp macro="_xll.PtreeEvent_ObjectClick">
      <xdr:nvCxnSpPr>
        <xdr:cNvPr id="527" name="PTObj_DBranchHLine_1_127">
          <a:extLst>
            <a:ext uri="{FF2B5EF4-FFF2-40B4-BE49-F238E27FC236}">
              <a16:creationId xmlns:a16="http://schemas.microsoft.com/office/drawing/2014/main" id="{AC17CDAF-7F86-4DAC-8CB6-ABE691E486ED}"/>
            </a:ext>
          </a:extLst>
        </xdr:cNvPr>
        <xdr:cNvCxnSpPr/>
      </xdr:nvCxnSpPr>
      <xdr:spPr>
        <a:xfrm>
          <a:off x="17206720" y="464464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254</xdr:row>
      <xdr:rowOff>104139</xdr:rowOff>
    </xdr:from>
    <xdr:to>
      <xdr:col>9</xdr:col>
      <xdr:colOff>204595</xdr:colOff>
      <xdr:row>256</xdr:row>
      <xdr:rowOff>116839</xdr:rowOff>
    </xdr:to>
    <xdr:cxnSp macro="_xll.PtreeEvent_ObjectClick">
      <xdr:nvCxnSpPr>
        <xdr:cNvPr id="526" name="PTObj_DBranchDLine_1_127">
          <a:extLst>
            <a:ext uri="{FF2B5EF4-FFF2-40B4-BE49-F238E27FC236}">
              <a16:creationId xmlns:a16="http://schemas.microsoft.com/office/drawing/2014/main" id="{0A8BB9DD-8756-4FC2-BC73-0C83EDEB9517}"/>
            </a:ext>
          </a:extLst>
        </xdr:cNvPr>
        <xdr:cNvCxnSpPr/>
      </xdr:nvCxnSpPr>
      <xdr:spPr>
        <a:xfrm>
          <a:off x="17054320" y="460717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254</xdr:row>
      <xdr:rowOff>113029</xdr:rowOff>
    </xdr:from>
    <xdr:to>
      <xdr:col>8</xdr:col>
      <xdr:colOff>1392681</xdr:colOff>
      <xdr:row>254</xdr:row>
      <xdr:rowOff>113029</xdr:rowOff>
    </xdr:to>
    <xdr:cxnSp macro="_xll.PtreeEvent_ObjectClick">
      <xdr:nvCxnSpPr>
        <xdr:cNvPr id="523" name="PTObj_DBranchHLine_1_126">
          <a:extLst>
            <a:ext uri="{FF2B5EF4-FFF2-40B4-BE49-F238E27FC236}">
              <a16:creationId xmlns:a16="http://schemas.microsoft.com/office/drawing/2014/main" id="{0B104AE6-7ADF-4611-8DEF-9CF5B7EFCBC8}"/>
            </a:ext>
          </a:extLst>
        </xdr:cNvPr>
        <xdr:cNvCxnSpPr/>
      </xdr:nvCxnSpPr>
      <xdr:spPr>
        <a:xfrm>
          <a:off x="15782734" y="46080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252</xdr:row>
      <xdr:rowOff>104139</xdr:rowOff>
    </xdr:from>
    <xdr:to>
      <xdr:col>8</xdr:col>
      <xdr:colOff>209359</xdr:colOff>
      <xdr:row>254</xdr:row>
      <xdr:rowOff>113029</xdr:rowOff>
    </xdr:to>
    <xdr:cxnSp macro="_xll.PtreeEvent_ObjectClick">
      <xdr:nvCxnSpPr>
        <xdr:cNvPr id="522" name="PTObj_DBranchDLine_1_126">
          <a:extLst>
            <a:ext uri="{FF2B5EF4-FFF2-40B4-BE49-F238E27FC236}">
              <a16:creationId xmlns:a16="http://schemas.microsoft.com/office/drawing/2014/main" id="{B477A3D7-CE48-4EC4-82A0-12688213A3CA}"/>
            </a:ext>
          </a:extLst>
        </xdr:cNvPr>
        <xdr:cNvCxnSpPr/>
      </xdr:nvCxnSpPr>
      <xdr:spPr>
        <a:xfrm>
          <a:off x="15630334" y="45709839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250</xdr:row>
      <xdr:rowOff>105411</xdr:rowOff>
    </xdr:from>
    <xdr:to>
      <xdr:col>11</xdr:col>
      <xdr:colOff>1385063</xdr:colOff>
      <xdr:row>250</xdr:row>
      <xdr:rowOff>105411</xdr:rowOff>
    </xdr:to>
    <xdr:cxnSp macro="_xll.PtreeEvent_ObjectClick">
      <xdr:nvCxnSpPr>
        <xdr:cNvPr id="519" name="PTObj_DBranchHLine_1_124">
          <a:extLst>
            <a:ext uri="{FF2B5EF4-FFF2-40B4-BE49-F238E27FC236}">
              <a16:creationId xmlns:a16="http://schemas.microsoft.com/office/drawing/2014/main" id="{D88B413C-DCBD-422B-8847-6397A53920BD}"/>
            </a:ext>
          </a:extLst>
        </xdr:cNvPr>
        <xdr:cNvCxnSpPr/>
      </xdr:nvCxnSpPr>
      <xdr:spPr>
        <a:xfrm>
          <a:off x="20056601" y="453491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248</xdr:row>
      <xdr:rowOff>99377</xdr:rowOff>
    </xdr:from>
    <xdr:to>
      <xdr:col>11</xdr:col>
      <xdr:colOff>196976</xdr:colOff>
      <xdr:row>250</xdr:row>
      <xdr:rowOff>105411</xdr:rowOff>
    </xdr:to>
    <xdr:cxnSp macro="_xll.PtreeEvent_ObjectClick">
      <xdr:nvCxnSpPr>
        <xdr:cNvPr id="518" name="PTObj_DBranchDLine_1_124">
          <a:extLst>
            <a:ext uri="{FF2B5EF4-FFF2-40B4-BE49-F238E27FC236}">
              <a16:creationId xmlns:a16="http://schemas.microsoft.com/office/drawing/2014/main" id="{4C7D217E-8E0F-4552-B3AD-839F01730CCB}"/>
            </a:ext>
          </a:extLst>
        </xdr:cNvPr>
        <xdr:cNvCxnSpPr/>
      </xdr:nvCxnSpPr>
      <xdr:spPr>
        <a:xfrm>
          <a:off x="19904201" y="44981177"/>
          <a:ext cx="152400" cy="36798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248</xdr:row>
      <xdr:rowOff>101600</xdr:rowOff>
    </xdr:from>
    <xdr:to>
      <xdr:col>10</xdr:col>
      <xdr:colOff>1392681</xdr:colOff>
      <xdr:row>248</xdr:row>
      <xdr:rowOff>101600</xdr:rowOff>
    </xdr:to>
    <xdr:cxnSp macro="_xll.PtreeEvent_ObjectClick">
      <xdr:nvCxnSpPr>
        <xdr:cNvPr id="515" name="PTObj_DBranchHLine_1_123">
          <a:extLst>
            <a:ext uri="{FF2B5EF4-FFF2-40B4-BE49-F238E27FC236}">
              <a16:creationId xmlns:a16="http://schemas.microsoft.com/office/drawing/2014/main" id="{BAB20F4F-5F7B-4B7C-AF17-41F5D23425FC}"/>
            </a:ext>
          </a:extLst>
        </xdr:cNvPr>
        <xdr:cNvCxnSpPr/>
      </xdr:nvCxnSpPr>
      <xdr:spPr>
        <a:xfrm>
          <a:off x="18628804" y="44983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246</xdr:row>
      <xdr:rowOff>97470</xdr:rowOff>
    </xdr:from>
    <xdr:to>
      <xdr:col>10</xdr:col>
      <xdr:colOff>197929</xdr:colOff>
      <xdr:row>248</xdr:row>
      <xdr:rowOff>101600</xdr:rowOff>
    </xdr:to>
    <xdr:cxnSp macro="_xll.PtreeEvent_ObjectClick">
      <xdr:nvCxnSpPr>
        <xdr:cNvPr id="514" name="PTObj_DBranchDLine_1_123">
          <a:extLst>
            <a:ext uri="{FF2B5EF4-FFF2-40B4-BE49-F238E27FC236}">
              <a16:creationId xmlns:a16="http://schemas.microsoft.com/office/drawing/2014/main" id="{DD50A63C-0E33-432F-92C4-1DE0D6CD4F64}"/>
            </a:ext>
          </a:extLst>
        </xdr:cNvPr>
        <xdr:cNvCxnSpPr/>
      </xdr:nvCxnSpPr>
      <xdr:spPr>
        <a:xfrm>
          <a:off x="18476404" y="44617320"/>
          <a:ext cx="152400" cy="36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246</xdr:row>
      <xdr:rowOff>97789</xdr:rowOff>
    </xdr:from>
    <xdr:to>
      <xdr:col>9</xdr:col>
      <xdr:colOff>1388870</xdr:colOff>
      <xdr:row>246</xdr:row>
      <xdr:rowOff>97789</xdr:rowOff>
    </xdr:to>
    <xdr:cxnSp macro="_xll.PtreeEvent_ObjectClick">
      <xdr:nvCxnSpPr>
        <xdr:cNvPr id="511" name="PTObj_DBranchHLine_1_122">
          <a:extLst>
            <a:ext uri="{FF2B5EF4-FFF2-40B4-BE49-F238E27FC236}">
              <a16:creationId xmlns:a16="http://schemas.microsoft.com/office/drawing/2014/main" id="{0758E938-777B-4069-84D8-953D634FB49D}"/>
            </a:ext>
          </a:extLst>
        </xdr:cNvPr>
        <xdr:cNvCxnSpPr/>
      </xdr:nvCxnSpPr>
      <xdr:spPr>
        <a:xfrm>
          <a:off x="17206720" y="446176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244</xdr:row>
      <xdr:rowOff>91756</xdr:rowOff>
    </xdr:from>
    <xdr:to>
      <xdr:col>9</xdr:col>
      <xdr:colOff>204595</xdr:colOff>
      <xdr:row>246</xdr:row>
      <xdr:rowOff>97789</xdr:rowOff>
    </xdr:to>
    <xdr:cxnSp macro="_xll.PtreeEvent_ObjectClick">
      <xdr:nvCxnSpPr>
        <xdr:cNvPr id="510" name="PTObj_DBranchDLine_1_122">
          <a:extLst>
            <a:ext uri="{FF2B5EF4-FFF2-40B4-BE49-F238E27FC236}">
              <a16:creationId xmlns:a16="http://schemas.microsoft.com/office/drawing/2014/main" id="{5E250A8B-59ED-4691-865B-1534B848BEF4}"/>
            </a:ext>
          </a:extLst>
        </xdr:cNvPr>
        <xdr:cNvCxnSpPr/>
      </xdr:nvCxnSpPr>
      <xdr:spPr>
        <a:xfrm>
          <a:off x="17054320" y="44249656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244</xdr:row>
      <xdr:rowOff>93979</xdr:rowOff>
    </xdr:from>
    <xdr:to>
      <xdr:col>8</xdr:col>
      <xdr:colOff>1392681</xdr:colOff>
      <xdr:row>244</xdr:row>
      <xdr:rowOff>93979</xdr:rowOff>
    </xdr:to>
    <xdr:cxnSp macro="_xll.PtreeEvent_ObjectClick">
      <xdr:nvCxnSpPr>
        <xdr:cNvPr id="507" name="PTObj_DBranchHLine_1_121">
          <a:extLst>
            <a:ext uri="{FF2B5EF4-FFF2-40B4-BE49-F238E27FC236}">
              <a16:creationId xmlns:a16="http://schemas.microsoft.com/office/drawing/2014/main" id="{5FE81CB0-AD78-4168-9FE7-7527F1BDCA16}"/>
            </a:ext>
          </a:extLst>
        </xdr:cNvPr>
        <xdr:cNvCxnSpPr/>
      </xdr:nvCxnSpPr>
      <xdr:spPr>
        <a:xfrm>
          <a:off x="15782734" y="44251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244</xdr:row>
      <xdr:rowOff>93979</xdr:rowOff>
    </xdr:from>
    <xdr:to>
      <xdr:col>8</xdr:col>
      <xdr:colOff>209359</xdr:colOff>
      <xdr:row>252</xdr:row>
      <xdr:rowOff>104139</xdr:rowOff>
    </xdr:to>
    <xdr:cxnSp macro="_xll.PtreeEvent_ObjectClick">
      <xdr:nvCxnSpPr>
        <xdr:cNvPr id="506" name="PTObj_DBranchDLine_1_121">
          <a:extLst>
            <a:ext uri="{FF2B5EF4-FFF2-40B4-BE49-F238E27FC236}">
              <a16:creationId xmlns:a16="http://schemas.microsoft.com/office/drawing/2014/main" id="{5BB9F0B9-3BDF-4105-ADBF-31565CDFF433}"/>
            </a:ext>
          </a:extLst>
        </xdr:cNvPr>
        <xdr:cNvCxnSpPr/>
      </xdr:nvCxnSpPr>
      <xdr:spPr>
        <a:xfrm flipV="1">
          <a:off x="15630334" y="44251879"/>
          <a:ext cx="152400" cy="1457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252</xdr:row>
      <xdr:rowOff>109221</xdr:rowOff>
    </xdr:from>
    <xdr:to>
      <xdr:col>7</xdr:col>
      <xdr:colOff>1398397</xdr:colOff>
      <xdr:row>252</xdr:row>
      <xdr:rowOff>109221</xdr:rowOff>
    </xdr:to>
    <xdr:cxnSp macro="_xll.PtreeEvent_ObjectClick">
      <xdr:nvCxnSpPr>
        <xdr:cNvPr id="503" name="PTObj_DBranchHLine_1_125">
          <a:extLst>
            <a:ext uri="{FF2B5EF4-FFF2-40B4-BE49-F238E27FC236}">
              <a16:creationId xmlns:a16="http://schemas.microsoft.com/office/drawing/2014/main" id="{ABBD1207-2581-470F-960F-FB4640468D0A}"/>
            </a:ext>
          </a:extLst>
        </xdr:cNvPr>
        <xdr:cNvCxnSpPr/>
      </xdr:nvCxnSpPr>
      <xdr:spPr>
        <a:xfrm>
          <a:off x="14360652" y="457149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252</xdr:row>
      <xdr:rowOff>109221</xdr:rowOff>
    </xdr:from>
    <xdr:to>
      <xdr:col>7</xdr:col>
      <xdr:colOff>216027</xdr:colOff>
      <xdr:row>262</xdr:row>
      <xdr:rowOff>123189</xdr:rowOff>
    </xdr:to>
    <xdr:cxnSp macro="_xll.PtreeEvent_ObjectClick">
      <xdr:nvCxnSpPr>
        <xdr:cNvPr id="502" name="PTObj_DBranchDLine_1_125">
          <a:extLst>
            <a:ext uri="{FF2B5EF4-FFF2-40B4-BE49-F238E27FC236}">
              <a16:creationId xmlns:a16="http://schemas.microsoft.com/office/drawing/2014/main" id="{225D80AA-02AD-4D0D-875F-34A21D10DC4B}"/>
            </a:ext>
          </a:extLst>
        </xdr:cNvPr>
        <xdr:cNvCxnSpPr/>
      </xdr:nvCxnSpPr>
      <xdr:spPr>
        <a:xfrm flipV="1">
          <a:off x="14208252" y="45714921"/>
          <a:ext cx="152400" cy="182371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262</xdr:row>
      <xdr:rowOff>128271</xdr:rowOff>
    </xdr:from>
    <xdr:to>
      <xdr:col>6</xdr:col>
      <xdr:colOff>1402207</xdr:colOff>
      <xdr:row>262</xdr:row>
      <xdr:rowOff>128271</xdr:rowOff>
    </xdr:to>
    <xdr:cxnSp macro="_xll.PtreeEvent_ObjectClick">
      <xdr:nvCxnSpPr>
        <xdr:cNvPr id="499" name="PTObj_DBranchHLine_1_130">
          <a:extLst>
            <a:ext uri="{FF2B5EF4-FFF2-40B4-BE49-F238E27FC236}">
              <a16:creationId xmlns:a16="http://schemas.microsoft.com/office/drawing/2014/main" id="{0C72DEAD-352C-4161-AEB1-83B35B5C45E0}"/>
            </a:ext>
          </a:extLst>
        </xdr:cNvPr>
        <xdr:cNvCxnSpPr/>
      </xdr:nvCxnSpPr>
      <xdr:spPr>
        <a:xfrm>
          <a:off x="12938569" y="47543721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262</xdr:row>
      <xdr:rowOff>128271</xdr:rowOff>
    </xdr:from>
    <xdr:to>
      <xdr:col>6</xdr:col>
      <xdr:colOff>222694</xdr:colOff>
      <xdr:row>282</xdr:row>
      <xdr:rowOff>161289</xdr:rowOff>
    </xdr:to>
    <xdr:cxnSp macro="_xll.PtreeEvent_ObjectClick">
      <xdr:nvCxnSpPr>
        <xdr:cNvPr id="498" name="PTObj_DBranchDLine_1_130">
          <a:extLst>
            <a:ext uri="{FF2B5EF4-FFF2-40B4-BE49-F238E27FC236}">
              <a16:creationId xmlns:a16="http://schemas.microsoft.com/office/drawing/2014/main" id="{988DE881-68FE-4E87-A537-CDBB98EE8AA8}"/>
            </a:ext>
          </a:extLst>
        </xdr:cNvPr>
        <xdr:cNvCxnSpPr/>
      </xdr:nvCxnSpPr>
      <xdr:spPr>
        <a:xfrm flipV="1">
          <a:off x="12786169" y="47543721"/>
          <a:ext cx="152400" cy="365251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282</xdr:row>
      <xdr:rowOff>166371</xdr:rowOff>
    </xdr:from>
    <xdr:to>
      <xdr:col>5</xdr:col>
      <xdr:colOff>1407922</xdr:colOff>
      <xdr:row>282</xdr:row>
      <xdr:rowOff>166371</xdr:rowOff>
    </xdr:to>
    <xdr:cxnSp macro="_xll.PtreeEvent_ObjectClick">
      <xdr:nvCxnSpPr>
        <xdr:cNvPr id="495" name="PTObj_DBranchHLine_1_140">
          <a:extLst>
            <a:ext uri="{FF2B5EF4-FFF2-40B4-BE49-F238E27FC236}">
              <a16:creationId xmlns:a16="http://schemas.microsoft.com/office/drawing/2014/main" id="{5E503630-2C1D-4619-B95B-ECBB29CED80C}"/>
            </a:ext>
          </a:extLst>
        </xdr:cNvPr>
        <xdr:cNvCxnSpPr/>
      </xdr:nvCxnSpPr>
      <xdr:spPr>
        <a:xfrm>
          <a:off x="11512676" y="51201321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242</xdr:row>
      <xdr:rowOff>84138</xdr:rowOff>
    </xdr:from>
    <xdr:to>
      <xdr:col>5</xdr:col>
      <xdr:colOff>225551</xdr:colOff>
      <xdr:row>282</xdr:row>
      <xdr:rowOff>166371</xdr:rowOff>
    </xdr:to>
    <xdr:cxnSp macro="_xll.PtreeEvent_ObjectClick">
      <xdr:nvCxnSpPr>
        <xdr:cNvPr id="494" name="PTObj_DBranchDLine_1_140">
          <a:extLst>
            <a:ext uri="{FF2B5EF4-FFF2-40B4-BE49-F238E27FC236}">
              <a16:creationId xmlns:a16="http://schemas.microsoft.com/office/drawing/2014/main" id="{CF310774-3187-4BBA-BBFE-FB3948D95835}"/>
            </a:ext>
          </a:extLst>
        </xdr:cNvPr>
        <xdr:cNvCxnSpPr/>
      </xdr:nvCxnSpPr>
      <xdr:spPr>
        <a:xfrm>
          <a:off x="11360276" y="43880088"/>
          <a:ext cx="152400" cy="732123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240</xdr:row>
      <xdr:rowOff>86361</xdr:rowOff>
    </xdr:from>
    <xdr:to>
      <xdr:col>11</xdr:col>
      <xdr:colOff>1385063</xdr:colOff>
      <xdr:row>240</xdr:row>
      <xdr:rowOff>86361</xdr:rowOff>
    </xdr:to>
    <xdr:cxnSp macro="_xll.PtreeEvent_ObjectClick">
      <xdr:nvCxnSpPr>
        <xdr:cNvPr id="491" name="PTObj_DBranchHLine_1_119">
          <a:extLst>
            <a:ext uri="{FF2B5EF4-FFF2-40B4-BE49-F238E27FC236}">
              <a16:creationId xmlns:a16="http://schemas.microsoft.com/office/drawing/2014/main" id="{A8E15C66-53F4-479A-A560-036E6033D18A}"/>
            </a:ext>
          </a:extLst>
        </xdr:cNvPr>
        <xdr:cNvCxnSpPr/>
      </xdr:nvCxnSpPr>
      <xdr:spPr>
        <a:xfrm>
          <a:off x="20056601" y="435203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238</xdr:row>
      <xdr:rowOff>73661</xdr:rowOff>
    </xdr:from>
    <xdr:to>
      <xdr:col>11</xdr:col>
      <xdr:colOff>196976</xdr:colOff>
      <xdr:row>240</xdr:row>
      <xdr:rowOff>86361</xdr:rowOff>
    </xdr:to>
    <xdr:cxnSp macro="_xll.PtreeEvent_ObjectClick">
      <xdr:nvCxnSpPr>
        <xdr:cNvPr id="490" name="PTObj_DBranchDLine_1_119">
          <a:extLst>
            <a:ext uri="{FF2B5EF4-FFF2-40B4-BE49-F238E27FC236}">
              <a16:creationId xmlns:a16="http://schemas.microsoft.com/office/drawing/2014/main" id="{93A51E91-81B2-4B77-B1B7-6C3935D48EC6}"/>
            </a:ext>
          </a:extLst>
        </xdr:cNvPr>
        <xdr:cNvCxnSpPr/>
      </xdr:nvCxnSpPr>
      <xdr:spPr>
        <a:xfrm>
          <a:off x="19904201" y="43145711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238</xdr:row>
      <xdr:rowOff>82550</xdr:rowOff>
    </xdr:from>
    <xdr:to>
      <xdr:col>10</xdr:col>
      <xdr:colOff>1392681</xdr:colOff>
      <xdr:row>238</xdr:row>
      <xdr:rowOff>82550</xdr:rowOff>
    </xdr:to>
    <xdr:cxnSp macro="_xll.PtreeEvent_ObjectClick">
      <xdr:nvCxnSpPr>
        <xdr:cNvPr id="487" name="PTObj_DBranchHLine_1_118">
          <a:extLst>
            <a:ext uri="{FF2B5EF4-FFF2-40B4-BE49-F238E27FC236}">
              <a16:creationId xmlns:a16="http://schemas.microsoft.com/office/drawing/2014/main" id="{F031DE22-34A7-4A64-877B-0FFD5C0B6897}"/>
            </a:ext>
          </a:extLst>
        </xdr:cNvPr>
        <xdr:cNvCxnSpPr/>
      </xdr:nvCxnSpPr>
      <xdr:spPr>
        <a:xfrm>
          <a:off x="18628804" y="43154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236</xdr:row>
      <xdr:rowOff>77468</xdr:rowOff>
    </xdr:from>
    <xdr:to>
      <xdr:col>10</xdr:col>
      <xdr:colOff>197929</xdr:colOff>
      <xdr:row>238</xdr:row>
      <xdr:rowOff>82550</xdr:rowOff>
    </xdr:to>
    <xdr:cxnSp macro="_xll.PtreeEvent_ObjectClick">
      <xdr:nvCxnSpPr>
        <xdr:cNvPr id="486" name="PTObj_DBranchDLine_1_118">
          <a:extLst>
            <a:ext uri="{FF2B5EF4-FFF2-40B4-BE49-F238E27FC236}">
              <a16:creationId xmlns:a16="http://schemas.microsoft.com/office/drawing/2014/main" id="{8BE1474E-5D69-4A72-860B-FF6108F60A70}"/>
            </a:ext>
          </a:extLst>
        </xdr:cNvPr>
        <xdr:cNvCxnSpPr/>
      </xdr:nvCxnSpPr>
      <xdr:spPr>
        <a:xfrm>
          <a:off x="18476404" y="42787568"/>
          <a:ext cx="152400" cy="36703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236</xdr:row>
      <xdr:rowOff>78739</xdr:rowOff>
    </xdr:from>
    <xdr:to>
      <xdr:col>9</xdr:col>
      <xdr:colOff>1388870</xdr:colOff>
      <xdr:row>236</xdr:row>
      <xdr:rowOff>78739</xdr:rowOff>
    </xdr:to>
    <xdr:cxnSp macro="_xll.PtreeEvent_ObjectClick">
      <xdr:nvCxnSpPr>
        <xdr:cNvPr id="483" name="PTObj_DBranchHLine_1_117">
          <a:extLst>
            <a:ext uri="{FF2B5EF4-FFF2-40B4-BE49-F238E27FC236}">
              <a16:creationId xmlns:a16="http://schemas.microsoft.com/office/drawing/2014/main" id="{D23C46DD-43DC-41B5-8522-48E9E31CC218}"/>
            </a:ext>
          </a:extLst>
        </xdr:cNvPr>
        <xdr:cNvCxnSpPr/>
      </xdr:nvCxnSpPr>
      <xdr:spPr>
        <a:xfrm>
          <a:off x="17206720" y="427888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234</xdr:row>
      <xdr:rowOff>73658</xdr:rowOff>
    </xdr:from>
    <xdr:to>
      <xdr:col>9</xdr:col>
      <xdr:colOff>204595</xdr:colOff>
      <xdr:row>236</xdr:row>
      <xdr:rowOff>78739</xdr:rowOff>
    </xdr:to>
    <xdr:cxnSp macro="_xll.PtreeEvent_ObjectClick">
      <xdr:nvCxnSpPr>
        <xdr:cNvPr id="482" name="PTObj_DBranchDLine_1_117">
          <a:extLst>
            <a:ext uri="{FF2B5EF4-FFF2-40B4-BE49-F238E27FC236}">
              <a16:creationId xmlns:a16="http://schemas.microsoft.com/office/drawing/2014/main" id="{CCF77E43-BD61-4C39-AECD-1B9E9BA6A48D}"/>
            </a:ext>
          </a:extLst>
        </xdr:cNvPr>
        <xdr:cNvCxnSpPr/>
      </xdr:nvCxnSpPr>
      <xdr:spPr>
        <a:xfrm>
          <a:off x="17054320" y="42421808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234</xdr:row>
      <xdr:rowOff>74929</xdr:rowOff>
    </xdr:from>
    <xdr:to>
      <xdr:col>8</xdr:col>
      <xdr:colOff>1392681</xdr:colOff>
      <xdr:row>234</xdr:row>
      <xdr:rowOff>74929</xdr:rowOff>
    </xdr:to>
    <xdr:cxnSp macro="_xll.PtreeEvent_ObjectClick">
      <xdr:nvCxnSpPr>
        <xdr:cNvPr id="479" name="PTObj_DBranchHLine_1_116">
          <a:extLst>
            <a:ext uri="{FF2B5EF4-FFF2-40B4-BE49-F238E27FC236}">
              <a16:creationId xmlns:a16="http://schemas.microsoft.com/office/drawing/2014/main" id="{80AFFDDC-B647-475E-8C75-82DDA68E536B}"/>
            </a:ext>
          </a:extLst>
        </xdr:cNvPr>
        <xdr:cNvCxnSpPr/>
      </xdr:nvCxnSpPr>
      <xdr:spPr>
        <a:xfrm>
          <a:off x="15782734" y="42423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232</xdr:row>
      <xdr:rowOff>71751</xdr:rowOff>
    </xdr:from>
    <xdr:to>
      <xdr:col>8</xdr:col>
      <xdr:colOff>209359</xdr:colOff>
      <xdr:row>234</xdr:row>
      <xdr:rowOff>74929</xdr:rowOff>
    </xdr:to>
    <xdr:cxnSp macro="_xll.PtreeEvent_ObjectClick">
      <xdr:nvCxnSpPr>
        <xdr:cNvPr id="478" name="PTObj_DBranchDLine_1_116">
          <a:extLst>
            <a:ext uri="{FF2B5EF4-FFF2-40B4-BE49-F238E27FC236}">
              <a16:creationId xmlns:a16="http://schemas.microsoft.com/office/drawing/2014/main" id="{568827C8-0FBF-462C-B3A7-8067CFE7BE71}"/>
            </a:ext>
          </a:extLst>
        </xdr:cNvPr>
        <xdr:cNvCxnSpPr/>
      </xdr:nvCxnSpPr>
      <xdr:spPr>
        <a:xfrm>
          <a:off x="15630334" y="42057951"/>
          <a:ext cx="152400" cy="3651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230</xdr:row>
      <xdr:rowOff>67311</xdr:rowOff>
    </xdr:from>
    <xdr:to>
      <xdr:col>11</xdr:col>
      <xdr:colOff>1384111</xdr:colOff>
      <xdr:row>230</xdr:row>
      <xdr:rowOff>67311</xdr:rowOff>
    </xdr:to>
    <xdr:cxnSp macro="_xll.PtreeEvent_ObjectClick">
      <xdr:nvCxnSpPr>
        <xdr:cNvPr id="475" name="PTObj_DBranchHLine_1_114">
          <a:extLst>
            <a:ext uri="{FF2B5EF4-FFF2-40B4-BE49-F238E27FC236}">
              <a16:creationId xmlns:a16="http://schemas.microsoft.com/office/drawing/2014/main" id="{B948C08B-4CEC-4833-83A8-F4DAD24F29B5}"/>
            </a:ext>
          </a:extLst>
        </xdr:cNvPr>
        <xdr:cNvCxnSpPr/>
      </xdr:nvCxnSpPr>
      <xdr:spPr>
        <a:xfrm>
          <a:off x="20056601" y="41691561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228</xdr:row>
      <xdr:rowOff>58418</xdr:rowOff>
    </xdr:from>
    <xdr:to>
      <xdr:col>11</xdr:col>
      <xdr:colOff>196976</xdr:colOff>
      <xdr:row>230</xdr:row>
      <xdr:rowOff>67311</xdr:rowOff>
    </xdr:to>
    <xdr:cxnSp macro="_xll.PtreeEvent_ObjectClick">
      <xdr:nvCxnSpPr>
        <xdr:cNvPr id="474" name="PTObj_DBranchDLine_1_114">
          <a:extLst>
            <a:ext uri="{FF2B5EF4-FFF2-40B4-BE49-F238E27FC236}">
              <a16:creationId xmlns:a16="http://schemas.microsoft.com/office/drawing/2014/main" id="{08D2A985-537D-4426-91AB-5726DC0FCC30}"/>
            </a:ext>
          </a:extLst>
        </xdr:cNvPr>
        <xdr:cNvCxnSpPr/>
      </xdr:nvCxnSpPr>
      <xdr:spPr>
        <a:xfrm>
          <a:off x="19904201" y="41320718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228</xdr:row>
      <xdr:rowOff>63500</xdr:rowOff>
    </xdr:from>
    <xdr:to>
      <xdr:col>10</xdr:col>
      <xdr:colOff>1392681</xdr:colOff>
      <xdr:row>228</xdr:row>
      <xdr:rowOff>63500</xdr:rowOff>
    </xdr:to>
    <xdr:cxnSp macro="_xll.PtreeEvent_ObjectClick">
      <xdr:nvCxnSpPr>
        <xdr:cNvPr id="471" name="PTObj_DBranchHLine_1_113">
          <a:extLst>
            <a:ext uri="{FF2B5EF4-FFF2-40B4-BE49-F238E27FC236}">
              <a16:creationId xmlns:a16="http://schemas.microsoft.com/office/drawing/2014/main" id="{DE22B120-D1D9-46FA-B659-5C1BA0451455}"/>
            </a:ext>
          </a:extLst>
        </xdr:cNvPr>
        <xdr:cNvCxnSpPr/>
      </xdr:nvCxnSpPr>
      <xdr:spPr>
        <a:xfrm>
          <a:off x="18628804" y="41325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226</xdr:row>
      <xdr:rowOff>54611</xdr:rowOff>
    </xdr:from>
    <xdr:to>
      <xdr:col>10</xdr:col>
      <xdr:colOff>197929</xdr:colOff>
      <xdr:row>228</xdr:row>
      <xdr:rowOff>63500</xdr:rowOff>
    </xdr:to>
    <xdr:cxnSp macro="_xll.PtreeEvent_ObjectClick">
      <xdr:nvCxnSpPr>
        <xdr:cNvPr id="470" name="PTObj_DBranchDLine_1_113">
          <a:extLst>
            <a:ext uri="{FF2B5EF4-FFF2-40B4-BE49-F238E27FC236}">
              <a16:creationId xmlns:a16="http://schemas.microsoft.com/office/drawing/2014/main" id="{7150230B-7C92-4A7D-B13E-13DDAE861807}"/>
            </a:ext>
          </a:extLst>
        </xdr:cNvPr>
        <xdr:cNvCxnSpPr/>
      </xdr:nvCxnSpPr>
      <xdr:spPr>
        <a:xfrm>
          <a:off x="18476404" y="4095496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226</xdr:row>
      <xdr:rowOff>59689</xdr:rowOff>
    </xdr:from>
    <xdr:to>
      <xdr:col>9</xdr:col>
      <xdr:colOff>1388870</xdr:colOff>
      <xdr:row>226</xdr:row>
      <xdr:rowOff>59689</xdr:rowOff>
    </xdr:to>
    <xdr:cxnSp macro="_xll.PtreeEvent_ObjectClick">
      <xdr:nvCxnSpPr>
        <xdr:cNvPr id="467" name="PTObj_DBranchHLine_1_112">
          <a:extLst>
            <a:ext uri="{FF2B5EF4-FFF2-40B4-BE49-F238E27FC236}">
              <a16:creationId xmlns:a16="http://schemas.microsoft.com/office/drawing/2014/main" id="{4CD33656-9012-4927-A7F7-04D9E5D82CA0}"/>
            </a:ext>
          </a:extLst>
        </xdr:cNvPr>
        <xdr:cNvCxnSpPr/>
      </xdr:nvCxnSpPr>
      <xdr:spPr>
        <a:xfrm>
          <a:off x="17206720" y="409600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224</xdr:row>
      <xdr:rowOff>46989</xdr:rowOff>
    </xdr:from>
    <xdr:to>
      <xdr:col>9</xdr:col>
      <xdr:colOff>204595</xdr:colOff>
      <xdr:row>226</xdr:row>
      <xdr:rowOff>59689</xdr:rowOff>
    </xdr:to>
    <xdr:cxnSp macro="_xll.PtreeEvent_ObjectClick">
      <xdr:nvCxnSpPr>
        <xdr:cNvPr id="466" name="PTObj_DBranchDLine_1_112">
          <a:extLst>
            <a:ext uri="{FF2B5EF4-FFF2-40B4-BE49-F238E27FC236}">
              <a16:creationId xmlns:a16="http://schemas.microsoft.com/office/drawing/2014/main" id="{DE158BED-B21A-442E-B4C0-F73CE24369EC}"/>
            </a:ext>
          </a:extLst>
        </xdr:cNvPr>
        <xdr:cNvCxnSpPr/>
      </xdr:nvCxnSpPr>
      <xdr:spPr>
        <a:xfrm>
          <a:off x="17054320" y="405853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224</xdr:row>
      <xdr:rowOff>55879</xdr:rowOff>
    </xdr:from>
    <xdr:to>
      <xdr:col>8</xdr:col>
      <xdr:colOff>1392681</xdr:colOff>
      <xdr:row>224</xdr:row>
      <xdr:rowOff>55879</xdr:rowOff>
    </xdr:to>
    <xdr:cxnSp macro="_xll.PtreeEvent_ObjectClick">
      <xdr:nvCxnSpPr>
        <xdr:cNvPr id="463" name="PTObj_DBranchHLine_1_111">
          <a:extLst>
            <a:ext uri="{FF2B5EF4-FFF2-40B4-BE49-F238E27FC236}">
              <a16:creationId xmlns:a16="http://schemas.microsoft.com/office/drawing/2014/main" id="{F46BCEB5-6048-4121-8C2E-912E014D9345}"/>
            </a:ext>
          </a:extLst>
        </xdr:cNvPr>
        <xdr:cNvCxnSpPr/>
      </xdr:nvCxnSpPr>
      <xdr:spPr>
        <a:xfrm>
          <a:off x="15782734" y="40594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224</xdr:row>
      <xdr:rowOff>55879</xdr:rowOff>
    </xdr:from>
    <xdr:to>
      <xdr:col>8</xdr:col>
      <xdr:colOff>209359</xdr:colOff>
      <xdr:row>232</xdr:row>
      <xdr:rowOff>71751</xdr:rowOff>
    </xdr:to>
    <xdr:cxnSp macro="_xll.PtreeEvent_ObjectClick">
      <xdr:nvCxnSpPr>
        <xdr:cNvPr id="462" name="PTObj_DBranchDLine_1_111">
          <a:extLst>
            <a:ext uri="{FF2B5EF4-FFF2-40B4-BE49-F238E27FC236}">
              <a16:creationId xmlns:a16="http://schemas.microsoft.com/office/drawing/2014/main" id="{16C6BFCC-1446-4E7F-B16C-27FEFE7F1623}"/>
            </a:ext>
          </a:extLst>
        </xdr:cNvPr>
        <xdr:cNvCxnSpPr/>
      </xdr:nvCxnSpPr>
      <xdr:spPr>
        <a:xfrm flipV="1">
          <a:off x="15630334" y="40594279"/>
          <a:ext cx="152400" cy="146367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232</xdr:row>
      <xdr:rowOff>71121</xdr:rowOff>
    </xdr:from>
    <xdr:to>
      <xdr:col>7</xdr:col>
      <xdr:colOff>1398397</xdr:colOff>
      <xdr:row>232</xdr:row>
      <xdr:rowOff>71121</xdr:rowOff>
    </xdr:to>
    <xdr:cxnSp macro="_xll.PtreeEvent_ObjectClick">
      <xdr:nvCxnSpPr>
        <xdr:cNvPr id="459" name="PTObj_DBranchHLine_1_115">
          <a:extLst>
            <a:ext uri="{FF2B5EF4-FFF2-40B4-BE49-F238E27FC236}">
              <a16:creationId xmlns:a16="http://schemas.microsoft.com/office/drawing/2014/main" id="{0A27DACF-996F-4E41-8C20-B527E8F3B6CC}"/>
            </a:ext>
          </a:extLst>
        </xdr:cNvPr>
        <xdr:cNvCxnSpPr/>
      </xdr:nvCxnSpPr>
      <xdr:spPr>
        <a:xfrm>
          <a:off x="14362557" y="420573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222</xdr:row>
      <xdr:rowOff>40323</xdr:rowOff>
    </xdr:from>
    <xdr:to>
      <xdr:col>7</xdr:col>
      <xdr:colOff>217932</xdr:colOff>
      <xdr:row>232</xdr:row>
      <xdr:rowOff>71121</xdr:rowOff>
    </xdr:to>
    <xdr:cxnSp macro="_xll.PtreeEvent_ObjectClick">
      <xdr:nvCxnSpPr>
        <xdr:cNvPr id="458" name="PTObj_DBranchDLine_1_115">
          <a:extLst>
            <a:ext uri="{FF2B5EF4-FFF2-40B4-BE49-F238E27FC236}">
              <a16:creationId xmlns:a16="http://schemas.microsoft.com/office/drawing/2014/main" id="{F074D1A3-0057-4708-A9B2-1DF4AC088F05}"/>
            </a:ext>
          </a:extLst>
        </xdr:cNvPr>
        <xdr:cNvCxnSpPr/>
      </xdr:nvCxnSpPr>
      <xdr:spPr>
        <a:xfrm>
          <a:off x="14210157" y="40216773"/>
          <a:ext cx="152400" cy="184054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220</xdr:row>
      <xdr:rowOff>48261</xdr:rowOff>
    </xdr:from>
    <xdr:to>
      <xdr:col>11</xdr:col>
      <xdr:colOff>1385063</xdr:colOff>
      <xdr:row>220</xdr:row>
      <xdr:rowOff>48261</xdr:rowOff>
    </xdr:to>
    <xdr:cxnSp macro="_xll.PtreeEvent_ObjectClick">
      <xdr:nvCxnSpPr>
        <xdr:cNvPr id="455" name="PTObj_DBranchHLine_1_109">
          <a:extLst>
            <a:ext uri="{FF2B5EF4-FFF2-40B4-BE49-F238E27FC236}">
              <a16:creationId xmlns:a16="http://schemas.microsoft.com/office/drawing/2014/main" id="{C143706A-00EE-4198-ADCA-06D826C7FC1E}"/>
            </a:ext>
          </a:extLst>
        </xdr:cNvPr>
        <xdr:cNvCxnSpPr/>
      </xdr:nvCxnSpPr>
      <xdr:spPr>
        <a:xfrm>
          <a:off x="20056601" y="398627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218</xdr:row>
      <xdr:rowOff>35561</xdr:rowOff>
    </xdr:from>
    <xdr:to>
      <xdr:col>11</xdr:col>
      <xdr:colOff>196976</xdr:colOff>
      <xdr:row>220</xdr:row>
      <xdr:rowOff>48261</xdr:rowOff>
    </xdr:to>
    <xdr:cxnSp macro="_xll.PtreeEvent_ObjectClick">
      <xdr:nvCxnSpPr>
        <xdr:cNvPr id="454" name="PTObj_DBranchDLine_1_109">
          <a:extLst>
            <a:ext uri="{FF2B5EF4-FFF2-40B4-BE49-F238E27FC236}">
              <a16:creationId xmlns:a16="http://schemas.microsoft.com/office/drawing/2014/main" id="{B07E1D2F-AA59-4FEF-98CB-D1DFDFEA41C8}"/>
            </a:ext>
          </a:extLst>
        </xdr:cNvPr>
        <xdr:cNvCxnSpPr/>
      </xdr:nvCxnSpPr>
      <xdr:spPr>
        <a:xfrm>
          <a:off x="19904201" y="39488111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218</xdr:row>
      <xdr:rowOff>44450</xdr:rowOff>
    </xdr:from>
    <xdr:to>
      <xdr:col>10</xdr:col>
      <xdr:colOff>1392681</xdr:colOff>
      <xdr:row>218</xdr:row>
      <xdr:rowOff>44450</xdr:rowOff>
    </xdr:to>
    <xdr:cxnSp macro="_xll.PtreeEvent_ObjectClick">
      <xdr:nvCxnSpPr>
        <xdr:cNvPr id="451" name="PTObj_DBranchHLine_1_108">
          <a:extLst>
            <a:ext uri="{FF2B5EF4-FFF2-40B4-BE49-F238E27FC236}">
              <a16:creationId xmlns:a16="http://schemas.microsoft.com/office/drawing/2014/main" id="{EE8B7AC3-BAA0-44B4-A087-1D95B1CFDF98}"/>
            </a:ext>
          </a:extLst>
        </xdr:cNvPr>
        <xdr:cNvCxnSpPr/>
      </xdr:nvCxnSpPr>
      <xdr:spPr>
        <a:xfrm>
          <a:off x="18628804" y="39497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216</xdr:row>
      <xdr:rowOff>39368</xdr:rowOff>
    </xdr:from>
    <xdr:to>
      <xdr:col>10</xdr:col>
      <xdr:colOff>197929</xdr:colOff>
      <xdr:row>218</xdr:row>
      <xdr:rowOff>44450</xdr:rowOff>
    </xdr:to>
    <xdr:cxnSp macro="_xll.PtreeEvent_ObjectClick">
      <xdr:nvCxnSpPr>
        <xdr:cNvPr id="450" name="PTObj_DBranchDLine_1_108">
          <a:extLst>
            <a:ext uri="{FF2B5EF4-FFF2-40B4-BE49-F238E27FC236}">
              <a16:creationId xmlns:a16="http://schemas.microsoft.com/office/drawing/2014/main" id="{0E5B2972-12C1-4395-9B1E-7CE2EBE2270E}"/>
            </a:ext>
          </a:extLst>
        </xdr:cNvPr>
        <xdr:cNvCxnSpPr/>
      </xdr:nvCxnSpPr>
      <xdr:spPr>
        <a:xfrm>
          <a:off x="18476404" y="39129968"/>
          <a:ext cx="152400" cy="36703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216</xdr:row>
      <xdr:rowOff>40639</xdr:rowOff>
    </xdr:from>
    <xdr:to>
      <xdr:col>9</xdr:col>
      <xdr:colOff>1388870</xdr:colOff>
      <xdr:row>216</xdr:row>
      <xdr:rowOff>40639</xdr:rowOff>
    </xdr:to>
    <xdr:cxnSp macro="_xll.PtreeEvent_ObjectClick">
      <xdr:nvCxnSpPr>
        <xdr:cNvPr id="447" name="PTObj_DBranchHLine_1_107">
          <a:extLst>
            <a:ext uri="{FF2B5EF4-FFF2-40B4-BE49-F238E27FC236}">
              <a16:creationId xmlns:a16="http://schemas.microsoft.com/office/drawing/2014/main" id="{DBE2940C-8658-424F-850F-0B274ADFF0A9}"/>
            </a:ext>
          </a:extLst>
        </xdr:cNvPr>
        <xdr:cNvCxnSpPr/>
      </xdr:nvCxnSpPr>
      <xdr:spPr>
        <a:xfrm>
          <a:off x="17206720" y="391312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214</xdr:row>
      <xdr:rowOff>35558</xdr:rowOff>
    </xdr:from>
    <xdr:to>
      <xdr:col>9</xdr:col>
      <xdr:colOff>204595</xdr:colOff>
      <xdr:row>216</xdr:row>
      <xdr:rowOff>40639</xdr:rowOff>
    </xdr:to>
    <xdr:cxnSp macro="_xll.PtreeEvent_ObjectClick">
      <xdr:nvCxnSpPr>
        <xdr:cNvPr id="446" name="PTObj_DBranchDLine_1_107">
          <a:extLst>
            <a:ext uri="{FF2B5EF4-FFF2-40B4-BE49-F238E27FC236}">
              <a16:creationId xmlns:a16="http://schemas.microsoft.com/office/drawing/2014/main" id="{5AAFF4FB-6A33-4626-AE6B-65C23970A079}"/>
            </a:ext>
          </a:extLst>
        </xdr:cNvPr>
        <xdr:cNvCxnSpPr/>
      </xdr:nvCxnSpPr>
      <xdr:spPr>
        <a:xfrm>
          <a:off x="17054320" y="38764208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214</xdr:row>
      <xdr:rowOff>36829</xdr:rowOff>
    </xdr:from>
    <xdr:to>
      <xdr:col>8</xdr:col>
      <xdr:colOff>1392681</xdr:colOff>
      <xdr:row>214</xdr:row>
      <xdr:rowOff>36829</xdr:rowOff>
    </xdr:to>
    <xdr:cxnSp macro="_xll.PtreeEvent_ObjectClick">
      <xdr:nvCxnSpPr>
        <xdr:cNvPr id="443" name="PTObj_DBranchHLine_1_106">
          <a:extLst>
            <a:ext uri="{FF2B5EF4-FFF2-40B4-BE49-F238E27FC236}">
              <a16:creationId xmlns:a16="http://schemas.microsoft.com/office/drawing/2014/main" id="{2EC4D5D5-979B-4693-AD30-56A628C09B46}"/>
            </a:ext>
          </a:extLst>
        </xdr:cNvPr>
        <xdr:cNvCxnSpPr/>
      </xdr:nvCxnSpPr>
      <xdr:spPr>
        <a:xfrm>
          <a:off x="15782734" y="38765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212</xdr:row>
      <xdr:rowOff>33651</xdr:rowOff>
    </xdr:from>
    <xdr:to>
      <xdr:col>8</xdr:col>
      <xdr:colOff>209359</xdr:colOff>
      <xdr:row>214</xdr:row>
      <xdr:rowOff>36829</xdr:rowOff>
    </xdr:to>
    <xdr:cxnSp macro="_xll.PtreeEvent_ObjectClick">
      <xdr:nvCxnSpPr>
        <xdr:cNvPr id="442" name="PTObj_DBranchDLine_1_106">
          <a:extLst>
            <a:ext uri="{FF2B5EF4-FFF2-40B4-BE49-F238E27FC236}">
              <a16:creationId xmlns:a16="http://schemas.microsoft.com/office/drawing/2014/main" id="{80A288B4-B42E-4922-BABB-1422C97F7B93}"/>
            </a:ext>
          </a:extLst>
        </xdr:cNvPr>
        <xdr:cNvCxnSpPr/>
      </xdr:nvCxnSpPr>
      <xdr:spPr>
        <a:xfrm>
          <a:off x="15630334" y="38400351"/>
          <a:ext cx="152400" cy="3651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210</xdr:row>
      <xdr:rowOff>29211</xdr:rowOff>
    </xdr:from>
    <xdr:to>
      <xdr:col>11</xdr:col>
      <xdr:colOff>1384111</xdr:colOff>
      <xdr:row>210</xdr:row>
      <xdr:rowOff>29211</xdr:rowOff>
    </xdr:to>
    <xdr:cxnSp macro="_xll.PtreeEvent_ObjectClick">
      <xdr:nvCxnSpPr>
        <xdr:cNvPr id="439" name="PTObj_DBranchHLine_1_104">
          <a:extLst>
            <a:ext uri="{FF2B5EF4-FFF2-40B4-BE49-F238E27FC236}">
              <a16:creationId xmlns:a16="http://schemas.microsoft.com/office/drawing/2014/main" id="{97EA954C-76C0-486C-B952-5AB1EEC91BE6}"/>
            </a:ext>
          </a:extLst>
        </xdr:cNvPr>
        <xdr:cNvCxnSpPr/>
      </xdr:nvCxnSpPr>
      <xdr:spPr>
        <a:xfrm>
          <a:off x="20056601" y="38033961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208</xdr:row>
      <xdr:rowOff>20318</xdr:rowOff>
    </xdr:from>
    <xdr:to>
      <xdr:col>11</xdr:col>
      <xdr:colOff>196976</xdr:colOff>
      <xdr:row>210</xdr:row>
      <xdr:rowOff>29211</xdr:rowOff>
    </xdr:to>
    <xdr:cxnSp macro="_xll.PtreeEvent_ObjectClick">
      <xdr:nvCxnSpPr>
        <xdr:cNvPr id="438" name="PTObj_DBranchDLine_1_104">
          <a:extLst>
            <a:ext uri="{FF2B5EF4-FFF2-40B4-BE49-F238E27FC236}">
              <a16:creationId xmlns:a16="http://schemas.microsoft.com/office/drawing/2014/main" id="{94A773A7-62BE-4E34-93B9-E402740A52FE}"/>
            </a:ext>
          </a:extLst>
        </xdr:cNvPr>
        <xdr:cNvCxnSpPr/>
      </xdr:nvCxnSpPr>
      <xdr:spPr>
        <a:xfrm>
          <a:off x="19904201" y="37663118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208</xdr:row>
      <xdr:rowOff>25400</xdr:rowOff>
    </xdr:from>
    <xdr:to>
      <xdr:col>10</xdr:col>
      <xdr:colOff>1392681</xdr:colOff>
      <xdr:row>208</xdr:row>
      <xdr:rowOff>25400</xdr:rowOff>
    </xdr:to>
    <xdr:cxnSp macro="_xll.PtreeEvent_ObjectClick">
      <xdr:nvCxnSpPr>
        <xdr:cNvPr id="435" name="PTObj_DBranchHLine_1_103">
          <a:extLst>
            <a:ext uri="{FF2B5EF4-FFF2-40B4-BE49-F238E27FC236}">
              <a16:creationId xmlns:a16="http://schemas.microsoft.com/office/drawing/2014/main" id="{65287641-A360-4CB7-A30E-0244F2115702}"/>
            </a:ext>
          </a:extLst>
        </xdr:cNvPr>
        <xdr:cNvCxnSpPr/>
      </xdr:nvCxnSpPr>
      <xdr:spPr>
        <a:xfrm>
          <a:off x="18628804" y="37668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206</xdr:row>
      <xdr:rowOff>16511</xdr:rowOff>
    </xdr:from>
    <xdr:to>
      <xdr:col>10</xdr:col>
      <xdr:colOff>197929</xdr:colOff>
      <xdr:row>208</xdr:row>
      <xdr:rowOff>25400</xdr:rowOff>
    </xdr:to>
    <xdr:cxnSp macro="_xll.PtreeEvent_ObjectClick">
      <xdr:nvCxnSpPr>
        <xdr:cNvPr id="434" name="PTObj_DBranchDLine_1_103">
          <a:extLst>
            <a:ext uri="{FF2B5EF4-FFF2-40B4-BE49-F238E27FC236}">
              <a16:creationId xmlns:a16="http://schemas.microsoft.com/office/drawing/2014/main" id="{5BB386A8-4348-4DB6-AFB4-050C45D7374A}"/>
            </a:ext>
          </a:extLst>
        </xdr:cNvPr>
        <xdr:cNvCxnSpPr/>
      </xdr:nvCxnSpPr>
      <xdr:spPr>
        <a:xfrm>
          <a:off x="18476404" y="3729736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206</xdr:row>
      <xdr:rowOff>21589</xdr:rowOff>
    </xdr:from>
    <xdr:to>
      <xdr:col>9</xdr:col>
      <xdr:colOff>1388870</xdr:colOff>
      <xdr:row>206</xdr:row>
      <xdr:rowOff>21589</xdr:rowOff>
    </xdr:to>
    <xdr:cxnSp macro="_xll.PtreeEvent_ObjectClick">
      <xdr:nvCxnSpPr>
        <xdr:cNvPr id="431" name="PTObj_DBranchHLine_1_102">
          <a:extLst>
            <a:ext uri="{FF2B5EF4-FFF2-40B4-BE49-F238E27FC236}">
              <a16:creationId xmlns:a16="http://schemas.microsoft.com/office/drawing/2014/main" id="{F5B5149A-D703-4B66-AA5D-6B5D0F91F4C1}"/>
            </a:ext>
          </a:extLst>
        </xdr:cNvPr>
        <xdr:cNvCxnSpPr/>
      </xdr:nvCxnSpPr>
      <xdr:spPr>
        <a:xfrm>
          <a:off x="17206720" y="373024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204</xdr:row>
      <xdr:rowOff>8889</xdr:rowOff>
    </xdr:from>
    <xdr:to>
      <xdr:col>9</xdr:col>
      <xdr:colOff>204595</xdr:colOff>
      <xdr:row>206</xdr:row>
      <xdr:rowOff>21589</xdr:rowOff>
    </xdr:to>
    <xdr:cxnSp macro="_xll.PtreeEvent_ObjectClick">
      <xdr:nvCxnSpPr>
        <xdr:cNvPr id="430" name="PTObj_DBranchDLine_1_102">
          <a:extLst>
            <a:ext uri="{FF2B5EF4-FFF2-40B4-BE49-F238E27FC236}">
              <a16:creationId xmlns:a16="http://schemas.microsoft.com/office/drawing/2014/main" id="{59EB0E00-4AA8-49EA-8369-1955AB33E754}"/>
            </a:ext>
          </a:extLst>
        </xdr:cNvPr>
        <xdr:cNvCxnSpPr/>
      </xdr:nvCxnSpPr>
      <xdr:spPr>
        <a:xfrm>
          <a:off x="17054320" y="369277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204</xdr:row>
      <xdr:rowOff>17779</xdr:rowOff>
    </xdr:from>
    <xdr:to>
      <xdr:col>8</xdr:col>
      <xdr:colOff>1392681</xdr:colOff>
      <xdr:row>204</xdr:row>
      <xdr:rowOff>17779</xdr:rowOff>
    </xdr:to>
    <xdr:cxnSp macro="_xll.PtreeEvent_ObjectClick">
      <xdr:nvCxnSpPr>
        <xdr:cNvPr id="427" name="PTObj_DBranchHLine_1_101">
          <a:extLst>
            <a:ext uri="{FF2B5EF4-FFF2-40B4-BE49-F238E27FC236}">
              <a16:creationId xmlns:a16="http://schemas.microsoft.com/office/drawing/2014/main" id="{829860E0-54B2-4A9F-AF21-189A01E14805}"/>
            </a:ext>
          </a:extLst>
        </xdr:cNvPr>
        <xdr:cNvCxnSpPr/>
      </xdr:nvCxnSpPr>
      <xdr:spPr>
        <a:xfrm>
          <a:off x="15782734" y="36936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204</xdr:row>
      <xdr:rowOff>17779</xdr:rowOff>
    </xdr:from>
    <xdr:to>
      <xdr:col>8</xdr:col>
      <xdr:colOff>209359</xdr:colOff>
      <xdr:row>212</xdr:row>
      <xdr:rowOff>33651</xdr:rowOff>
    </xdr:to>
    <xdr:cxnSp macro="_xll.PtreeEvent_ObjectClick">
      <xdr:nvCxnSpPr>
        <xdr:cNvPr id="426" name="PTObj_DBranchDLine_1_101">
          <a:extLst>
            <a:ext uri="{FF2B5EF4-FFF2-40B4-BE49-F238E27FC236}">
              <a16:creationId xmlns:a16="http://schemas.microsoft.com/office/drawing/2014/main" id="{46DE7719-D9FE-4988-9531-3F2B77BBD40E}"/>
            </a:ext>
          </a:extLst>
        </xdr:cNvPr>
        <xdr:cNvCxnSpPr/>
      </xdr:nvCxnSpPr>
      <xdr:spPr>
        <a:xfrm flipV="1">
          <a:off x="15630334" y="36936679"/>
          <a:ext cx="152400" cy="146367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212</xdr:row>
      <xdr:rowOff>33021</xdr:rowOff>
    </xdr:from>
    <xdr:to>
      <xdr:col>7</xdr:col>
      <xdr:colOff>1398397</xdr:colOff>
      <xdr:row>212</xdr:row>
      <xdr:rowOff>33021</xdr:rowOff>
    </xdr:to>
    <xdr:cxnSp macro="_xll.PtreeEvent_ObjectClick">
      <xdr:nvCxnSpPr>
        <xdr:cNvPr id="423" name="PTObj_DBranchHLine_1_105">
          <a:extLst>
            <a:ext uri="{FF2B5EF4-FFF2-40B4-BE49-F238E27FC236}">
              <a16:creationId xmlns:a16="http://schemas.microsoft.com/office/drawing/2014/main" id="{B37C4302-767A-4633-92C6-7576D44FDDAE}"/>
            </a:ext>
          </a:extLst>
        </xdr:cNvPr>
        <xdr:cNvCxnSpPr/>
      </xdr:nvCxnSpPr>
      <xdr:spPr>
        <a:xfrm>
          <a:off x="14360652" y="383997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212</xdr:row>
      <xdr:rowOff>33021</xdr:rowOff>
    </xdr:from>
    <xdr:to>
      <xdr:col>7</xdr:col>
      <xdr:colOff>216027</xdr:colOff>
      <xdr:row>222</xdr:row>
      <xdr:rowOff>42227</xdr:rowOff>
    </xdr:to>
    <xdr:cxnSp macro="_xll.PtreeEvent_ObjectClick">
      <xdr:nvCxnSpPr>
        <xdr:cNvPr id="422" name="PTObj_DBranchDLine_1_105">
          <a:extLst>
            <a:ext uri="{FF2B5EF4-FFF2-40B4-BE49-F238E27FC236}">
              <a16:creationId xmlns:a16="http://schemas.microsoft.com/office/drawing/2014/main" id="{1C9C522F-8A4D-46F5-8583-4CB974134D3E}"/>
            </a:ext>
          </a:extLst>
        </xdr:cNvPr>
        <xdr:cNvCxnSpPr/>
      </xdr:nvCxnSpPr>
      <xdr:spPr>
        <a:xfrm flipV="1">
          <a:off x="14208252" y="38399721"/>
          <a:ext cx="152400" cy="181895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222</xdr:row>
      <xdr:rowOff>52071</xdr:rowOff>
    </xdr:from>
    <xdr:to>
      <xdr:col>6</xdr:col>
      <xdr:colOff>1402207</xdr:colOff>
      <xdr:row>222</xdr:row>
      <xdr:rowOff>52071</xdr:rowOff>
    </xdr:to>
    <xdr:cxnSp macro="_xll.PtreeEvent_ObjectClick">
      <xdr:nvCxnSpPr>
        <xdr:cNvPr id="419" name="PTObj_DBranchHLine_1_110">
          <a:extLst>
            <a:ext uri="{FF2B5EF4-FFF2-40B4-BE49-F238E27FC236}">
              <a16:creationId xmlns:a16="http://schemas.microsoft.com/office/drawing/2014/main" id="{930DDE33-7D33-4AF1-BC42-B0BE227C3DEA}"/>
            </a:ext>
          </a:extLst>
        </xdr:cNvPr>
        <xdr:cNvCxnSpPr/>
      </xdr:nvCxnSpPr>
      <xdr:spPr>
        <a:xfrm>
          <a:off x="12936665" y="40228521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202</xdr:row>
      <xdr:rowOff>2223</xdr:rowOff>
    </xdr:from>
    <xdr:to>
      <xdr:col>6</xdr:col>
      <xdr:colOff>220790</xdr:colOff>
      <xdr:row>222</xdr:row>
      <xdr:rowOff>52071</xdr:rowOff>
    </xdr:to>
    <xdr:cxnSp macro="_xll.PtreeEvent_ObjectClick">
      <xdr:nvCxnSpPr>
        <xdr:cNvPr id="418" name="PTObj_DBranchDLine_1_110">
          <a:extLst>
            <a:ext uri="{FF2B5EF4-FFF2-40B4-BE49-F238E27FC236}">
              <a16:creationId xmlns:a16="http://schemas.microsoft.com/office/drawing/2014/main" id="{D5EC49F9-0D01-421D-BC21-4B47A3877488}"/>
            </a:ext>
          </a:extLst>
        </xdr:cNvPr>
        <xdr:cNvCxnSpPr/>
      </xdr:nvCxnSpPr>
      <xdr:spPr>
        <a:xfrm>
          <a:off x="12784265" y="36559173"/>
          <a:ext cx="152400" cy="366934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200</xdr:row>
      <xdr:rowOff>10161</xdr:rowOff>
    </xdr:from>
    <xdr:to>
      <xdr:col>11</xdr:col>
      <xdr:colOff>1385063</xdr:colOff>
      <xdr:row>200</xdr:row>
      <xdr:rowOff>10161</xdr:rowOff>
    </xdr:to>
    <xdr:cxnSp macro="_xll.PtreeEvent_ObjectClick">
      <xdr:nvCxnSpPr>
        <xdr:cNvPr id="415" name="PTObj_DBranchHLine_1_99">
          <a:extLst>
            <a:ext uri="{FF2B5EF4-FFF2-40B4-BE49-F238E27FC236}">
              <a16:creationId xmlns:a16="http://schemas.microsoft.com/office/drawing/2014/main" id="{2ECD9F30-C4FA-4E24-BF9A-3DBDE310A9AA}"/>
            </a:ext>
          </a:extLst>
        </xdr:cNvPr>
        <xdr:cNvCxnSpPr/>
      </xdr:nvCxnSpPr>
      <xdr:spPr>
        <a:xfrm>
          <a:off x="20056601" y="362051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197</xdr:row>
      <xdr:rowOff>178436</xdr:rowOff>
    </xdr:from>
    <xdr:to>
      <xdr:col>11</xdr:col>
      <xdr:colOff>196976</xdr:colOff>
      <xdr:row>200</xdr:row>
      <xdr:rowOff>10161</xdr:rowOff>
    </xdr:to>
    <xdr:cxnSp macro="_xll.PtreeEvent_ObjectClick">
      <xdr:nvCxnSpPr>
        <xdr:cNvPr id="414" name="PTObj_DBranchDLine_1_99">
          <a:extLst>
            <a:ext uri="{FF2B5EF4-FFF2-40B4-BE49-F238E27FC236}">
              <a16:creationId xmlns:a16="http://schemas.microsoft.com/office/drawing/2014/main" id="{D377257B-AB81-4FEA-8B2C-DD4FFAF926D8}"/>
            </a:ext>
          </a:extLst>
        </xdr:cNvPr>
        <xdr:cNvCxnSpPr/>
      </xdr:nvCxnSpPr>
      <xdr:spPr>
        <a:xfrm>
          <a:off x="19904201" y="35830511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198</xdr:row>
      <xdr:rowOff>6350</xdr:rowOff>
    </xdr:from>
    <xdr:to>
      <xdr:col>10</xdr:col>
      <xdr:colOff>1392681</xdr:colOff>
      <xdr:row>198</xdr:row>
      <xdr:rowOff>6350</xdr:rowOff>
    </xdr:to>
    <xdr:cxnSp macro="_xll.PtreeEvent_ObjectClick">
      <xdr:nvCxnSpPr>
        <xdr:cNvPr id="411" name="PTObj_DBranchHLine_1_98">
          <a:extLst>
            <a:ext uri="{FF2B5EF4-FFF2-40B4-BE49-F238E27FC236}">
              <a16:creationId xmlns:a16="http://schemas.microsoft.com/office/drawing/2014/main" id="{5436D7A6-0C3F-49DA-9251-E4DF36BB839B}"/>
            </a:ext>
          </a:extLst>
        </xdr:cNvPr>
        <xdr:cNvCxnSpPr/>
      </xdr:nvCxnSpPr>
      <xdr:spPr>
        <a:xfrm>
          <a:off x="18628804" y="35839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196</xdr:row>
      <xdr:rowOff>1268</xdr:rowOff>
    </xdr:from>
    <xdr:to>
      <xdr:col>10</xdr:col>
      <xdr:colOff>197929</xdr:colOff>
      <xdr:row>198</xdr:row>
      <xdr:rowOff>6350</xdr:rowOff>
    </xdr:to>
    <xdr:cxnSp macro="_xll.PtreeEvent_ObjectClick">
      <xdr:nvCxnSpPr>
        <xdr:cNvPr id="410" name="PTObj_DBranchDLine_1_98">
          <a:extLst>
            <a:ext uri="{FF2B5EF4-FFF2-40B4-BE49-F238E27FC236}">
              <a16:creationId xmlns:a16="http://schemas.microsoft.com/office/drawing/2014/main" id="{C14713FE-0DE8-48F2-8584-375537C047C0}"/>
            </a:ext>
          </a:extLst>
        </xdr:cNvPr>
        <xdr:cNvCxnSpPr/>
      </xdr:nvCxnSpPr>
      <xdr:spPr>
        <a:xfrm>
          <a:off x="18476404" y="35472368"/>
          <a:ext cx="152400" cy="36703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196</xdr:row>
      <xdr:rowOff>2539</xdr:rowOff>
    </xdr:from>
    <xdr:to>
      <xdr:col>9</xdr:col>
      <xdr:colOff>1388870</xdr:colOff>
      <xdr:row>196</xdr:row>
      <xdr:rowOff>2539</xdr:rowOff>
    </xdr:to>
    <xdr:cxnSp macro="_xll.PtreeEvent_ObjectClick">
      <xdr:nvCxnSpPr>
        <xdr:cNvPr id="407" name="PTObj_DBranchHLine_1_97">
          <a:extLst>
            <a:ext uri="{FF2B5EF4-FFF2-40B4-BE49-F238E27FC236}">
              <a16:creationId xmlns:a16="http://schemas.microsoft.com/office/drawing/2014/main" id="{EB14B61D-2B50-4239-BE0F-4BA4EE0178BD}"/>
            </a:ext>
          </a:extLst>
        </xdr:cNvPr>
        <xdr:cNvCxnSpPr/>
      </xdr:nvCxnSpPr>
      <xdr:spPr>
        <a:xfrm>
          <a:off x="17206720" y="354736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193</xdr:row>
      <xdr:rowOff>178433</xdr:rowOff>
    </xdr:from>
    <xdr:to>
      <xdr:col>9</xdr:col>
      <xdr:colOff>204595</xdr:colOff>
      <xdr:row>196</xdr:row>
      <xdr:rowOff>2539</xdr:rowOff>
    </xdr:to>
    <xdr:cxnSp macro="_xll.PtreeEvent_ObjectClick">
      <xdr:nvCxnSpPr>
        <xdr:cNvPr id="406" name="PTObj_DBranchDLine_1_97">
          <a:extLst>
            <a:ext uri="{FF2B5EF4-FFF2-40B4-BE49-F238E27FC236}">
              <a16:creationId xmlns:a16="http://schemas.microsoft.com/office/drawing/2014/main" id="{33AD8080-4EC2-4D61-A049-6AD949022388}"/>
            </a:ext>
          </a:extLst>
        </xdr:cNvPr>
        <xdr:cNvCxnSpPr/>
      </xdr:nvCxnSpPr>
      <xdr:spPr>
        <a:xfrm>
          <a:off x="17054320" y="35106608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193</xdr:row>
      <xdr:rowOff>179704</xdr:rowOff>
    </xdr:from>
    <xdr:to>
      <xdr:col>8</xdr:col>
      <xdr:colOff>1392681</xdr:colOff>
      <xdr:row>193</xdr:row>
      <xdr:rowOff>179704</xdr:rowOff>
    </xdr:to>
    <xdr:cxnSp macro="_xll.PtreeEvent_ObjectClick">
      <xdr:nvCxnSpPr>
        <xdr:cNvPr id="403" name="PTObj_DBranchHLine_1_96">
          <a:extLst>
            <a:ext uri="{FF2B5EF4-FFF2-40B4-BE49-F238E27FC236}">
              <a16:creationId xmlns:a16="http://schemas.microsoft.com/office/drawing/2014/main" id="{8C0FCD32-33F6-42A7-BDBF-7749B3109972}"/>
            </a:ext>
          </a:extLst>
        </xdr:cNvPr>
        <xdr:cNvCxnSpPr/>
      </xdr:nvCxnSpPr>
      <xdr:spPr>
        <a:xfrm>
          <a:off x="15782734" y="351078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191</xdr:row>
      <xdr:rowOff>176526</xdr:rowOff>
    </xdr:from>
    <xdr:to>
      <xdr:col>8</xdr:col>
      <xdr:colOff>209359</xdr:colOff>
      <xdr:row>193</xdr:row>
      <xdr:rowOff>179704</xdr:rowOff>
    </xdr:to>
    <xdr:cxnSp macro="_xll.PtreeEvent_ObjectClick">
      <xdr:nvCxnSpPr>
        <xdr:cNvPr id="402" name="PTObj_DBranchDLine_1_96">
          <a:extLst>
            <a:ext uri="{FF2B5EF4-FFF2-40B4-BE49-F238E27FC236}">
              <a16:creationId xmlns:a16="http://schemas.microsoft.com/office/drawing/2014/main" id="{1200604D-C5BD-4DAF-BF9F-CA97DD459EB4}"/>
            </a:ext>
          </a:extLst>
        </xdr:cNvPr>
        <xdr:cNvCxnSpPr/>
      </xdr:nvCxnSpPr>
      <xdr:spPr>
        <a:xfrm>
          <a:off x="15630334" y="34742751"/>
          <a:ext cx="152400" cy="3651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189</xdr:row>
      <xdr:rowOff>172086</xdr:rowOff>
    </xdr:from>
    <xdr:to>
      <xdr:col>11</xdr:col>
      <xdr:colOff>1384111</xdr:colOff>
      <xdr:row>189</xdr:row>
      <xdr:rowOff>172086</xdr:rowOff>
    </xdr:to>
    <xdr:cxnSp macro="_xll.PtreeEvent_ObjectClick">
      <xdr:nvCxnSpPr>
        <xdr:cNvPr id="399" name="PTObj_DBranchHLine_1_94">
          <a:extLst>
            <a:ext uri="{FF2B5EF4-FFF2-40B4-BE49-F238E27FC236}">
              <a16:creationId xmlns:a16="http://schemas.microsoft.com/office/drawing/2014/main" id="{C0E0D1E9-910D-472A-AFDC-EE5F262BEAC4}"/>
            </a:ext>
          </a:extLst>
        </xdr:cNvPr>
        <xdr:cNvCxnSpPr/>
      </xdr:nvCxnSpPr>
      <xdr:spPr>
        <a:xfrm>
          <a:off x="20056601" y="34376361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187</xdr:row>
      <xdr:rowOff>163193</xdr:rowOff>
    </xdr:from>
    <xdr:to>
      <xdr:col>11</xdr:col>
      <xdr:colOff>196976</xdr:colOff>
      <xdr:row>189</xdr:row>
      <xdr:rowOff>172086</xdr:rowOff>
    </xdr:to>
    <xdr:cxnSp macro="_xll.PtreeEvent_ObjectClick">
      <xdr:nvCxnSpPr>
        <xdr:cNvPr id="398" name="PTObj_DBranchDLine_1_94">
          <a:extLst>
            <a:ext uri="{FF2B5EF4-FFF2-40B4-BE49-F238E27FC236}">
              <a16:creationId xmlns:a16="http://schemas.microsoft.com/office/drawing/2014/main" id="{EF2E9F4E-9D53-4B49-A082-B450573519A4}"/>
            </a:ext>
          </a:extLst>
        </xdr:cNvPr>
        <xdr:cNvCxnSpPr/>
      </xdr:nvCxnSpPr>
      <xdr:spPr>
        <a:xfrm>
          <a:off x="19904201" y="34005518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187</xdr:row>
      <xdr:rowOff>168275</xdr:rowOff>
    </xdr:from>
    <xdr:to>
      <xdr:col>10</xdr:col>
      <xdr:colOff>1392681</xdr:colOff>
      <xdr:row>187</xdr:row>
      <xdr:rowOff>168275</xdr:rowOff>
    </xdr:to>
    <xdr:cxnSp macro="_xll.PtreeEvent_ObjectClick">
      <xdr:nvCxnSpPr>
        <xdr:cNvPr id="395" name="PTObj_DBranchHLine_1_93">
          <a:extLst>
            <a:ext uri="{FF2B5EF4-FFF2-40B4-BE49-F238E27FC236}">
              <a16:creationId xmlns:a16="http://schemas.microsoft.com/office/drawing/2014/main" id="{20D4058F-06F6-49BD-BA58-15E4B358D7E6}"/>
            </a:ext>
          </a:extLst>
        </xdr:cNvPr>
        <xdr:cNvCxnSpPr/>
      </xdr:nvCxnSpPr>
      <xdr:spPr>
        <a:xfrm>
          <a:off x="18628804" y="34010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185</xdr:row>
      <xdr:rowOff>159386</xdr:rowOff>
    </xdr:from>
    <xdr:to>
      <xdr:col>10</xdr:col>
      <xdr:colOff>197929</xdr:colOff>
      <xdr:row>187</xdr:row>
      <xdr:rowOff>168275</xdr:rowOff>
    </xdr:to>
    <xdr:cxnSp macro="_xll.PtreeEvent_ObjectClick">
      <xdr:nvCxnSpPr>
        <xdr:cNvPr id="394" name="PTObj_DBranchDLine_1_93">
          <a:extLst>
            <a:ext uri="{FF2B5EF4-FFF2-40B4-BE49-F238E27FC236}">
              <a16:creationId xmlns:a16="http://schemas.microsoft.com/office/drawing/2014/main" id="{85FA9184-5ECC-489A-AE86-AB1D898CA065}"/>
            </a:ext>
          </a:extLst>
        </xdr:cNvPr>
        <xdr:cNvCxnSpPr/>
      </xdr:nvCxnSpPr>
      <xdr:spPr>
        <a:xfrm>
          <a:off x="18476404" y="3363976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185</xdr:row>
      <xdr:rowOff>164464</xdr:rowOff>
    </xdr:from>
    <xdr:to>
      <xdr:col>9</xdr:col>
      <xdr:colOff>1388870</xdr:colOff>
      <xdr:row>185</xdr:row>
      <xdr:rowOff>164464</xdr:rowOff>
    </xdr:to>
    <xdr:cxnSp macro="_xll.PtreeEvent_ObjectClick">
      <xdr:nvCxnSpPr>
        <xdr:cNvPr id="391" name="PTObj_DBranchHLine_1_92">
          <a:extLst>
            <a:ext uri="{FF2B5EF4-FFF2-40B4-BE49-F238E27FC236}">
              <a16:creationId xmlns:a16="http://schemas.microsoft.com/office/drawing/2014/main" id="{3636C732-0856-4973-8BC1-FB57F525DEB4}"/>
            </a:ext>
          </a:extLst>
        </xdr:cNvPr>
        <xdr:cNvCxnSpPr/>
      </xdr:nvCxnSpPr>
      <xdr:spPr>
        <a:xfrm>
          <a:off x="17206720" y="336448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183</xdr:row>
      <xdr:rowOff>151761</xdr:rowOff>
    </xdr:from>
    <xdr:to>
      <xdr:col>9</xdr:col>
      <xdr:colOff>204595</xdr:colOff>
      <xdr:row>185</xdr:row>
      <xdr:rowOff>164464</xdr:rowOff>
    </xdr:to>
    <xdr:cxnSp macro="_xll.PtreeEvent_ObjectClick">
      <xdr:nvCxnSpPr>
        <xdr:cNvPr id="390" name="PTObj_DBranchDLine_1_92">
          <a:extLst>
            <a:ext uri="{FF2B5EF4-FFF2-40B4-BE49-F238E27FC236}">
              <a16:creationId xmlns:a16="http://schemas.microsoft.com/office/drawing/2014/main" id="{B4F2DB51-4564-424B-9349-280828F7C266}"/>
            </a:ext>
          </a:extLst>
        </xdr:cNvPr>
        <xdr:cNvCxnSpPr/>
      </xdr:nvCxnSpPr>
      <xdr:spPr>
        <a:xfrm>
          <a:off x="17054320" y="33270186"/>
          <a:ext cx="152400" cy="3746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183</xdr:row>
      <xdr:rowOff>160654</xdr:rowOff>
    </xdr:from>
    <xdr:to>
      <xdr:col>8</xdr:col>
      <xdr:colOff>1392681</xdr:colOff>
      <xdr:row>183</xdr:row>
      <xdr:rowOff>160654</xdr:rowOff>
    </xdr:to>
    <xdr:cxnSp macro="_xll.PtreeEvent_ObjectClick">
      <xdr:nvCxnSpPr>
        <xdr:cNvPr id="387" name="PTObj_DBranchHLine_1_91">
          <a:extLst>
            <a:ext uri="{FF2B5EF4-FFF2-40B4-BE49-F238E27FC236}">
              <a16:creationId xmlns:a16="http://schemas.microsoft.com/office/drawing/2014/main" id="{567F9239-734D-416E-80FB-B3EBBB183FFE}"/>
            </a:ext>
          </a:extLst>
        </xdr:cNvPr>
        <xdr:cNvCxnSpPr/>
      </xdr:nvCxnSpPr>
      <xdr:spPr>
        <a:xfrm>
          <a:off x="15782734" y="332790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183</xdr:row>
      <xdr:rowOff>160654</xdr:rowOff>
    </xdr:from>
    <xdr:to>
      <xdr:col>8</xdr:col>
      <xdr:colOff>209359</xdr:colOff>
      <xdr:row>191</xdr:row>
      <xdr:rowOff>176526</xdr:rowOff>
    </xdr:to>
    <xdr:cxnSp macro="_xll.PtreeEvent_ObjectClick">
      <xdr:nvCxnSpPr>
        <xdr:cNvPr id="386" name="PTObj_DBranchDLine_1_91">
          <a:extLst>
            <a:ext uri="{FF2B5EF4-FFF2-40B4-BE49-F238E27FC236}">
              <a16:creationId xmlns:a16="http://schemas.microsoft.com/office/drawing/2014/main" id="{CB7AC0E7-0E5D-49C2-A55B-1E8B4E5ECD90}"/>
            </a:ext>
          </a:extLst>
        </xdr:cNvPr>
        <xdr:cNvCxnSpPr/>
      </xdr:nvCxnSpPr>
      <xdr:spPr>
        <a:xfrm flipV="1">
          <a:off x="15630334" y="33279079"/>
          <a:ext cx="152400" cy="146367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191</xdr:row>
      <xdr:rowOff>175896</xdr:rowOff>
    </xdr:from>
    <xdr:to>
      <xdr:col>7</xdr:col>
      <xdr:colOff>1398397</xdr:colOff>
      <xdr:row>191</xdr:row>
      <xdr:rowOff>175896</xdr:rowOff>
    </xdr:to>
    <xdr:cxnSp macro="_xll.PtreeEvent_ObjectClick">
      <xdr:nvCxnSpPr>
        <xdr:cNvPr id="383" name="PTObj_DBranchHLine_1_95">
          <a:extLst>
            <a:ext uri="{FF2B5EF4-FFF2-40B4-BE49-F238E27FC236}">
              <a16:creationId xmlns:a16="http://schemas.microsoft.com/office/drawing/2014/main" id="{B710243D-B69F-4694-953C-196F22901BB8}"/>
            </a:ext>
          </a:extLst>
        </xdr:cNvPr>
        <xdr:cNvCxnSpPr/>
      </xdr:nvCxnSpPr>
      <xdr:spPr>
        <a:xfrm>
          <a:off x="14362557" y="347421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181</xdr:row>
      <xdr:rowOff>145098</xdr:rowOff>
    </xdr:from>
    <xdr:to>
      <xdr:col>7</xdr:col>
      <xdr:colOff>217932</xdr:colOff>
      <xdr:row>191</xdr:row>
      <xdr:rowOff>175896</xdr:rowOff>
    </xdr:to>
    <xdr:cxnSp macro="_xll.PtreeEvent_ObjectClick">
      <xdr:nvCxnSpPr>
        <xdr:cNvPr id="382" name="PTObj_DBranchDLine_1_95">
          <a:extLst>
            <a:ext uri="{FF2B5EF4-FFF2-40B4-BE49-F238E27FC236}">
              <a16:creationId xmlns:a16="http://schemas.microsoft.com/office/drawing/2014/main" id="{D71B1DEE-869F-488C-B016-A94C580CEE19}"/>
            </a:ext>
          </a:extLst>
        </xdr:cNvPr>
        <xdr:cNvCxnSpPr/>
      </xdr:nvCxnSpPr>
      <xdr:spPr>
        <a:xfrm>
          <a:off x="14210157" y="32901573"/>
          <a:ext cx="152400" cy="184054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179</xdr:row>
      <xdr:rowOff>153036</xdr:rowOff>
    </xdr:from>
    <xdr:to>
      <xdr:col>11</xdr:col>
      <xdr:colOff>1385063</xdr:colOff>
      <xdr:row>179</xdr:row>
      <xdr:rowOff>153036</xdr:rowOff>
    </xdr:to>
    <xdr:cxnSp macro="_xll.PtreeEvent_ObjectClick">
      <xdr:nvCxnSpPr>
        <xdr:cNvPr id="379" name="PTObj_DBranchHLine_1_89">
          <a:extLst>
            <a:ext uri="{FF2B5EF4-FFF2-40B4-BE49-F238E27FC236}">
              <a16:creationId xmlns:a16="http://schemas.microsoft.com/office/drawing/2014/main" id="{EC35140F-978D-474A-A711-7E92FF622B96}"/>
            </a:ext>
          </a:extLst>
        </xdr:cNvPr>
        <xdr:cNvCxnSpPr/>
      </xdr:nvCxnSpPr>
      <xdr:spPr>
        <a:xfrm>
          <a:off x="20056601" y="325475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177</xdr:row>
      <xdr:rowOff>140336</xdr:rowOff>
    </xdr:from>
    <xdr:to>
      <xdr:col>11</xdr:col>
      <xdr:colOff>196976</xdr:colOff>
      <xdr:row>179</xdr:row>
      <xdr:rowOff>153036</xdr:rowOff>
    </xdr:to>
    <xdr:cxnSp macro="_xll.PtreeEvent_ObjectClick">
      <xdr:nvCxnSpPr>
        <xdr:cNvPr id="378" name="PTObj_DBranchDLine_1_89">
          <a:extLst>
            <a:ext uri="{FF2B5EF4-FFF2-40B4-BE49-F238E27FC236}">
              <a16:creationId xmlns:a16="http://schemas.microsoft.com/office/drawing/2014/main" id="{EFC02FC8-2AF9-434C-8790-05D904EB8662}"/>
            </a:ext>
          </a:extLst>
        </xdr:cNvPr>
        <xdr:cNvCxnSpPr/>
      </xdr:nvCxnSpPr>
      <xdr:spPr>
        <a:xfrm>
          <a:off x="19904201" y="32172911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177</xdr:row>
      <xdr:rowOff>149225</xdr:rowOff>
    </xdr:from>
    <xdr:to>
      <xdr:col>10</xdr:col>
      <xdr:colOff>1392681</xdr:colOff>
      <xdr:row>177</xdr:row>
      <xdr:rowOff>149225</xdr:rowOff>
    </xdr:to>
    <xdr:cxnSp macro="_xll.PtreeEvent_ObjectClick">
      <xdr:nvCxnSpPr>
        <xdr:cNvPr id="375" name="PTObj_DBranchHLine_1_88">
          <a:extLst>
            <a:ext uri="{FF2B5EF4-FFF2-40B4-BE49-F238E27FC236}">
              <a16:creationId xmlns:a16="http://schemas.microsoft.com/office/drawing/2014/main" id="{2F5E61D8-D7AF-4961-82E4-ED439D43BCFC}"/>
            </a:ext>
          </a:extLst>
        </xdr:cNvPr>
        <xdr:cNvCxnSpPr/>
      </xdr:nvCxnSpPr>
      <xdr:spPr>
        <a:xfrm>
          <a:off x="18628804" y="32181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175</xdr:row>
      <xdr:rowOff>144146</xdr:rowOff>
    </xdr:from>
    <xdr:to>
      <xdr:col>10</xdr:col>
      <xdr:colOff>197929</xdr:colOff>
      <xdr:row>177</xdr:row>
      <xdr:rowOff>149225</xdr:rowOff>
    </xdr:to>
    <xdr:cxnSp macro="_xll.PtreeEvent_ObjectClick">
      <xdr:nvCxnSpPr>
        <xdr:cNvPr id="374" name="PTObj_DBranchDLine_1_88">
          <a:extLst>
            <a:ext uri="{FF2B5EF4-FFF2-40B4-BE49-F238E27FC236}">
              <a16:creationId xmlns:a16="http://schemas.microsoft.com/office/drawing/2014/main" id="{5F0F309F-2C83-4514-BCE7-B1E5610ABF5C}"/>
            </a:ext>
          </a:extLst>
        </xdr:cNvPr>
        <xdr:cNvCxnSpPr/>
      </xdr:nvCxnSpPr>
      <xdr:spPr>
        <a:xfrm>
          <a:off x="18476404" y="3181477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175</xdr:row>
      <xdr:rowOff>145414</xdr:rowOff>
    </xdr:from>
    <xdr:to>
      <xdr:col>9</xdr:col>
      <xdr:colOff>1388870</xdr:colOff>
      <xdr:row>175</xdr:row>
      <xdr:rowOff>145414</xdr:rowOff>
    </xdr:to>
    <xdr:cxnSp macro="_xll.PtreeEvent_ObjectClick">
      <xdr:nvCxnSpPr>
        <xdr:cNvPr id="371" name="PTObj_DBranchHLine_1_87">
          <a:extLst>
            <a:ext uri="{FF2B5EF4-FFF2-40B4-BE49-F238E27FC236}">
              <a16:creationId xmlns:a16="http://schemas.microsoft.com/office/drawing/2014/main" id="{EBF5E16C-10A9-4616-A73F-8154A29537B3}"/>
            </a:ext>
          </a:extLst>
        </xdr:cNvPr>
        <xdr:cNvCxnSpPr/>
      </xdr:nvCxnSpPr>
      <xdr:spPr>
        <a:xfrm>
          <a:off x="17206720" y="318160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173</xdr:row>
      <xdr:rowOff>140333</xdr:rowOff>
    </xdr:from>
    <xdr:to>
      <xdr:col>9</xdr:col>
      <xdr:colOff>204595</xdr:colOff>
      <xdr:row>175</xdr:row>
      <xdr:rowOff>145414</xdr:rowOff>
    </xdr:to>
    <xdr:cxnSp macro="_xll.PtreeEvent_ObjectClick">
      <xdr:nvCxnSpPr>
        <xdr:cNvPr id="370" name="PTObj_DBranchDLine_1_87">
          <a:extLst>
            <a:ext uri="{FF2B5EF4-FFF2-40B4-BE49-F238E27FC236}">
              <a16:creationId xmlns:a16="http://schemas.microsoft.com/office/drawing/2014/main" id="{22088843-BFDB-49B9-8A93-23E381BA314A}"/>
            </a:ext>
          </a:extLst>
        </xdr:cNvPr>
        <xdr:cNvCxnSpPr/>
      </xdr:nvCxnSpPr>
      <xdr:spPr>
        <a:xfrm>
          <a:off x="17054320" y="31449008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173</xdr:row>
      <xdr:rowOff>141604</xdr:rowOff>
    </xdr:from>
    <xdr:to>
      <xdr:col>8</xdr:col>
      <xdr:colOff>1392681</xdr:colOff>
      <xdr:row>173</xdr:row>
      <xdr:rowOff>141604</xdr:rowOff>
    </xdr:to>
    <xdr:cxnSp macro="_xll.PtreeEvent_ObjectClick">
      <xdr:nvCxnSpPr>
        <xdr:cNvPr id="367" name="PTObj_DBranchHLine_1_86">
          <a:extLst>
            <a:ext uri="{FF2B5EF4-FFF2-40B4-BE49-F238E27FC236}">
              <a16:creationId xmlns:a16="http://schemas.microsoft.com/office/drawing/2014/main" id="{CE131BCD-BE91-4CF9-9787-559D18210B39}"/>
            </a:ext>
          </a:extLst>
        </xdr:cNvPr>
        <xdr:cNvCxnSpPr/>
      </xdr:nvCxnSpPr>
      <xdr:spPr>
        <a:xfrm>
          <a:off x="15782734" y="314502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171</xdr:row>
      <xdr:rowOff>138426</xdr:rowOff>
    </xdr:from>
    <xdr:to>
      <xdr:col>8</xdr:col>
      <xdr:colOff>209359</xdr:colOff>
      <xdr:row>173</xdr:row>
      <xdr:rowOff>141604</xdr:rowOff>
    </xdr:to>
    <xdr:cxnSp macro="_xll.PtreeEvent_ObjectClick">
      <xdr:nvCxnSpPr>
        <xdr:cNvPr id="366" name="PTObj_DBranchDLine_1_86">
          <a:extLst>
            <a:ext uri="{FF2B5EF4-FFF2-40B4-BE49-F238E27FC236}">
              <a16:creationId xmlns:a16="http://schemas.microsoft.com/office/drawing/2014/main" id="{D5C118F7-B49E-4FB6-8828-2594689874BB}"/>
            </a:ext>
          </a:extLst>
        </xdr:cNvPr>
        <xdr:cNvCxnSpPr/>
      </xdr:nvCxnSpPr>
      <xdr:spPr>
        <a:xfrm>
          <a:off x="15630334" y="31085151"/>
          <a:ext cx="152400" cy="3651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169</xdr:row>
      <xdr:rowOff>133986</xdr:rowOff>
    </xdr:from>
    <xdr:to>
      <xdr:col>11</xdr:col>
      <xdr:colOff>1384111</xdr:colOff>
      <xdr:row>169</xdr:row>
      <xdr:rowOff>133986</xdr:rowOff>
    </xdr:to>
    <xdr:cxnSp macro="_xll.PtreeEvent_ObjectClick">
      <xdr:nvCxnSpPr>
        <xdr:cNvPr id="363" name="PTObj_DBranchHLine_1_84">
          <a:extLst>
            <a:ext uri="{FF2B5EF4-FFF2-40B4-BE49-F238E27FC236}">
              <a16:creationId xmlns:a16="http://schemas.microsoft.com/office/drawing/2014/main" id="{F2319EFE-AB05-45BC-9DA7-16D2EFDB6890}"/>
            </a:ext>
          </a:extLst>
        </xdr:cNvPr>
        <xdr:cNvCxnSpPr/>
      </xdr:nvCxnSpPr>
      <xdr:spPr>
        <a:xfrm>
          <a:off x="20056601" y="30718761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167</xdr:row>
      <xdr:rowOff>125093</xdr:rowOff>
    </xdr:from>
    <xdr:to>
      <xdr:col>11</xdr:col>
      <xdr:colOff>196976</xdr:colOff>
      <xdr:row>169</xdr:row>
      <xdr:rowOff>133986</xdr:rowOff>
    </xdr:to>
    <xdr:cxnSp macro="_xll.PtreeEvent_ObjectClick">
      <xdr:nvCxnSpPr>
        <xdr:cNvPr id="362" name="PTObj_DBranchDLine_1_84">
          <a:extLst>
            <a:ext uri="{FF2B5EF4-FFF2-40B4-BE49-F238E27FC236}">
              <a16:creationId xmlns:a16="http://schemas.microsoft.com/office/drawing/2014/main" id="{A4BACD14-DE2C-48FF-9932-B23C0B87A5BA}"/>
            </a:ext>
          </a:extLst>
        </xdr:cNvPr>
        <xdr:cNvCxnSpPr/>
      </xdr:nvCxnSpPr>
      <xdr:spPr>
        <a:xfrm>
          <a:off x="19904201" y="30347918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167</xdr:row>
      <xdr:rowOff>130175</xdr:rowOff>
    </xdr:from>
    <xdr:to>
      <xdr:col>10</xdr:col>
      <xdr:colOff>1392681</xdr:colOff>
      <xdr:row>167</xdr:row>
      <xdr:rowOff>130175</xdr:rowOff>
    </xdr:to>
    <xdr:cxnSp macro="_xll.PtreeEvent_ObjectClick">
      <xdr:nvCxnSpPr>
        <xdr:cNvPr id="359" name="PTObj_DBranchHLine_1_83">
          <a:extLst>
            <a:ext uri="{FF2B5EF4-FFF2-40B4-BE49-F238E27FC236}">
              <a16:creationId xmlns:a16="http://schemas.microsoft.com/office/drawing/2014/main" id="{31D9D9CE-5033-46B0-8C37-D2B95946B44F}"/>
            </a:ext>
          </a:extLst>
        </xdr:cNvPr>
        <xdr:cNvCxnSpPr/>
      </xdr:nvCxnSpPr>
      <xdr:spPr>
        <a:xfrm>
          <a:off x="18628804" y="30353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165</xdr:row>
      <xdr:rowOff>121286</xdr:rowOff>
    </xdr:from>
    <xdr:to>
      <xdr:col>10</xdr:col>
      <xdr:colOff>197929</xdr:colOff>
      <xdr:row>167</xdr:row>
      <xdr:rowOff>130175</xdr:rowOff>
    </xdr:to>
    <xdr:cxnSp macro="_xll.PtreeEvent_ObjectClick">
      <xdr:nvCxnSpPr>
        <xdr:cNvPr id="358" name="PTObj_DBranchDLine_1_83">
          <a:extLst>
            <a:ext uri="{FF2B5EF4-FFF2-40B4-BE49-F238E27FC236}">
              <a16:creationId xmlns:a16="http://schemas.microsoft.com/office/drawing/2014/main" id="{5BF9E586-8165-4CE5-AF56-E9E8D25E745B}"/>
            </a:ext>
          </a:extLst>
        </xdr:cNvPr>
        <xdr:cNvCxnSpPr/>
      </xdr:nvCxnSpPr>
      <xdr:spPr>
        <a:xfrm>
          <a:off x="18476404" y="2998216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165</xdr:row>
      <xdr:rowOff>126364</xdr:rowOff>
    </xdr:from>
    <xdr:to>
      <xdr:col>9</xdr:col>
      <xdr:colOff>1388870</xdr:colOff>
      <xdr:row>165</xdr:row>
      <xdr:rowOff>126364</xdr:rowOff>
    </xdr:to>
    <xdr:cxnSp macro="_xll.PtreeEvent_ObjectClick">
      <xdr:nvCxnSpPr>
        <xdr:cNvPr id="355" name="PTObj_DBranchHLine_1_82">
          <a:extLst>
            <a:ext uri="{FF2B5EF4-FFF2-40B4-BE49-F238E27FC236}">
              <a16:creationId xmlns:a16="http://schemas.microsoft.com/office/drawing/2014/main" id="{B807B20E-EF79-4D98-A9C7-11F36527B17E}"/>
            </a:ext>
          </a:extLst>
        </xdr:cNvPr>
        <xdr:cNvCxnSpPr/>
      </xdr:nvCxnSpPr>
      <xdr:spPr>
        <a:xfrm>
          <a:off x="17206720" y="299872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163</xdr:row>
      <xdr:rowOff>113661</xdr:rowOff>
    </xdr:from>
    <xdr:to>
      <xdr:col>9</xdr:col>
      <xdr:colOff>204595</xdr:colOff>
      <xdr:row>165</xdr:row>
      <xdr:rowOff>126364</xdr:rowOff>
    </xdr:to>
    <xdr:cxnSp macro="_xll.PtreeEvent_ObjectClick">
      <xdr:nvCxnSpPr>
        <xdr:cNvPr id="354" name="PTObj_DBranchDLine_1_82">
          <a:extLst>
            <a:ext uri="{FF2B5EF4-FFF2-40B4-BE49-F238E27FC236}">
              <a16:creationId xmlns:a16="http://schemas.microsoft.com/office/drawing/2014/main" id="{E2E44364-462C-4255-A045-9BE5544773BC}"/>
            </a:ext>
          </a:extLst>
        </xdr:cNvPr>
        <xdr:cNvCxnSpPr/>
      </xdr:nvCxnSpPr>
      <xdr:spPr>
        <a:xfrm>
          <a:off x="17054320" y="29612586"/>
          <a:ext cx="152400" cy="3746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163</xdr:row>
      <xdr:rowOff>122554</xdr:rowOff>
    </xdr:from>
    <xdr:to>
      <xdr:col>8</xdr:col>
      <xdr:colOff>1392681</xdr:colOff>
      <xdr:row>163</xdr:row>
      <xdr:rowOff>122554</xdr:rowOff>
    </xdr:to>
    <xdr:cxnSp macro="_xll.PtreeEvent_ObjectClick">
      <xdr:nvCxnSpPr>
        <xdr:cNvPr id="351" name="PTObj_DBranchHLine_1_81">
          <a:extLst>
            <a:ext uri="{FF2B5EF4-FFF2-40B4-BE49-F238E27FC236}">
              <a16:creationId xmlns:a16="http://schemas.microsoft.com/office/drawing/2014/main" id="{41FB197B-5D3F-4BB6-932B-2791D4D73CF9}"/>
            </a:ext>
          </a:extLst>
        </xdr:cNvPr>
        <xdr:cNvCxnSpPr/>
      </xdr:nvCxnSpPr>
      <xdr:spPr>
        <a:xfrm>
          <a:off x="15782734" y="296214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163</xdr:row>
      <xdr:rowOff>122554</xdr:rowOff>
    </xdr:from>
    <xdr:to>
      <xdr:col>8</xdr:col>
      <xdr:colOff>209359</xdr:colOff>
      <xdr:row>171</xdr:row>
      <xdr:rowOff>138426</xdr:rowOff>
    </xdr:to>
    <xdr:cxnSp macro="_xll.PtreeEvent_ObjectClick">
      <xdr:nvCxnSpPr>
        <xdr:cNvPr id="350" name="PTObj_DBranchDLine_1_81">
          <a:extLst>
            <a:ext uri="{FF2B5EF4-FFF2-40B4-BE49-F238E27FC236}">
              <a16:creationId xmlns:a16="http://schemas.microsoft.com/office/drawing/2014/main" id="{D1B9B1EA-4078-4C38-A51E-0786C09E560B}"/>
            </a:ext>
          </a:extLst>
        </xdr:cNvPr>
        <xdr:cNvCxnSpPr/>
      </xdr:nvCxnSpPr>
      <xdr:spPr>
        <a:xfrm flipV="1">
          <a:off x="15630334" y="29621479"/>
          <a:ext cx="152400" cy="146367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171</xdr:row>
      <xdr:rowOff>137796</xdr:rowOff>
    </xdr:from>
    <xdr:to>
      <xdr:col>7</xdr:col>
      <xdr:colOff>1398397</xdr:colOff>
      <xdr:row>171</xdr:row>
      <xdr:rowOff>137796</xdr:rowOff>
    </xdr:to>
    <xdr:cxnSp macro="_xll.PtreeEvent_ObjectClick">
      <xdr:nvCxnSpPr>
        <xdr:cNvPr id="347" name="PTObj_DBranchHLine_1_85">
          <a:extLst>
            <a:ext uri="{FF2B5EF4-FFF2-40B4-BE49-F238E27FC236}">
              <a16:creationId xmlns:a16="http://schemas.microsoft.com/office/drawing/2014/main" id="{E1F25DDF-0BCB-4782-8950-0BFA5DF14E4A}"/>
            </a:ext>
          </a:extLst>
        </xdr:cNvPr>
        <xdr:cNvCxnSpPr/>
      </xdr:nvCxnSpPr>
      <xdr:spPr>
        <a:xfrm>
          <a:off x="14360652" y="31084521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171</xdr:row>
      <xdr:rowOff>137796</xdr:rowOff>
    </xdr:from>
    <xdr:to>
      <xdr:col>7</xdr:col>
      <xdr:colOff>216027</xdr:colOff>
      <xdr:row>181</xdr:row>
      <xdr:rowOff>147002</xdr:rowOff>
    </xdr:to>
    <xdr:cxnSp macro="_xll.PtreeEvent_ObjectClick">
      <xdr:nvCxnSpPr>
        <xdr:cNvPr id="346" name="PTObj_DBranchDLine_1_85">
          <a:extLst>
            <a:ext uri="{FF2B5EF4-FFF2-40B4-BE49-F238E27FC236}">
              <a16:creationId xmlns:a16="http://schemas.microsoft.com/office/drawing/2014/main" id="{AFFF05AC-8078-4002-9389-C2CDFAD3A6B2}"/>
            </a:ext>
          </a:extLst>
        </xdr:cNvPr>
        <xdr:cNvCxnSpPr/>
      </xdr:nvCxnSpPr>
      <xdr:spPr>
        <a:xfrm flipV="1">
          <a:off x="14208252" y="31084521"/>
          <a:ext cx="152400" cy="181895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181</xdr:row>
      <xdr:rowOff>156846</xdr:rowOff>
    </xdr:from>
    <xdr:to>
      <xdr:col>6</xdr:col>
      <xdr:colOff>1402207</xdr:colOff>
      <xdr:row>181</xdr:row>
      <xdr:rowOff>156846</xdr:rowOff>
    </xdr:to>
    <xdr:cxnSp macro="_xll.PtreeEvent_ObjectClick">
      <xdr:nvCxnSpPr>
        <xdr:cNvPr id="343" name="PTObj_DBranchHLine_1_90">
          <a:extLst>
            <a:ext uri="{FF2B5EF4-FFF2-40B4-BE49-F238E27FC236}">
              <a16:creationId xmlns:a16="http://schemas.microsoft.com/office/drawing/2014/main" id="{57C04898-9E90-489B-864B-D7DED631BC14}"/>
            </a:ext>
          </a:extLst>
        </xdr:cNvPr>
        <xdr:cNvCxnSpPr/>
      </xdr:nvCxnSpPr>
      <xdr:spPr>
        <a:xfrm>
          <a:off x="12938569" y="32913321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181</xdr:row>
      <xdr:rowOff>156846</xdr:rowOff>
    </xdr:from>
    <xdr:to>
      <xdr:col>6</xdr:col>
      <xdr:colOff>222694</xdr:colOff>
      <xdr:row>202</xdr:row>
      <xdr:rowOff>4127</xdr:rowOff>
    </xdr:to>
    <xdr:cxnSp macro="_xll.PtreeEvent_ObjectClick">
      <xdr:nvCxnSpPr>
        <xdr:cNvPr id="342" name="PTObj_DBranchDLine_1_90">
          <a:extLst>
            <a:ext uri="{FF2B5EF4-FFF2-40B4-BE49-F238E27FC236}">
              <a16:creationId xmlns:a16="http://schemas.microsoft.com/office/drawing/2014/main" id="{7C7886F1-35A7-4741-96B3-725028AF2B89}"/>
            </a:ext>
          </a:extLst>
        </xdr:cNvPr>
        <xdr:cNvCxnSpPr/>
      </xdr:nvCxnSpPr>
      <xdr:spPr>
        <a:xfrm flipV="1">
          <a:off x="12786169" y="32913321"/>
          <a:ext cx="152400" cy="364775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202</xdr:row>
      <xdr:rowOff>13971</xdr:rowOff>
    </xdr:from>
    <xdr:to>
      <xdr:col>5</xdr:col>
      <xdr:colOff>1407922</xdr:colOff>
      <xdr:row>202</xdr:row>
      <xdr:rowOff>13971</xdr:rowOff>
    </xdr:to>
    <xdr:cxnSp macro="_xll.PtreeEvent_ObjectClick">
      <xdr:nvCxnSpPr>
        <xdr:cNvPr id="339" name="PTObj_DBranchHLine_1_100">
          <a:extLst>
            <a:ext uri="{FF2B5EF4-FFF2-40B4-BE49-F238E27FC236}">
              <a16:creationId xmlns:a16="http://schemas.microsoft.com/office/drawing/2014/main" id="{6B8283BF-1ED0-43EB-BA29-9B3524E63E20}"/>
            </a:ext>
          </a:extLst>
        </xdr:cNvPr>
        <xdr:cNvCxnSpPr/>
      </xdr:nvCxnSpPr>
      <xdr:spPr>
        <a:xfrm>
          <a:off x="11510772" y="36570921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202</xdr:row>
      <xdr:rowOff>13971</xdr:rowOff>
    </xdr:from>
    <xdr:to>
      <xdr:col>5</xdr:col>
      <xdr:colOff>223647</xdr:colOff>
      <xdr:row>242</xdr:row>
      <xdr:rowOff>84138</xdr:rowOff>
    </xdr:to>
    <xdr:cxnSp macro="_xll.PtreeEvent_ObjectClick">
      <xdr:nvCxnSpPr>
        <xdr:cNvPr id="338" name="PTObj_DBranchDLine_1_100">
          <a:extLst>
            <a:ext uri="{FF2B5EF4-FFF2-40B4-BE49-F238E27FC236}">
              <a16:creationId xmlns:a16="http://schemas.microsoft.com/office/drawing/2014/main" id="{EBFDF83E-28A2-45AF-A4CF-611A70A963CF}"/>
            </a:ext>
          </a:extLst>
        </xdr:cNvPr>
        <xdr:cNvCxnSpPr/>
      </xdr:nvCxnSpPr>
      <xdr:spPr>
        <a:xfrm flipV="1">
          <a:off x="11358372" y="36570921"/>
          <a:ext cx="152400" cy="730916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242</xdr:row>
      <xdr:rowOff>90171</xdr:rowOff>
    </xdr:from>
    <xdr:to>
      <xdr:col>4</xdr:col>
      <xdr:colOff>1411732</xdr:colOff>
      <xdr:row>242</xdr:row>
      <xdr:rowOff>90171</xdr:rowOff>
    </xdr:to>
    <xdr:cxnSp macro="_xll.PtreeEvent_ObjectClick">
      <xdr:nvCxnSpPr>
        <xdr:cNvPr id="335" name="PTObj_DBranchHLine_1_120">
          <a:extLst>
            <a:ext uri="{FF2B5EF4-FFF2-40B4-BE49-F238E27FC236}">
              <a16:creationId xmlns:a16="http://schemas.microsoft.com/office/drawing/2014/main" id="{D34ADE1E-4482-4913-91EF-6E54BBB72604}"/>
            </a:ext>
          </a:extLst>
        </xdr:cNvPr>
        <xdr:cNvCxnSpPr/>
      </xdr:nvCxnSpPr>
      <xdr:spPr>
        <a:xfrm>
          <a:off x="10086785" y="43886121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161</xdr:row>
      <xdr:rowOff>108902</xdr:rowOff>
    </xdr:from>
    <xdr:to>
      <xdr:col>4</xdr:col>
      <xdr:colOff>228410</xdr:colOff>
      <xdr:row>242</xdr:row>
      <xdr:rowOff>90171</xdr:rowOff>
    </xdr:to>
    <xdr:cxnSp macro="_xll.PtreeEvent_ObjectClick">
      <xdr:nvCxnSpPr>
        <xdr:cNvPr id="334" name="PTObj_DBranchDLine_1_120">
          <a:extLst>
            <a:ext uri="{FF2B5EF4-FFF2-40B4-BE49-F238E27FC236}">
              <a16:creationId xmlns:a16="http://schemas.microsoft.com/office/drawing/2014/main" id="{36509B6D-8D93-452B-B0A9-F7DF70792500}"/>
            </a:ext>
          </a:extLst>
        </xdr:cNvPr>
        <xdr:cNvCxnSpPr/>
      </xdr:nvCxnSpPr>
      <xdr:spPr>
        <a:xfrm>
          <a:off x="9934385" y="29245877"/>
          <a:ext cx="152400" cy="14640244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159</xdr:row>
      <xdr:rowOff>114936</xdr:rowOff>
    </xdr:from>
    <xdr:to>
      <xdr:col>11</xdr:col>
      <xdr:colOff>1385063</xdr:colOff>
      <xdr:row>159</xdr:row>
      <xdr:rowOff>114936</xdr:rowOff>
    </xdr:to>
    <xdr:cxnSp macro="_xll.PtreeEvent_ObjectClick">
      <xdr:nvCxnSpPr>
        <xdr:cNvPr id="331" name="PTObj_DBranchHLine_1_79">
          <a:extLst>
            <a:ext uri="{FF2B5EF4-FFF2-40B4-BE49-F238E27FC236}">
              <a16:creationId xmlns:a16="http://schemas.microsoft.com/office/drawing/2014/main" id="{C8087449-D5EF-4ECC-97E7-29BD578EA061}"/>
            </a:ext>
          </a:extLst>
        </xdr:cNvPr>
        <xdr:cNvCxnSpPr/>
      </xdr:nvCxnSpPr>
      <xdr:spPr>
        <a:xfrm>
          <a:off x="20056601" y="288899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157</xdr:row>
      <xdr:rowOff>102236</xdr:rowOff>
    </xdr:from>
    <xdr:to>
      <xdr:col>11</xdr:col>
      <xdr:colOff>196976</xdr:colOff>
      <xdr:row>159</xdr:row>
      <xdr:rowOff>114936</xdr:rowOff>
    </xdr:to>
    <xdr:cxnSp macro="_xll.PtreeEvent_ObjectClick">
      <xdr:nvCxnSpPr>
        <xdr:cNvPr id="330" name="PTObj_DBranchDLine_1_79">
          <a:extLst>
            <a:ext uri="{FF2B5EF4-FFF2-40B4-BE49-F238E27FC236}">
              <a16:creationId xmlns:a16="http://schemas.microsoft.com/office/drawing/2014/main" id="{6153380A-B048-483D-9F1D-AEB53BCCE5E6}"/>
            </a:ext>
          </a:extLst>
        </xdr:cNvPr>
        <xdr:cNvCxnSpPr/>
      </xdr:nvCxnSpPr>
      <xdr:spPr>
        <a:xfrm>
          <a:off x="19904201" y="28515311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157</xdr:row>
      <xdr:rowOff>111125</xdr:rowOff>
    </xdr:from>
    <xdr:to>
      <xdr:col>10</xdr:col>
      <xdr:colOff>1392681</xdr:colOff>
      <xdr:row>157</xdr:row>
      <xdr:rowOff>111125</xdr:rowOff>
    </xdr:to>
    <xdr:cxnSp macro="_xll.PtreeEvent_ObjectClick">
      <xdr:nvCxnSpPr>
        <xdr:cNvPr id="327" name="PTObj_DBranchHLine_1_78">
          <a:extLst>
            <a:ext uri="{FF2B5EF4-FFF2-40B4-BE49-F238E27FC236}">
              <a16:creationId xmlns:a16="http://schemas.microsoft.com/office/drawing/2014/main" id="{C79C9367-75CE-4EAF-A0D9-F3CDD8B5D250}"/>
            </a:ext>
          </a:extLst>
        </xdr:cNvPr>
        <xdr:cNvCxnSpPr/>
      </xdr:nvCxnSpPr>
      <xdr:spPr>
        <a:xfrm>
          <a:off x="18628804" y="28524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155</xdr:row>
      <xdr:rowOff>106046</xdr:rowOff>
    </xdr:from>
    <xdr:to>
      <xdr:col>10</xdr:col>
      <xdr:colOff>197929</xdr:colOff>
      <xdr:row>157</xdr:row>
      <xdr:rowOff>111125</xdr:rowOff>
    </xdr:to>
    <xdr:cxnSp macro="_xll.PtreeEvent_ObjectClick">
      <xdr:nvCxnSpPr>
        <xdr:cNvPr id="326" name="PTObj_DBranchDLine_1_78">
          <a:extLst>
            <a:ext uri="{FF2B5EF4-FFF2-40B4-BE49-F238E27FC236}">
              <a16:creationId xmlns:a16="http://schemas.microsoft.com/office/drawing/2014/main" id="{A13E7820-27C4-49A7-9A4F-E3841D3304F5}"/>
            </a:ext>
          </a:extLst>
        </xdr:cNvPr>
        <xdr:cNvCxnSpPr/>
      </xdr:nvCxnSpPr>
      <xdr:spPr>
        <a:xfrm>
          <a:off x="18476404" y="2815717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155</xdr:row>
      <xdr:rowOff>107314</xdr:rowOff>
    </xdr:from>
    <xdr:to>
      <xdr:col>9</xdr:col>
      <xdr:colOff>1388870</xdr:colOff>
      <xdr:row>155</xdr:row>
      <xdr:rowOff>107314</xdr:rowOff>
    </xdr:to>
    <xdr:cxnSp macro="_xll.PtreeEvent_ObjectClick">
      <xdr:nvCxnSpPr>
        <xdr:cNvPr id="323" name="PTObj_DBranchHLine_1_77">
          <a:extLst>
            <a:ext uri="{FF2B5EF4-FFF2-40B4-BE49-F238E27FC236}">
              <a16:creationId xmlns:a16="http://schemas.microsoft.com/office/drawing/2014/main" id="{8AB86EAF-97E0-4857-AE55-EDA9626B56F8}"/>
            </a:ext>
          </a:extLst>
        </xdr:cNvPr>
        <xdr:cNvCxnSpPr/>
      </xdr:nvCxnSpPr>
      <xdr:spPr>
        <a:xfrm>
          <a:off x="17206720" y="281584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153</xdr:row>
      <xdr:rowOff>102233</xdr:rowOff>
    </xdr:from>
    <xdr:to>
      <xdr:col>9</xdr:col>
      <xdr:colOff>204595</xdr:colOff>
      <xdr:row>155</xdr:row>
      <xdr:rowOff>107314</xdr:rowOff>
    </xdr:to>
    <xdr:cxnSp macro="_xll.PtreeEvent_ObjectClick">
      <xdr:nvCxnSpPr>
        <xdr:cNvPr id="322" name="PTObj_DBranchDLine_1_77">
          <a:extLst>
            <a:ext uri="{FF2B5EF4-FFF2-40B4-BE49-F238E27FC236}">
              <a16:creationId xmlns:a16="http://schemas.microsoft.com/office/drawing/2014/main" id="{0B3609CF-4B2A-43C6-8A54-11C958EB2A56}"/>
            </a:ext>
          </a:extLst>
        </xdr:cNvPr>
        <xdr:cNvCxnSpPr/>
      </xdr:nvCxnSpPr>
      <xdr:spPr>
        <a:xfrm>
          <a:off x="17054320" y="27791408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153</xdr:row>
      <xdr:rowOff>103504</xdr:rowOff>
    </xdr:from>
    <xdr:to>
      <xdr:col>8</xdr:col>
      <xdr:colOff>1392681</xdr:colOff>
      <xdr:row>153</xdr:row>
      <xdr:rowOff>103504</xdr:rowOff>
    </xdr:to>
    <xdr:cxnSp macro="_xll.PtreeEvent_ObjectClick">
      <xdr:nvCxnSpPr>
        <xdr:cNvPr id="319" name="PTObj_DBranchHLine_1_76">
          <a:extLst>
            <a:ext uri="{FF2B5EF4-FFF2-40B4-BE49-F238E27FC236}">
              <a16:creationId xmlns:a16="http://schemas.microsoft.com/office/drawing/2014/main" id="{4AF72560-D8DC-4C88-8F40-BBB015B19680}"/>
            </a:ext>
          </a:extLst>
        </xdr:cNvPr>
        <xdr:cNvCxnSpPr/>
      </xdr:nvCxnSpPr>
      <xdr:spPr>
        <a:xfrm>
          <a:off x="15782734" y="27792679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151</xdr:row>
      <xdr:rowOff>100326</xdr:rowOff>
    </xdr:from>
    <xdr:to>
      <xdr:col>8</xdr:col>
      <xdr:colOff>209359</xdr:colOff>
      <xdr:row>153</xdr:row>
      <xdr:rowOff>103504</xdr:rowOff>
    </xdr:to>
    <xdr:cxnSp macro="_xll.PtreeEvent_ObjectClick">
      <xdr:nvCxnSpPr>
        <xdr:cNvPr id="318" name="PTObj_DBranchDLine_1_76">
          <a:extLst>
            <a:ext uri="{FF2B5EF4-FFF2-40B4-BE49-F238E27FC236}">
              <a16:creationId xmlns:a16="http://schemas.microsoft.com/office/drawing/2014/main" id="{9930A006-5A81-4D79-86FE-2769804E7FBB}"/>
            </a:ext>
          </a:extLst>
        </xdr:cNvPr>
        <xdr:cNvCxnSpPr/>
      </xdr:nvCxnSpPr>
      <xdr:spPr>
        <a:xfrm>
          <a:off x="15630334" y="27427551"/>
          <a:ext cx="152400" cy="36512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149</xdr:row>
      <xdr:rowOff>95886</xdr:rowOff>
    </xdr:from>
    <xdr:to>
      <xdr:col>11</xdr:col>
      <xdr:colOff>1384111</xdr:colOff>
      <xdr:row>149</xdr:row>
      <xdr:rowOff>95886</xdr:rowOff>
    </xdr:to>
    <xdr:cxnSp macro="_xll.PtreeEvent_ObjectClick">
      <xdr:nvCxnSpPr>
        <xdr:cNvPr id="315" name="PTObj_DBranchHLine_1_74">
          <a:extLst>
            <a:ext uri="{FF2B5EF4-FFF2-40B4-BE49-F238E27FC236}">
              <a16:creationId xmlns:a16="http://schemas.microsoft.com/office/drawing/2014/main" id="{F38381A5-D731-4A87-96DE-1D29594811EF}"/>
            </a:ext>
          </a:extLst>
        </xdr:cNvPr>
        <xdr:cNvCxnSpPr/>
      </xdr:nvCxnSpPr>
      <xdr:spPr>
        <a:xfrm>
          <a:off x="20056601" y="27061161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147</xdr:row>
      <xdr:rowOff>86993</xdr:rowOff>
    </xdr:from>
    <xdr:to>
      <xdr:col>11</xdr:col>
      <xdr:colOff>196976</xdr:colOff>
      <xdr:row>149</xdr:row>
      <xdr:rowOff>95886</xdr:rowOff>
    </xdr:to>
    <xdr:cxnSp macro="_xll.PtreeEvent_ObjectClick">
      <xdr:nvCxnSpPr>
        <xdr:cNvPr id="314" name="PTObj_DBranchDLine_1_74">
          <a:extLst>
            <a:ext uri="{FF2B5EF4-FFF2-40B4-BE49-F238E27FC236}">
              <a16:creationId xmlns:a16="http://schemas.microsoft.com/office/drawing/2014/main" id="{99939926-4821-4B5A-AECA-92E8720FB3F8}"/>
            </a:ext>
          </a:extLst>
        </xdr:cNvPr>
        <xdr:cNvCxnSpPr/>
      </xdr:nvCxnSpPr>
      <xdr:spPr>
        <a:xfrm>
          <a:off x="19904201" y="26690318"/>
          <a:ext cx="152400" cy="37084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147</xdr:row>
      <xdr:rowOff>92075</xdr:rowOff>
    </xdr:from>
    <xdr:to>
      <xdr:col>10</xdr:col>
      <xdr:colOff>1392681</xdr:colOff>
      <xdr:row>147</xdr:row>
      <xdr:rowOff>92075</xdr:rowOff>
    </xdr:to>
    <xdr:cxnSp macro="_xll.PtreeEvent_ObjectClick">
      <xdr:nvCxnSpPr>
        <xdr:cNvPr id="311" name="PTObj_DBranchHLine_1_73">
          <a:extLst>
            <a:ext uri="{FF2B5EF4-FFF2-40B4-BE49-F238E27FC236}">
              <a16:creationId xmlns:a16="http://schemas.microsoft.com/office/drawing/2014/main" id="{F36E7991-136E-4AB8-9802-64E8E5B9D6F4}"/>
            </a:ext>
          </a:extLst>
        </xdr:cNvPr>
        <xdr:cNvCxnSpPr/>
      </xdr:nvCxnSpPr>
      <xdr:spPr>
        <a:xfrm>
          <a:off x="18628804" y="26695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145</xdr:row>
      <xdr:rowOff>76516</xdr:rowOff>
    </xdr:from>
    <xdr:to>
      <xdr:col>10</xdr:col>
      <xdr:colOff>197929</xdr:colOff>
      <xdr:row>147</xdr:row>
      <xdr:rowOff>92075</xdr:rowOff>
    </xdr:to>
    <xdr:cxnSp macro="_xll.PtreeEvent_ObjectClick">
      <xdr:nvCxnSpPr>
        <xdr:cNvPr id="310" name="PTObj_DBranchDLine_1_73">
          <a:extLst>
            <a:ext uri="{FF2B5EF4-FFF2-40B4-BE49-F238E27FC236}">
              <a16:creationId xmlns:a16="http://schemas.microsoft.com/office/drawing/2014/main" id="{ACAAC805-3976-43A2-9542-EBFDBBE0EB2E}"/>
            </a:ext>
          </a:extLst>
        </xdr:cNvPr>
        <xdr:cNvCxnSpPr/>
      </xdr:nvCxnSpPr>
      <xdr:spPr>
        <a:xfrm>
          <a:off x="18476404" y="26317891"/>
          <a:ext cx="152400" cy="37750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145</xdr:row>
      <xdr:rowOff>88264</xdr:rowOff>
    </xdr:from>
    <xdr:to>
      <xdr:col>9</xdr:col>
      <xdr:colOff>1388870</xdr:colOff>
      <xdr:row>145</xdr:row>
      <xdr:rowOff>88264</xdr:rowOff>
    </xdr:to>
    <xdr:cxnSp macro="_xll.PtreeEvent_ObjectClick">
      <xdr:nvCxnSpPr>
        <xdr:cNvPr id="307" name="PTObj_DBranchHLine_1_72">
          <a:extLst>
            <a:ext uri="{FF2B5EF4-FFF2-40B4-BE49-F238E27FC236}">
              <a16:creationId xmlns:a16="http://schemas.microsoft.com/office/drawing/2014/main" id="{97D2E12F-C6B0-4A51-858A-CCA47B7BAEBE}"/>
            </a:ext>
          </a:extLst>
        </xdr:cNvPr>
        <xdr:cNvCxnSpPr/>
      </xdr:nvCxnSpPr>
      <xdr:spPr>
        <a:xfrm>
          <a:off x="17206720" y="263296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143</xdr:row>
      <xdr:rowOff>75563</xdr:rowOff>
    </xdr:from>
    <xdr:to>
      <xdr:col>9</xdr:col>
      <xdr:colOff>204595</xdr:colOff>
      <xdr:row>145</xdr:row>
      <xdr:rowOff>88264</xdr:rowOff>
    </xdr:to>
    <xdr:cxnSp macro="_xll.PtreeEvent_ObjectClick">
      <xdr:nvCxnSpPr>
        <xdr:cNvPr id="306" name="PTObj_DBranchDLine_1_72">
          <a:extLst>
            <a:ext uri="{FF2B5EF4-FFF2-40B4-BE49-F238E27FC236}">
              <a16:creationId xmlns:a16="http://schemas.microsoft.com/office/drawing/2014/main" id="{F69D4C28-04DE-48A7-93B4-7CD8EA50ED95}"/>
            </a:ext>
          </a:extLst>
        </xdr:cNvPr>
        <xdr:cNvCxnSpPr/>
      </xdr:nvCxnSpPr>
      <xdr:spPr>
        <a:xfrm>
          <a:off x="17054320" y="25954988"/>
          <a:ext cx="152400" cy="37465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143</xdr:row>
      <xdr:rowOff>84455</xdr:rowOff>
    </xdr:from>
    <xdr:to>
      <xdr:col>8</xdr:col>
      <xdr:colOff>1392681</xdr:colOff>
      <xdr:row>143</xdr:row>
      <xdr:rowOff>84455</xdr:rowOff>
    </xdr:to>
    <xdr:cxnSp macro="_xll.PtreeEvent_ObjectClick">
      <xdr:nvCxnSpPr>
        <xdr:cNvPr id="303" name="PTObj_DBranchHLine_1_71">
          <a:extLst>
            <a:ext uri="{FF2B5EF4-FFF2-40B4-BE49-F238E27FC236}">
              <a16:creationId xmlns:a16="http://schemas.microsoft.com/office/drawing/2014/main" id="{BEE43ACF-BF20-442E-A4CD-EFB3FD8B95C9}"/>
            </a:ext>
          </a:extLst>
        </xdr:cNvPr>
        <xdr:cNvCxnSpPr/>
      </xdr:nvCxnSpPr>
      <xdr:spPr>
        <a:xfrm>
          <a:off x="15782734" y="259638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143</xdr:row>
      <xdr:rowOff>84455</xdr:rowOff>
    </xdr:from>
    <xdr:to>
      <xdr:col>8</xdr:col>
      <xdr:colOff>209359</xdr:colOff>
      <xdr:row>151</xdr:row>
      <xdr:rowOff>100326</xdr:rowOff>
    </xdr:to>
    <xdr:cxnSp macro="_xll.PtreeEvent_ObjectClick">
      <xdr:nvCxnSpPr>
        <xdr:cNvPr id="302" name="PTObj_DBranchDLine_1_71">
          <a:extLst>
            <a:ext uri="{FF2B5EF4-FFF2-40B4-BE49-F238E27FC236}">
              <a16:creationId xmlns:a16="http://schemas.microsoft.com/office/drawing/2014/main" id="{53B0B133-81CE-43A9-A76D-65F1EBE4F318}"/>
            </a:ext>
          </a:extLst>
        </xdr:cNvPr>
        <xdr:cNvCxnSpPr/>
      </xdr:nvCxnSpPr>
      <xdr:spPr>
        <a:xfrm flipV="1">
          <a:off x="15630334" y="25963880"/>
          <a:ext cx="152400" cy="14636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151</xdr:row>
      <xdr:rowOff>99696</xdr:rowOff>
    </xdr:from>
    <xdr:to>
      <xdr:col>7</xdr:col>
      <xdr:colOff>1398397</xdr:colOff>
      <xdr:row>151</xdr:row>
      <xdr:rowOff>99696</xdr:rowOff>
    </xdr:to>
    <xdr:cxnSp macro="_xll.PtreeEvent_ObjectClick">
      <xdr:nvCxnSpPr>
        <xdr:cNvPr id="299" name="PTObj_DBranchHLine_1_75">
          <a:extLst>
            <a:ext uri="{FF2B5EF4-FFF2-40B4-BE49-F238E27FC236}">
              <a16:creationId xmlns:a16="http://schemas.microsoft.com/office/drawing/2014/main" id="{2624C469-068C-40D1-82A7-727F1DA72EB8}"/>
            </a:ext>
          </a:extLst>
        </xdr:cNvPr>
        <xdr:cNvCxnSpPr/>
      </xdr:nvCxnSpPr>
      <xdr:spPr>
        <a:xfrm>
          <a:off x="14362557" y="27426921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141</xdr:row>
      <xdr:rowOff>77470</xdr:rowOff>
    </xdr:from>
    <xdr:to>
      <xdr:col>7</xdr:col>
      <xdr:colOff>217932</xdr:colOff>
      <xdr:row>151</xdr:row>
      <xdr:rowOff>99696</xdr:rowOff>
    </xdr:to>
    <xdr:cxnSp macro="_xll.PtreeEvent_ObjectClick">
      <xdr:nvCxnSpPr>
        <xdr:cNvPr id="298" name="PTObj_DBranchDLine_1_75">
          <a:extLst>
            <a:ext uri="{FF2B5EF4-FFF2-40B4-BE49-F238E27FC236}">
              <a16:creationId xmlns:a16="http://schemas.microsoft.com/office/drawing/2014/main" id="{D0ECC6C2-20D1-46FB-A045-9231EF500648}"/>
            </a:ext>
          </a:extLst>
        </xdr:cNvPr>
        <xdr:cNvCxnSpPr/>
      </xdr:nvCxnSpPr>
      <xdr:spPr>
        <a:xfrm>
          <a:off x="14210157" y="25594945"/>
          <a:ext cx="152400" cy="183197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139</xdr:row>
      <xdr:rowOff>76836</xdr:rowOff>
    </xdr:from>
    <xdr:to>
      <xdr:col>11</xdr:col>
      <xdr:colOff>1385063</xdr:colOff>
      <xdr:row>139</xdr:row>
      <xdr:rowOff>76836</xdr:rowOff>
    </xdr:to>
    <xdr:cxnSp macro="_xll.PtreeEvent_ObjectClick">
      <xdr:nvCxnSpPr>
        <xdr:cNvPr id="295" name="PTObj_DBranchHLine_1_69">
          <a:extLst>
            <a:ext uri="{FF2B5EF4-FFF2-40B4-BE49-F238E27FC236}">
              <a16:creationId xmlns:a16="http://schemas.microsoft.com/office/drawing/2014/main" id="{6A00D410-DA92-43FE-9950-E69EADF8BAD3}"/>
            </a:ext>
          </a:extLst>
        </xdr:cNvPr>
        <xdr:cNvCxnSpPr/>
      </xdr:nvCxnSpPr>
      <xdr:spPr>
        <a:xfrm>
          <a:off x="20056601" y="252323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137</xdr:row>
      <xdr:rowOff>70803</xdr:rowOff>
    </xdr:from>
    <xdr:to>
      <xdr:col>11</xdr:col>
      <xdr:colOff>196976</xdr:colOff>
      <xdr:row>139</xdr:row>
      <xdr:rowOff>76836</xdr:rowOff>
    </xdr:to>
    <xdr:cxnSp macro="_xll.PtreeEvent_ObjectClick">
      <xdr:nvCxnSpPr>
        <xdr:cNvPr id="294" name="PTObj_DBranchDLine_1_69">
          <a:extLst>
            <a:ext uri="{FF2B5EF4-FFF2-40B4-BE49-F238E27FC236}">
              <a16:creationId xmlns:a16="http://schemas.microsoft.com/office/drawing/2014/main" id="{CE0411B1-9906-4E6C-8D3D-43149212B995}"/>
            </a:ext>
          </a:extLst>
        </xdr:cNvPr>
        <xdr:cNvCxnSpPr/>
      </xdr:nvCxnSpPr>
      <xdr:spPr>
        <a:xfrm>
          <a:off x="19904201" y="24864378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137</xdr:row>
      <xdr:rowOff>73025</xdr:rowOff>
    </xdr:from>
    <xdr:to>
      <xdr:col>10</xdr:col>
      <xdr:colOff>1392681</xdr:colOff>
      <xdr:row>137</xdr:row>
      <xdr:rowOff>73025</xdr:rowOff>
    </xdr:to>
    <xdr:cxnSp macro="_xll.PtreeEvent_ObjectClick">
      <xdr:nvCxnSpPr>
        <xdr:cNvPr id="291" name="PTObj_DBranchHLine_1_68">
          <a:extLst>
            <a:ext uri="{FF2B5EF4-FFF2-40B4-BE49-F238E27FC236}">
              <a16:creationId xmlns:a16="http://schemas.microsoft.com/office/drawing/2014/main" id="{EFD032DF-2076-4A45-9003-13DFD7F44F5B}"/>
            </a:ext>
          </a:extLst>
        </xdr:cNvPr>
        <xdr:cNvCxnSpPr/>
      </xdr:nvCxnSpPr>
      <xdr:spPr>
        <a:xfrm>
          <a:off x="18628804" y="24866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135</xdr:row>
      <xdr:rowOff>68897</xdr:rowOff>
    </xdr:from>
    <xdr:to>
      <xdr:col>10</xdr:col>
      <xdr:colOff>197929</xdr:colOff>
      <xdr:row>137</xdr:row>
      <xdr:rowOff>73025</xdr:rowOff>
    </xdr:to>
    <xdr:cxnSp macro="_xll.PtreeEvent_ObjectClick">
      <xdr:nvCxnSpPr>
        <xdr:cNvPr id="290" name="PTObj_DBranchDLine_1_68">
          <a:extLst>
            <a:ext uri="{FF2B5EF4-FFF2-40B4-BE49-F238E27FC236}">
              <a16:creationId xmlns:a16="http://schemas.microsoft.com/office/drawing/2014/main" id="{3EF93E30-D2AA-48A0-AD07-6A9A883CA02D}"/>
            </a:ext>
          </a:extLst>
        </xdr:cNvPr>
        <xdr:cNvCxnSpPr/>
      </xdr:nvCxnSpPr>
      <xdr:spPr>
        <a:xfrm>
          <a:off x="18476404" y="24500522"/>
          <a:ext cx="152400" cy="3660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135</xdr:row>
      <xdr:rowOff>69214</xdr:rowOff>
    </xdr:from>
    <xdr:to>
      <xdr:col>9</xdr:col>
      <xdr:colOff>1388870</xdr:colOff>
      <xdr:row>135</xdr:row>
      <xdr:rowOff>69214</xdr:rowOff>
    </xdr:to>
    <xdr:cxnSp macro="_xll.PtreeEvent_ObjectClick">
      <xdr:nvCxnSpPr>
        <xdr:cNvPr id="287" name="PTObj_DBranchHLine_1_67">
          <a:extLst>
            <a:ext uri="{FF2B5EF4-FFF2-40B4-BE49-F238E27FC236}">
              <a16:creationId xmlns:a16="http://schemas.microsoft.com/office/drawing/2014/main" id="{47627326-630A-46DA-AC8D-8C100AA04D33}"/>
            </a:ext>
          </a:extLst>
        </xdr:cNvPr>
        <xdr:cNvCxnSpPr/>
      </xdr:nvCxnSpPr>
      <xdr:spPr>
        <a:xfrm>
          <a:off x="17206720" y="245008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133</xdr:row>
      <xdr:rowOff>63182</xdr:rowOff>
    </xdr:from>
    <xdr:to>
      <xdr:col>9</xdr:col>
      <xdr:colOff>204595</xdr:colOff>
      <xdr:row>135</xdr:row>
      <xdr:rowOff>69214</xdr:rowOff>
    </xdr:to>
    <xdr:cxnSp macro="_xll.PtreeEvent_ObjectClick">
      <xdr:nvCxnSpPr>
        <xdr:cNvPr id="286" name="PTObj_DBranchDLine_1_67">
          <a:extLst>
            <a:ext uri="{FF2B5EF4-FFF2-40B4-BE49-F238E27FC236}">
              <a16:creationId xmlns:a16="http://schemas.microsoft.com/office/drawing/2014/main" id="{F52301B0-69A9-4D74-9A75-BBDAD4D9925D}"/>
            </a:ext>
          </a:extLst>
        </xdr:cNvPr>
        <xdr:cNvCxnSpPr/>
      </xdr:nvCxnSpPr>
      <xdr:spPr>
        <a:xfrm>
          <a:off x="17054320" y="24132857"/>
          <a:ext cx="152400" cy="3679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133</xdr:row>
      <xdr:rowOff>65405</xdr:rowOff>
    </xdr:from>
    <xdr:to>
      <xdr:col>8</xdr:col>
      <xdr:colOff>1392681</xdr:colOff>
      <xdr:row>133</xdr:row>
      <xdr:rowOff>65405</xdr:rowOff>
    </xdr:to>
    <xdr:cxnSp macro="_xll.PtreeEvent_ObjectClick">
      <xdr:nvCxnSpPr>
        <xdr:cNvPr id="283" name="PTObj_DBranchHLine_1_66">
          <a:extLst>
            <a:ext uri="{FF2B5EF4-FFF2-40B4-BE49-F238E27FC236}">
              <a16:creationId xmlns:a16="http://schemas.microsoft.com/office/drawing/2014/main" id="{1ED0B9CB-094F-43D3-876F-C02C9068CBEB}"/>
            </a:ext>
          </a:extLst>
        </xdr:cNvPr>
        <xdr:cNvCxnSpPr/>
      </xdr:nvCxnSpPr>
      <xdr:spPr>
        <a:xfrm>
          <a:off x="15782734" y="241350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131</xdr:row>
      <xdr:rowOff>56516</xdr:rowOff>
    </xdr:from>
    <xdr:to>
      <xdr:col>8</xdr:col>
      <xdr:colOff>209359</xdr:colOff>
      <xdr:row>133</xdr:row>
      <xdr:rowOff>65405</xdr:rowOff>
    </xdr:to>
    <xdr:cxnSp macro="_xll.PtreeEvent_ObjectClick">
      <xdr:nvCxnSpPr>
        <xdr:cNvPr id="282" name="PTObj_DBranchDLine_1_66">
          <a:extLst>
            <a:ext uri="{FF2B5EF4-FFF2-40B4-BE49-F238E27FC236}">
              <a16:creationId xmlns:a16="http://schemas.microsoft.com/office/drawing/2014/main" id="{F3B1512A-09CF-4FEE-85EF-20213C0975DA}"/>
            </a:ext>
          </a:extLst>
        </xdr:cNvPr>
        <xdr:cNvCxnSpPr/>
      </xdr:nvCxnSpPr>
      <xdr:spPr>
        <a:xfrm>
          <a:off x="15630334" y="2376424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129</xdr:row>
      <xdr:rowOff>57786</xdr:rowOff>
    </xdr:from>
    <xdr:to>
      <xdr:col>11</xdr:col>
      <xdr:colOff>1392682</xdr:colOff>
      <xdr:row>129</xdr:row>
      <xdr:rowOff>57786</xdr:rowOff>
    </xdr:to>
    <xdr:cxnSp macro="_xll.PtreeEvent_ObjectClick">
      <xdr:nvCxnSpPr>
        <xdr:cNvPr id="279" name="PTObj_DBranchHLine_1_64">
          <a:extLst>
            <a:ext uri="{FF2B5EF4-FFF2-40B4-BE49-F238E27FC236}">
              <a16:creationId xmlns:a16="http://schemas.microsoft.com/office/drawing/2014/main" id="{DBE7F395-EC01-4519-A7B9-B961C4B0567C}"/>
            </a:ext>
          </a:extLst>
        </xdr:cNvPr>
        <xdr:cNvCxnSpPr/>
      </xdr:nvCxnSpPr>
      <xdr:spPr>
        <a:xfrm>
          <a:off x="20056601" y="23403561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127</xdr:row>
      <xdr:rowOff>41275</xdr:rowOff>
    </xdr:from>
    <xdr:to>
      <xdr:col>11</xdr:col>
      <xdr:colOff>196976</xdr:colOff>
      <xdr:row>129</xdr:row>
      <xdr:rowOff>57786</xdr:rowOff>
    </xdr:to>
    <xdr:cxnSp macro="_xll.PtreeEvent_ObjectClick">
      <xdr:nvCxnSpPr>
        <xdr:cNvPr id="278" name="PTObj_DBranchDLine_1_64">
          <a:extLst>
            <a:ext uri="{FF2B5EF4-FFF2-40B4-BE49-F238E27FC236}">
              <a16:creationId xmlns:a16="http://schemas.microsoft.com/office/drawing/2014/main" id="{57F84BD8-4CEC-49A1-8446-75C0454D1444}"/>
            </a:ext>
          </a:extLst>
        </xdr:cNvPr>
        <xdr:cNvCxnSpPr/>
      </xdr:nvCxnSpPr>
      <xdr:spPr>
        <a:xfrm>
          <a:off x="19904201" y="23025100"/>
          <a:ext cx="152400" cy="3784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127</xdr:row>
      <xdr:rowOff>53975</xdr:rowOff>
    </xdr:from>
    <xdr:to>
      <xdr:col>10</xdr:col>
      <xdr:colOff>1392681</xdr:colOff>
      <xdr:row>127</xdr:row>
      <xdr:rowOff>53975</xdr:rowOff>
    </xdr:to>
    <xdr:cxnSp macro="_xll.PtreeEvent_ObjectClick">
      <xdr:nvCxnSpPr>
        <xdr:cNvPr id="275" name="PTObj_DBranchHLine_1_63">
          <a:extLst>
            <a:ext uri="{FF2B5EF4-FFF2-40B4-BE49-F238E27FC236}">
              <a16:creationId xmlns:a16="http://schemas.microsoft.com/office/drawing/2014/main" id="{74A707B0-FA6F-48DC-A079-9C07E41ECCF7}"/>
            </a:ext>
          </a:extLst>
        </xdr:cNvPr>
        <xdr:cNvCxnSpPr/>
      </xdr:nvCxnSpPr>
      <xdr:spPr>
        <a:xfrm>
          <a:off x="18628804" y="23037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125</xdr:row>
      <xdr:rowOff>38416</xdr:rowOff>
    </xdr:from>
    <xdr:to>
      <xdr:col>10</xdr:col>
      <xdr:colOff>197929</xdr:colOff>
      <xdr:row>127</xdr:row>
      <xdr:rowOff>53975</xdr:rowOff>
    </xdr:to>
    <xdr:cxnSp macro="_xll.PtreeEvent_ObjectClick">
      <xdr:nvCxnSpPr>
        <xdr:cNvPr id="274" name="PTObj_DBranchDLine_1_63">
          <a:extLst>
            <a:ext uri="{FF2B5EF4-FFF2-40B4-BE49-F238E27FC236}">
              <a16:creationId xmlns:a16="http://schemas.microsoft.com/office/drawing/2014/main" id="{E3BEEBAA-C165-4D97-AD1E-578ACF556277}"/>
            </a:ext>
          </a:extLst>
        </xdr:cNvPr>
        <xdr:cNvCxnSpPr/>
      </xdr:nvCxnSpPr>
      <xdr:spPr>
        <a:xfrm>
          <a:off x="18476404" y="22660291"/>
          <a:ext cx="152400" cy="37750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125</xdr:row>
      <xdr:rowOff>50164</xdr:rowOff>
    </xdr:from>
    <xdr:to>
      <xdr:col>9</xdr:col>
      <xdr:colOff>1388870</xdr:colOff>
      <xdr:row>125</xdr:row>
      <xdr:rowOff>50164</xdr:rowOff>
    </xdr:to>
    <xdr:cxnSp macro="_xll.PtreeEvent_ObjectClick">
      <xdr:nvCxnSpPr>
        <xdr:cNvPr id="271" name="PTObj_DBranchHLine_1_62">
          <a:extLst>
            <a:ext uri="{FF2B5EF4-FFF2-40B4-BE49-F238E27FC236}">
              <a16:creationId xmlns:a16="http://schemas.microsoft.com/office/drawing/2014/main" id="{6E80801F-6443-4BAA-9D72-F037921F4684}"/>
            </a:ext>
          </a:extLst>
        </xdr:cNvPr>
        <xdr:cNvCxnSpPr/>
      </xdr:nvCxnSpPr>
      <xdr:spPr>
        <a:xfrm>
          <a:off x="17206720" y="226720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123</xdr:row>
      <xdr:rowOff>37464</xdr:rowOff>
    </xdr:from>
    <xdr:to>
      <xdr:col>9</xdr:col>
      <xdr:colOff>204595</xdr:colOff>
      <xdr:row>125</xdr:row>
      <xdr:rowOff>50164</xdr:rowOff>
    </xdr:to>
    <xdr:cxnSp macro="_xll.PtreeEvent_ObjectClick">
      <xdr:nvCxnSpPr>
        <xdr:cNvPr id="270" name="PTObj_DBranchDLine_1_62">
          <a:extLst>
            <a:ext uri="{FF2B5EF4-FFF2-40B4-BE49-F238E27FC236}">
              <a16:creationId xmlns:a16="http://schemas.microsoft.com/office/drawing/2014/main" id="{42CA652A-A684-425C-B36A-4C242A9C605F}"/>
            </a:ext>
          </a:extLst>
        </xdr:cNvPr>
        <xdr:cNvCxnSpPr/>
      </xdr:nvCxnSpPr>
      <xdr:spPr>
        <a:xfrm>
          <a:off x="17054320" y="222973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123</xdr:row>
      <xdr:rowOff>46355</xdr:rowOff>
    </xdr:from>
    <xdr:to>
      <xdr:col>8</xdr:col>
      <xdr:colOff>1392681</xdr:colOff>
      <xdr:row>123</xdr:row>
      <xdr:rowOff>46355</xdr:rowOff>
    </xdr:to>
    <xdr:cxnSp macro="_xll.PtreeEvent_ObjectClick">
      <xdr:nvCxnSpPr>
        <xdr:cNvPr id="267" name="PTObj_DBranchHLine_1_61">
          <a:extLst>
            <a:ext uri="{FF2B5EF4-FFF2-40B4-BE49-F238E27FC236}">
              <a16:creationId xmlns:a16="http://schemas.microsoft.com/office/drawing/2014/main" id="{21179018-D436-43AF-8957-7A17FFAC0511}"/>
            </a:ext>
          </a:extLst>
        </xdr:cNvPr>
        <xdr:cNvCxnSpPr/>
      </xdr:nvCxnSpPr>
      <xdr:spPr>
        <a:xfrm>
          <a:off x="15782734" y="223062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123</xdr:row>
      <xdr:rowOff>46355</xdr:rowOff>
    </xdr:from>
    <xdr:to>
      <xdr:col>8</xdr:col>
      <xdr:colOff>209359</xdr:colOff>
      <xdr:row>131</xdr:row>
      <xdr:rowOff>56516</xdr:rowOff>
    </xdr:to>
    <xdr:cxnSp macro="_xll.PtreeEvent_ObjectClick">
      <xdr:nvCxnSpPr>
        <xdr:cNvPr id="266" name="PTObj_DBranchDLine_1_61">
          <a:extLst>
            <a:ext uri="{FF2B5EF4-FFF2-40B4-BE49-F238E27FC236}">
              <a16:creationId xmlns:a16="http://schemas.microsoft.com/office/drawing/2014/main" id="{1295D2D8-D43C-4CA8-8F0F-6C740CD3812A}"/>
            </a:ext>
          </a:extLst>
        </xdr:cNvPr>
        <xdr:cNvCxnSpPr/>
      </xdr:nvCxnSpPr>
      <xdr:spPr>
        <a:xfrm flipV="1">
          <a:off x="15630334" y="2230628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131</xdr:row>
      <xdr:rowOff>61595</xdr:rowOff>
    </xdr:from>
    <xdr:to>
      <xdr:col>7</xdr:col>
      <xdr:colOff>1398397</xdr:colOff>
      <xdr:row>131</xdr:row>
      <xdr:rowOff>61595</xdr:rowOff>
    </xdr:to>
    <xdr:cxnSp macro="_xll.PtreeEvent_ObjectClick">
      <xdr:nvCxnSpPr>
        <xdr:cNvPr id="263" name="PTObj_DBranchHLine_1_65">
          <a:extLst>
            <a:ext uri="{FF2B5EF4-FFF2-40B4-BE49-F238E27FC236}">
              <a16:creationId xmlns:a16="http://schemas.microsoft.com/office/drawing/2014/main" id="{42036B61-0FB8-4DA9-87D3-3CF55039681E}"/>
            </a:ext>
          </a:extLst>
        </xdr:cNvPr>
        <xdr:cNvCxnSpPr/>
      </xdr:nvCxnSpPr>
      <xdr:spPr>
        <a:xfrm>
          <a:off x="14360652" y="2376932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131</xdr:row>
      <xdr:rowOff>61595</xdr:rowOff>
    </xdr:from>
    <xdr:to>
      <xdr:col>7</xdr:col>
      <xdr:colOff>216027</xdr:colOff>
      <xdr:row>141</xdr:row>
      <xdr:rowOff>75564</xdr:rowOff>
    </xdr:to>
    <xdr:cxnSp macro="_xll.PtreeEvent_ObjectClick">
      <xdr:nvCxnSpPr>
        <xdr:cNvPr id="262" name="PTObj_DBranchDLine_1_65">
          <a:extLst>
            <a:ext uri="{FF2B5EF4-FFF2-40B4-BE49-F238E27FC236}">
              <a16:creationId xmlns:a16="http://schemas.microsoft.com/office/drawing/2014/main" id="{7D3E3563-DA7B-47A4-B94E-8325A7C732A1}"/>
            </a:ext>
          </a:extLst>
        </xdr:cNvPr>
        <xdr:cNvCxnSpPr/>
      </xdr:nvCxnSpPr>
      <xdr:spPr>
        <a:xfrm flipV="1">
          <a:off x="14208252" y="23769320"/>
          <a:ext cx="152400" cy="18237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141</xdr:row>
      <xdr:rowOff>80645</xdr:rowOff>
    </xdr:from>
    <xdr:to>
      <xdr:col>6</xdr:col>
      <xdr:colOff>1402207</xdr:colOff>
      <xdr:row>141</xdr:row>
      <xdr:rowOff>80645</xdr:rowOff>
    </xdr:to>
    <xdr:cxnSp macro="_xll.PtreeEvent_ObjectClick">
      <xdr:nvCxnSpPr>
        <xdr:cNvPr id="259" name="PTObj_DBranchHLine_1_70">
          <a:extLst>
            <a:ext uri="{FF2B5EF4-FFF2-40B4-BE49-F238E27FC236}">
              <a16:creationId xmlns:a16="http://schemas.microsoft.com/office/drawing/2014/main" id="{B32FAB9F-C732-42BA-821F-17D97A766933}"/>
            </a:ext>
          </a:extLst>
        </xdr:cNvPr>
        <xdr:cNvCxnSpPr/>
      </xdr:nvCxnSpPr>
      <xdr:spPr>
        <a:xfrm>
          <a:off x="12936665" y="2559812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121</xdr:row>
      <xdr:rowOff>39370</xdr:rowOff>
    </xdr:from>
    <xdr:to>
      <xdr:col>6</xdr:col>
      <xdr:colOff>220790</xdr:colOff>
      <xdr:row>141</xdr:row>
      <xdr:rowOff>80645</xdr:rowOff>
    </xdr:to>
    <xdr:cxnSp macro="_xll.PtreeEvent_ObjectClick">
      <xdr:nvCxnSpPr>
        <xdr:cNvPr id="258" name="PTObj_DBranchDLine_1_70">
          <a:extLst>
            <a:ext uri="{FF2B5EF4-FFF2-40B4-BE49-F238E27FC236}">
              <a16:creationId xmlns:a16="http://schemas.microsoft.com/office/drawing/2014/main" id="{3094602D-C3D5-45D5-9D44-9981900DB1E6}"/>
            </a:ext>
          </a:extLst>
        </xdr:cNvPr>
        <xdr:cNvCxnSpPr/>
      </xdr:nvCxnSpPr>
      <xdr:spPr>
        <a:xfrm>
          <a:off x="12784265" y="21937345"/>
          <a:ext cx="152400" cy="36607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119</xdr:row>
      <xdr:rowOff>38736</xdr:rowOff>
    </xdr:from>
    <xdr:to>
      <xdr:col>11</xdr:col>
      <xdr:colOff>1385063</xdr:colOff>
      <xdr:row>119</xdr:row>
      <xdr:rowOff>38736</xdr:rowOff>
    </xdr:to>
    <xdr:cxnSp macro="_xll.PtreeEvent_ObjectClick">
      <xdr:nvCxnSpPr>
        <xdr:cNvPr id="255" name="PTObj_DBranchHLine_1_59">
          <a:extLst>
            <a:ext uri="{FF2B5EF4-FFF2-40B4-BE49-F238E27FC236}">
              <a16:creationId xmlns:a16="http://schemas.microsoft.com/office/drawing/2014/main" id="{B105B480-BD92-4C4B-9C11-99E7BBF905E4}"/>
            </a:ext>
          </a:extLst>
        </xdr:cNvPr>
        <xdr:cNvCxnSpPr/>
      </xdr:nvCxnSpPr>
      <xdr:spPr>
        <a:xfrm>
          <a:off x="20056601" y="215747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117</xdr:row>
      <xdr:rowOff>32703</xdr:rowOff>
    </xdr:from>
    <xdr:to>
      <xdr:col>11</xdr:col>
      <xdr:colOff>196976</xdr:colOff>
      <xdr:row>119</xdr:row>
      <xdr:rowOff>38736</xdr:rowOff>
    </xdr:to>
    <xdr:cxnSp macro="_xll.PtreeEvent_ObjectClick">
      <xdr:nvCxnSpPr>
        <xdr:cNvPr id="254" name="PTObj_DBranchDLine_1_59">
          <a:extLst>
            <a:ext uri="{FF2B5EF4-FFF2-40B4-BE49-F238E27FC236}">
              <a16:creationId xmlns:a16="http://schemas.microsoft.com/office/drawing/2014/main" id="{85193B58-16FB-4393-9FB7-063504472899}"/>
            </a:ext>
          </a:extLst>
        </xdr:cNvPr>
        <xdr:cNvCxnSpPr/>
      </xdr:nvCxnSpPr>
      <xdr:spPr>
        <a:xfrm>
          <a:off x="19904201" y="21206778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117</xdr:row>
      <xdr:rowOff>34925</xdr:rowOff>
    </xdr:from>
    <xdr:to>
      <xdr:col>10</xdr:col>
      <xdr:colOff>1392681</xdr:colOff>
      <xdr:row>117</xdr:row>
      <xdr:rowOff>34925</xdr:rowOff>
    </xdr:to>
    <xdr:cxnSp macro="_xll.PtreeEvent_ObjectClick">
      <xdr:nvCxnSpPr>
        <xdr:cNvPr id="251" name="PTObj_DBranchHLine_1_58">
          <a:extLst>
            <a:ext uri="{FF2B5EF4-FFF2-40B4-BE49-F238E27FC236}">
              <a16:creationId xmlns:a16="http://schemas.microsoft.com/office/drawing/2014/main" id="{E4C2D2C8-AFE5-4460-B318-6313189931E4}"/>
            </a:ext>
          </a:extLst>
        </xdr:cNvPr>
        <xdr:cNvCxnSpPr/>
      </xdr:nvCxnSpPr>
      <xdr:spPr>
        <a:xfrm>
          <a:off x="18628804" y="21209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115</xdr:row>
      <xdr:rowOff>30797</xdr:rowOff>
    </xdr:from>
    <xdr:to>
      <xdr:col>10</xdr:col>
      <xdr:colOff>197929</xdr:colOff>
      <xdr:row>117</xdr:row>
      <xdr:rowOff>34925</xdr:rowOff>
    </xdr:to>
    <xdr:cxnSp macro="_xll.PtreeEvent_ObjectClick">
      <xdr:nvCxnSpPr>
        <xdr:cNvPr id="250" name="PTObj_DBranchDLine_1_58">
          <a:extLst>
            <a:ext uri="{FF2B5EF4-FFF2-40B4-BE49-F238E27FC236}">
              <a16:creationId xmlns:a16="http://schemas.microsoft.com/office/drawing/2014/main" id="{D2389A7C-3C24-4360-B565-4C24A0776BD2}"/>
            </a:ext>
          </a:extLst>
        </xdr:cNvPr>
        <xdr:cNvCxnSpPr/>
      </xdr:nvCxnSpPr>
      <xdr:spPr>
        <a:xfrm>
          <a:off x="18476404" y="20842922"/>
          <a:ext cx="152400" cy="3660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115</xdr:row>
      <xdr:rowOff>31114</xdr:rowOff>
    </xdr:from>
    <xdr:to>
      <xdr:col>9</xdr:col>
      <xdr:colOff>1388870</xdr:colOff>
      <xdr:row>115</xdr:row>
      <xdr:rowOff>31114</xdr:rowOff>
    </xdr:to>
    <xdr:cxnSp macro="_xll.PtreeEvent_ObjectClick">
      <xdr:nvCxnSpPr>
        <xdr:cNvPr id="247" name="PTObj_DBranchHLine_1_57">
          <a:extLst>
            <a:ext uri="{FF2B5EF4-FFF2-40B4-BE49-F238E27FC236}">
              <a16:creationId xmlns:a16="http://schemas.microsoft.com/office/drawing/2014/main" id="{BC74050F-9BEC-4072-BBD0-93FD49730605}"/>
            </a:ext>
          </a:extLst>
        </xdr:cNvPr>
        <xdr:cNvCxnSpPr/>
      </xdr:nvCxnSpPr>
      <xdr:spPr>
        <a:xfrm>
          <a:off x="17206720" y="208432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113</xdr:row>
      <xdr:rowOff>25082</xdr:rowOff>
    </xdr:from>
    <xdr:to>
      <xdr:col>9</xdr:col>
      <xdr:colOff>204595</xdr:colOff>
      <xdr:row>115</xdr:row>
      <xdr:rowOff>31114</xdr:rowOff>
    </xdr:to>
    <xdr:cxnSp macro="_xll.PtreeEvent_ObjectClick">
      <xdr:nvCxnSpPr>
        <xdr:cNvPr id="246" name="PTObj_DBranchDLine_1_57">
          <a:extLst>
            <a:ext uri="{FF2B5EF4-FFF2-40B4-BE49-F238E27FC236}">
              <a16:creationId xmlns:a16="http://schemas.microsoft.com/office/drawing/2014/main" id="{FB2618F2-C0B9-40A5-AA88-E824F76BE809}"/>
            </a:ext>
          </a:extLst>
        </xdr:cNvPr>
        <xdr:cNvCxnSpPr/>
      </xdr:nvCxnSpPr>
      <xdr:spPr>
        <a:xfrm>
          <a:off x="17054320" y="20475257"/>
          <a:ext cx="152400" cy="3679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113</xdr:row>
      <xdr:rowOff>27305</xdr:rowOff>
    </xdr:from>
    <xdr:to>
      <xdr:col>8</xdr:col>
      <xdr:colOff>1392681</xdr:colOff>
      <xdr:row>113</xdr:row>
      <xdr:rowOff>27305</xdr:rowOff>
    </xdr:to>
    <xdr:cxnSp macro="_xll.PtreeEvent_ObjectClick">
      <xdr:nvCxnSpPr>
        <xdr:cNvPr id="243" name="PTObj_DBranchHLine_1_56">
          <a:extLst>
            <a:ext uri="{FF2B5EF4-FFF2-40B4-BE49-F238E27FC236}">
              <a16:creationId xmlns:a16="http://schemas.microsoft.com/office/drawing/2014/main" id="{021F73F3-27C4-4504-883F-4597AAFCFCD7}"/>
            </a:ext>
          </a:extLst>
        </xdr:cNvPr>
        <xdr:cNvCxnSpPr/>
      </xdr:nvCxnSpPr>
      <xdr:spPr>
        <a:xfrm>
          <a:off x="15782734" y="204774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111</xdr:row>
      <xdr:rowOff>18416</xdr:rowOff>
    </xdr:from>
    <xdr:to>
      <xdr:col>8</xdr:col>
      <xdr:colOff>209359</xdr:colOff>
      <xdr:row>113</xdr:row>
      <xdr:rowOff>27305</xdr:rowOff>
    </xdr:to>
    <xdr:cxnSp macro="_xll.PtreeEvent_ObjectClick">
      <xdr:nvCxnSpPr>
        <xdr:cNvPr id="242" name="PTObj_DBranchDLine_1_56">
          <a:extLst>
            <a:ext uri="{FF2B5EF4-FFF2-40B4-BE49-F238E27FC236}">
              <a16:creationId xmlns:a16="http://schemas.microsoft.com/office/drawing/2014/main" id="{D9011547-E7A7-4706-B45A-9C8FA2865F5B}"/>
            </a:ext>
          </a:extLst>
        </xdr:cNvPr>
        <xdr:cNvCxnSpPr/>
      </xdr:nvCxnSpPr>
      <xdr:spPr>
        <a:xfrm>
          <a:off x="15630334" y="2010664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109</xdr:row>
      <xdr:rowOff>19686</xdr:rowOff>
    </xdr:from>
    <xdr:to>
      <xdr:col>11</xdr:col>
      <xdr:colOff>1392682</xdr:colOff>
      <xdr:row>109</xdr:row>
      <xdr:rowOff>19686</xdr:rowOff>
    </xdr:to>
    <xdr:cxnSp macro="_xll.PtreeEvent_ObjectClick">
      <xdr:nvCxnSpPr>
        <xdr:cNvPr id="239" name="PTObj_DBranchHLine_1_54">
          <a:extLst>
            <a:ext uri="{FF2B5EF4-FFF2-40B4-BE49-F238E27FC236}">
              <a16:creationId xmlns:a16="http://schemas.microsoft.com/office/drawing/2014/main" id="{1D23257B-7027-45BD-BFDB-DAEA58929CEF}"/>
            </a:ext>
          </a:extLst>
        </xdr:cNvPr>
        <xdr:cNvCxnSpPr/>
      </xdr:nvCxnSpPr>
      <xdr:spPr>
        <a:xfrm>
          <a:off x="20056601" y="19745961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107</xdr:row>
      <xdr:rowOff>3175</xdr:rowOff>
    </xdr:from>
    <xdr:to>
      <xdr:col>11</xdr:col>
      <xdr:colOff>196976</xdr:colOff>
      <xdr:row>109</xdr:row>
      <xdr:rowOff>19686</xdr:rowOff>
    </xdr:to>
    <xdr:cxnSp macro="_xll.PtreeEvent_ObjectClick">
      <xdr:nvCxnSpPr>
        <xdr:cNvPr id="238" name="PTObj_DBranchDLine_1_54">
          <a:extLst>
            <a:ext uri="{FF2B5EF4-FFF2-40B4-BE49-F238E27FC236}">
              <a16:creationId xmlns:a16="http://schemas.microsoft.com/office/drawing/2014/main" id="{21D64D83-7286-42A7-8644-2A4F0A9D4BAE}"/>
            </a:ext>
          </a:extLst>
        </xdr:cNvPr>
        <xdr:cNvCxnSpPr/>
      </xdr:nvCxnSpPr>
      <xdr:spPr>
        <a:xfrm>
          <a:off x="19904201" y="19367500"/>
          <a:ext cx="152400" cy="3784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107</xdr:row>
      <xdr:rowOff>15875</xdr:rowOff>
    </xdr:from>
    <xdr:to>
      <xdr:col>10</xdr:col>
      <xdr:colOff>1392681</xdr:colOff>
      <xdr:row>107</xdr:row>
      <xdr:rowOff>15875</xdr:rowOff>
    </xdr:to>
    <xdr:cxnSp macro="_xll.PtreeEvent_ObjectClick">
      <xdr:nvCxnSpPr>
        <xdr:cNvPr id="235" name="PTObj_DBranchHLine_1_53">
          <a:extLst>
            <a:ext uri="{FF2B5EF4-FFF2-40B4-BE49-F238E27FC236}">
              <a16:creationId xmlns:a16="http://schemas.microsoft.com/office/drawing/2014/main" id="{244F16ED-6F76-41DD-8523-DEDEA5F37D0C}"/>
            </a:ext>
          </a:extLst>
        </xdr:cNvPr>
        <xdr:cNvCxnSpPr/>
      </xdr:nvCxnSpPr>
      <xdr:spPr>
        <a:xfrm>
          <a:off x="18628804" y="19380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105</xdr:row>
      <xdr:rowOff>316</xdr:rowOff>
    </xdr:from>
    <xdr:to>
      <xdr:col>10</xdr:col>
      <xdr:colOff>197929</xdr:colOff>
      <xdr:row>107</xdr:row>
      <xdr:rowOff>15875</xdr:rowOff>
    </xdr:to>
    <xdr:cxnSp macro="_xll.PtreeEvent_ObjectClick">
      <xdr:nvCxnSpPr>
        <xdr:cNvPr id="234" name="PTObj_DBranchDLine_1_53">
          <a:extLst>
            <a:ext uri="{FF2B5EF4-FFF2-40B4-BE49-F238E27FC236}">
              <a16:creationId xmlns:a16="http://schemas.microsoft.com/office/drawing/2014/main" id="{FAB90056-A766-426D-8192-04E2312AD6E8}"/>
            </a:ext>
          </a:extLst>
        </xdr:cNvPr>
        <xdr:cNvCxnSpPr/>
      </xdr:nvCxnSpPr>
      <xdr:spPr>
        <a:xfrm>
          <a:off x="18476404" y="19002691"/>
          <a:ext cx="152400" cy="37750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105</xdr:row>
      <xdr:rowOff>12064</xdr:rowOff>
    </xdr:from>
    <xdr:to>
      <xdr:col>9</xdr:col>
      <xdr:colOff>1388870</xdr:colOff>
      <xdr:row>105</xdr:row>
      <xdr:rowOff>12064</xdr:rowOff>
    </xdr:to>
    <xdr:cxnSp macro="_xll.PtreeEvent_ObjectClick">
      <xdr:nvCxnSpPr>
        <xdr:cNvPr id="231" name="PTObj_DBranchHLine_1_52">
          <a:extLst>
            <a:ext uri="{FF2B5EF4-FFF2-40B4-BE49-F238E27FC236}">
              <a16:creationId xmlns:a16="http://schemas.microsoft.com/office/drawing/2014/main" id="{4032EBA9-E17F-4D4B-B34D-BB2BD90127AB}"/>
            </a:ext>
          </a:extLst>
        </xdr:cNvPr>
        <xdr:cNvCxnSpPr/>
      </xdr:nvCxnSpPr>
      <xdr:spPr>
        <a:xfrm>
          <a:off x="17206720" y="190144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102</xdr:row>
      <xdr:rowOff>180339</xdr:rowOff>
    </xdr:from>
    <xdr:to>
      <xdr:col>9</xdr:col>
      <xdr:colOff>204595</xdr:colOff>
      <xdr:row>105</xdr:row>
      <xdr:rowOff>12064</xdr:rowOff>
    </xdr:to>
    <xdr:cxnSp macro="_xll.PtreeEvent_ObjectClick">
      <xdr:nvCxnSpPr>
        <xdr:cNvPr id="230" name="PTObj_DBranchDLine_1_52">
          <a:extLst>
            <a:ext uri="{FF2B5EF4-FFF2-40B4-BE49-F238E27FC236}">
              <a16:creationId xmlns:a16="http://schemas.microsoft.com/office/drawing/2014/main" id="{CB504479-A848-41ED-A112-609C97F14CFA}"/>
            </a:ext>
          </a:extLst>
        </xdr:cNvPr>
        <xdr:cNvCxnSpPr/>
      </xdr:nvCxnSpPr>
      <xdr:spPr>
        <a:xfrm>
          <a:off x="17054320" y="186397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103</xdr:row>
      <xdr:rowOff>8255</xdr:rowOff>
    </xdr:from>
    <xdr:to>
      <xdr:col>8</xdr:col>
      <xdr:colOff>1392681</xdr:colOff>
      <xdr:row>103</xdr:row>
      <xdr:rowOff>8255</xdr:rowOff>
    </xdr:to>
    <xdr:cxnSp macro="_xll.PtreeEvent_ObjectClick">
      <xdr:nvCxnSpPr>
        <xdr:cNvPr id="227" name="PTObj_DBranchHLine_1_51">
          <a:extLst>
            <a:ext uri="{FF2B5EF4-FFF2-40B4-BE49-F238E27FC236}">
              <a16:creationId xmlns:a16="http://schemas.microsoft.com/office/drawing/2014/main" id="{230EA502-D8A6-497A-9B46-3AB408FF0C18}"/>
            </a:ext>
          </a:extLst>
        </xdr:cNvPr>
        <xdr:cNvCxnSpPr/>
      </xdr:nvCxnSpPr>
      <xdr:spPr>
        <a:xfrm>
          <a:off x="15782734" y="186486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103</xdr:row>
      <xdr:rowOff>8255</xdr:rowOff>
    </xdr:from>
    <xdr:to>
      <xdr:col>8</xdr:col>
      <xdr:colOff>209359</xdr:colOff>
      <xdr:row>111</xdr:row>
      <xdr:rowOff>18416</xdr:rowOff>
    </xdr:to>
    <xdr:cxnSp macro="_xll.PtreeEvent_ObjectClick">
      <xdr:nvCxnSpPr>
        <xdr:cNvPr id="226" name="PTObj_DBranchDLine_1_51">
          <a:extLst>
            <a:ext uri="{FF2B5EF4-FFF2-40B4-BE49-F238E27FC236}">
              <a16:creationId xmlns:a16="http://schemas.microsoft.com/office/drawing/2014/main" id="{70B8A770-B385-4823-BC8B-ADA941462141}"/>
            </a:ext>
          </a:extLst>
        </xdr:cNvPr>
        <xdr:cNvCxnSpPr/>
      </xdr:nvCxnSpPr>
      <xdr:spPr>
        <a:xfrm flipV="1">
          <a:off x="15630334" y="1864868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111</xdr:row>
      <xdr:rowOff>23495</xdr:rowOff>
    </xdr:from>
    <xdr:to>
      <xdr:col>7</xdr:col>
      <xdr:colOff>1398397</xdr:colOff>
      <xdr:row>111</xdr:row>
      <xdr:rowOff>23495</xdr:rowOff>
    </xdr:to>
    <xdr:cxnSp macro="_xll.PtreeEvent_ObjectClick">
      <xdr:nvCxnSpPr>
        <xdr:cNvPr id="223" name="PTObj_DBranchHLine_1_55">
          <a:extLst>
            <a:ext uri="{FF2B5EF4-FFF2-40B4-BE49-F238E27FC236}">
              <a16:creationId xmlns:a16="http://schemas.microsoft.com/office/drawing/2014/main" id="{0FD279B9-0648-44C7-80E0-78D5D2E50074}"/>
            </a:ext>
          </a:extLst>
        </xdr:cNvPr>
        <xdr:cNvCxnSpPr/>
      </xdr:nvCxnSpPr>
      <xdr:spPr>
        <a:xfrm>
          <a:off x="14362557" y="20111720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101</xdr:row>
      <xdr:rowOff>1270</xdr:rowOff>
    </xdr:from>
    <xdr:to>
      <xdr:col>7</xdr:col>
      <xdr:colOff>217932</xdr:colOff>
      <xdr:row>111</xdr:row>
      <xdr:rowOff>23495</xdr:rowOff>
    </xdr:to>
    <xdr:cxnSp macro="_xll.PtreeEvent_ObjectClick">
      <xdr:nvCxnSpPr>
        <xdr:cNvPr id="222" name="PTObj_DBranchDLine_1_55">
          <a:extLst>
            <a:ext uri="{FF2B5EF4-FFF2-40B4-BE49-F238E27FC236}">
              <a16:creationId xmlns:a16="http://schemas.microsoft.com/office/drawing/2014/main" id="{04656571-3F2F-476C-BBE0-09BF9534DC85}"/>
            </a:ext>
          </a:extLst>
        </xdr:cNvPr>
        <xdr:cNvCxnSpPr/>
      </xdr:nvCxnSpPr>
      <xdr:spPr>
        <a:xfrm>
          <a:off x="14210157" y="18279745"/>
          <a:ext cx="152400" cy="18319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99</xdr:row>
      <xdr:rowOff>636</xdr:rowOff>
    </xdr:from>
    <xdr:to>
      <xdr:col>11</xdr:col>
      <xdr:colOff>1385063</xdr:colOff>
      <xdr:row>99</xdr:row>
      <xdr:rowOff>636</xdr:rowOff>
    </xdr:to>
    <xdr:cxnSp macro="_xll.PtreeEvent_ObjectClick">
      <xdr:nvCxnSpPr>
        <xdr:cNvPr id="219" name="PTObj_DBranchHLine_1_49">
          <a:extLst>
            <a:ext uri="{FF2B5EF4-FFF2-40B4-BE49-F238E27FC236}">
              <a16:creationId xmlns:a16="http://schemas.microsoft.com/office/drawing/2014/main" id="{A2DA0B7D-E5F9-469B-B728-2F581362610E}"/>
            </a:ext>
          </a:extLst>
        </xdr:cNvPr>
        <xdr:cNvCxnSpPr/>
      </xdr:nvCxnSpPr>
      <xdr:spPr>
        <a:xfrm>
          <a:off x="20056601" y="179171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96</xdr:row>
      <xdr:rowOff>175578</xdr:rowOff>
    </xdr:from>
    <xdr:to>
      <xdr:col>11</xdr:col>
      <xdr:colOff>196976</xdr:colOff>
      <xdr:row>99</xdr:row>
      <xdr:rowOff>636</xdr:rowOff>
    </xdr:to>
    <xdr:cxnSp macro="_xll.PtreeEvent_ObjectClick">
      <xdr:nvCxnSpPr>
        <xdr:cNvPr id="218" name="PTObj_DBranchDLine_1_49">
          <a:extLst>
            <a:ext uri="{FF2B5EF4-FFF2-40B4-BE49-F238E27FC236}">
              <a16:creationId xmlns:a16="http://schemas.microsoft.com/office/drawing/2014/main" id="{B620B8CE-3702-4749-9C0F-F48529899C3F}"/>
            </a:ext>
          </a:extLst>
        </xdr:cNvPr>
        <xdr:cNvCxnSpPr/>
      </xdr:nvCxnSpPr>
      <xdr:spPr>
        <a:xfrm>
          <a:off x="19904201" y="17549178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96</xdr:row>
      <xdr:rowOff>177800</xdr:rowOff>
    </xdr:from>
    <xdr:to>
      <xdr:col>10</xdr:col>
      <xdr:colOff>1392681</xdr:colOff>
      <xdr:row>96</xdr:row>
      <xdr:rowOff>177800</xdr:rowOff>
    </xdr:to>
    <xdr:cxnSp macro="_xll.PtreeEvent_ObjectClick">
      <xdr:nvCxnSpPr>
        <xdr:cNvPr id="215" name="PTObj_DBranchHLine_1_48">
          <a:extLst>
            <a:ext uri="{FF2B5EF4-FFF2-40B4-BE49-F238E27FC236}">
              <a16:creationId xmlns:a16="http://schemas.microsoft.com/office/drawing/2014/main" id="{9E45894A-4C04-4995-8A5D-AB5214A5CCB0}"/>
            </a:ext>
          </a:extLst>
        </xdr:cNvPr>
        <xdr:cNvCxnSpPr/>
      </xdr:nvCxnSpPr>
      <xdr:spPr>
        <a:xfrm>
          <a:off x="18628804" y="17551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94</xdr:row>
      <xdr:rowOff>173672</xdr:rowOff>
    </xdr:from>
    <xdr:to>
      <xdr:col>10</xdr:col>
      <xdr:colOff>197929</xdr:colOff>
      <xdr:row>96</xdr:row>
      <xdr:rowOff>177800</xdr:rowOff>
    </xdr:to>
    <xdr:cxnSp macro="_xll.PtreeEvent_ObjectClick">
      <xdr:nvCxnSpPr>
        <xdr:cNvPr id="214" name="PTObj_DBranchDLine_1_48">
          <a:extLst>
            <a:ext uri="{FF2B5EF4-FFF2-40B4-BE49-F238E27FC236}">
              <a16:creationId xmlns:a16="http://schemas.microsoft.com/office/drawing/2014/main" id="{11A2F02F-745F-46E6-824B-D6D7F5D78B5F}"/>
            </a:ext>
          </a:extLst>
        </xdr:cNvPr>
        <xdr:cNvCxnSpPr/>
      </xdr:nvCxnSpPr>
      <xdr:spPr>
        <a:xfrm>
          <a:off x="18476404" y="17185322"/>
          <a:ext cx="152400" cy="3660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94</xdr:row>
      <xdr:rowOff>173989</xdr:rowOff>
    </xdr:from>
    <xdr:to>
      <xdr:col>9</xdr:col>
      <xdr:colOff>1388870</xdr:colOff>
      <xdr:row>94</xdr:row>
      <xdr:rowOff>173989</xdr:rowOff>
    </xdr:to>
    <xdr:cxnSp macro="_xll.PtreeEvent_ObjectClick">
      <xdr:nvCxnSpPr>
        <xdr:cNvPr id="211" name="PTObj_DBranchHLine_1_47">
          <a:extLst>
            <a:ext uri="{FF2B5EF4-FFF2-40B4-BE49-F238E27FC236}">
              <a16:creationId xmlns:a16="http://schemas.microsoft.com/office/drawing/2014/main" id="{082013A7-E388-43C0-864E-E78010600736}"/>
            </a:ext>
          </a:extLst>
        </xdr:cNvPr>
        <xdr:cNvCxnSpPr/>
      </xdr:nvCxnSpPr>
      <xdr:spPr>
        <a:xfrm>
          <a:off x="17206720" y="171856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92</xdr:row>
      <xdr:rowOff>167957</xdr:rowOff>
    </xdr:from>
    <xdr:to>
      <xdr:col>9</xdr:col>
      <xdr:colOff>204595</xdr:colOff>
      <xdr:row>94</xdr:row>
      <xdr:rowOff>173989</xdr:rowOff>
    </xdr:to>
    <xdr:cxnSp macro="_xll.PtreeEvent_ObjectClick">
      <xdr:nvCxnSpPr>
        <xdr:cNvPr id="210" name="PTObj_DBranchDLine_1_47">
          <a:extLst>
            <a:ext uri="{FF2B5EF4-FFF2-40B4-BE49-F238E27FC236}">
              <a16:creationId xmlns:a16="http://schemas.microsoft.com/office/drawing/2014/main" id="{733C4A52-B149-43EE-8A3E-1C5D225F6B5D}"/>
            </a:ext>
          </a:extLst>
        </xdr:cNvPr>
        <xdr:cNvCxnSpPr/>
      </xdr:nvCxnSpPr>
      <xdr:spPr>
        <a:xfrm>
          <a:off x="17054320" y="16817657"/>
          <a:ext cx="152400" cy="3679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92</xdr:row>
      <xdr:rowOff>170180</xdr:rowOff>
    </xdr:from>
    <xdr:to>
      <xdr:col>8</xdr:col>
      <xdr:colOff>1392681</xdr:colOff>
      <xdr:row>92</xdr:row>
      <xdr:rowOff>170180</xdr:rowOff>
    </xdr:to>
    <xdr:cxnSp macro="_xll.PtreeEvent_ObjectClick">
      <xdr:nvCxnSpPr>
        <xdr:cNvPr id="207" name="PTObj_DBranchHLine_1_46">
          <a:extLst>
            <a:ext uri="{FF2B5EF4-FFF2-40B4-BE49-F238E27FC236}">
              <a16:creationId xmlns:a16="http://schemas.microsoft.com/office/drawing/2014/main" id="{3D72A317-CB72-47DD-A4E0-B71E3A54DECC}"/>
            </a:ext>
          </a:extLst>
        </xdr:cNvPr>
        <xdr:cNvCxnSpPr/>
      </xdr:nvCxnSpPr>
      <xdr:spPr>
        <a:xfrm>
          <a:off x="15782734" y="168198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90</xdr:row>
      <xdr:rowOff>161291</xdr:rowOff>
    </xdr:from>
    <xdr:to>
      <xdr:col>8</xdr:col>
      <xdr:colOff>209359</xdr:colOff>
      <xdr:row>92</xdr:row>
      <xdr:rowOff>170180</xdr:rowOff>
    </xdr:to>
    <xdr:cxnSp macro="_xll.PtreeEvent_ObjectClick">
      <xdr:nvCxnSpPr>
        <xdr:cNvPr id="206" name="PTObj_DBranchDLine_1_46">
          <a:extLst>
            <a:ext uri="{FF2B5EF4-FFF2-40B4-BE49-F238E27FC236}">
              <a16:creationId xmlns:a16="http://schemas.microsoft.com/office/drawing/2014/main" id="{2A2A3E5B-7633-4FAB-A2AB-05CBB1031994}"/>
            </a:ext>
          </a:extLst>
        </xdr:cNvPr>
        <xdr:cNvCxnSpPr/>
      </xdr:nvCxnSpPr>
      <xdr:spPr>
        <a:xfrm>
          <a:off x="15630334" y="1644904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88</xdr:row>
      <xdr:rowOff>162561</xdr:rowOff>
    </xdr:from>
    <xdr:to>
      <xdr:col>11</xdr:col>
      <xdr:colOff>1392682</xdr:colOff>
      <xdr:row>88</xdr:row>
      <xdr:rowOff>162561</xdr:rowOff>
    </xdr:to>
    <xdr:cxnSp macro="_xll.PtreeEvent_ObjectClick">
      <xdr:nvCxnSpPr>
        <xdr:cNvPr id="203" name="PTObj_DBranchHLine_1_44">
          <a:extLst>
            <a:ext uri="{FF2B5EF4-FFF2-40B4-BE49-F238E27FC236}">
              <a16:creationId xmlns:a16="http://schemas.microsoft.com/office/drawing/2014/main" id="{BE77B8FE-5146-45D2-A92E-817DD35315BB}"/>
            </a:ext>
          </a:extLst>
        </xdr:cNvPr>
        <xdr:cNvCxnSpPr/>
      </xdr:nvCxnSpPr>
      <xdr:spPr>
        <a:xfrm>
          <a:off x="20056601" y="16088361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86</xdr:row>
      <xdr:rowOff>146050</xdr:rowOff>
    </xdr:from>
    <xdr:to>
      <xdr:col>11</xdr:col>
      <xdr:colOff>196976</xdr:colOff>
      <xdr:row>88</xdr:row>
      <xdr:rowOff>162561</xdr:rowOff>
    </xdr:to>
    <xdr:cxnSp macro="_xll.PtreeEvent_ObjectClick">
      <xdr:nvCxnSpPr>
        <xdr:cNvPr id="202" name="PTObj_DBranchDLine_1_44">
          <a:extLst>
            <a:ext uri="{FF2B5EF4-FFF2-40B4-BE49-F238E27FC236}">
              <a16:creationId xmlns:a16="http://schemas.microsoft.com/office/drawing/2014/main" id="{A83FE99A-C047-4CE5-8B67-68FE9C6808AF}"/>
            </a:ext>
          </a:extLst>
        </xdr:cNvPr>
        <xdr:cNvCxnSpPr/>
      </xdr:nvCxnSpPr>
      <xdr:spPr>
        <a:xfrm>
          <a:off x="19904201" y="15709900"/>
          <a:ext cx="152400" cy="3784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86</xdr:row>
      <xdr:rowOff>158750</xdr:rowOff>
    </xdr:from>
    <xdr:to>
      <xdr:col>10</xdr:col>
      <xdr:colOff>1392681</xdr:colOff>
      <xdr:row>86</xdr:row>
      <xdr:rowOff>158750</xdr:rowOff>
    </xdr:to>
    <xdr:cxnSp macro="_xll.PtreeEvent_ObjectClick">
      <xdr:nvCxnSpPr>
        <xdr:cNvPr id="199" name="PTObj_DBranchHLine_1_43">
          <a:extLst>
            <a:ext uri="{FF2B5EF4-FFF2-40B4-BE49-F238E27FC236}">
              <a16:creationId xmlns:a16="http://schemas.microsoft.com/office/drawing/2014/main" id="{3786B74D-DB22-4D15-ABB9-54B90F501E63}"/>
            </a:ext>
          </a:extLst>
        </xdr:cNvPr>
        <xdr:cNvCxnSpPr/>
      </xdr:nvCxnSpPr>
      <xdr:spPr>
        <a:xfrm>
          <a:off x="18628804" y="15722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84</xdr:row>
      <xdr:rowOff>143191</xdr:rowOff>
    </xdr:from>
    <xdr:to>
      <xdr:col>10</xdr:col>
      <xdr:colOff>197929</xdr:colOff>
      <xdr:row>86</xdr:row>
      <xdr:rowOff>158750</xdr:rowOff>
    </xdr:to>
    <xdr:cxnSp macro="_xll.PtreeEvent_ObjectClick">
      <xdr:nvCxnSpPr>
        <xdr:cNvPr id="198" name="PTObj_DBranchDLine_1_43">
          <a:extLst>
            <a:ext uri="{FF2B5EF4-FFF2-40B4-BE49-F238E27FC236}">
              <a16:creationId xmlns:a16="http://schemas.microsoft.com/office/drawing/2014/main" id="{6798F2FC-E4EA-43FA-82D3-650BBBEC5F98}"/>
            </a:ext>
          </a:extLst>
        </xdr:cNvPr>
        <xdr:cNvCxnSpPr/>
      </xdr:nvCxnSpPr>
      <xdr:spPr>
        <a:xfrm>
          <a:off x="18476404" y="15345091"/>
          <a:ext cx="152400" cy="37750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84</xdr:row>
      <xdr:rowOff>154939</xdr:rowOff>
    </xdr:from>
    <xdr:to>
      <xdr:col>9</xdr:col>
      <xdr:colOff>1388870</xdr:colOff>
      <xdr:row>84</xdr:row>
      <xdr:rowOff>154939</xdr:rowOff>
    </xdr:to>
    <xdr:cxnSp macro="_xll.PtreeEvent_ObjectClick">
      <xdr:nvCxnSpPr>
        <xdr:cNvPr id="195" name="PTObj_DBranchHLine_1_42">
          <a:extLst>
            <a:ext uri="{FF2B5EF4-FFF2-40B4-BE49-F238E27FC236}">
              <a16:creationId xmlns:a16="http://schemas.microsoft.com/office/drawing/2014/main" id="{C3212E88-2C2B-43D4-A762-DC9524C40609}"/>
            </a:ext>
          </a:extLst>
        </xdr:cNvPr>
        <xdr:cNvCxnSpPr/>
      </xdr:nvCxnSpPr>
      <xdr:spPr>
        <a:xfrm>
          <a:off x="17206720" y="153568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82</xdr:row>
      <xdr:rowOff>142239</xdr:rowOff>
    </xdr:from>
    <xdr:to>
      <xdr:col>9</xdr:col>
      <xdr:colOff>204595</xdr:colOff>
      <xdr:row>84</xdr:row>
      <xdr:rowOff>154939</xdr:rowOff>
    </xdr:to>
    <xdr:cxnSp macro="_xll.PtreeEvent_ObjectClick">
      <xdr:nvCxnSpPr>
        <xdr:cNvPr id="194" name="PTObj_DBranchDLine_1_42">
          <a:extLst>
            <a:ext uri="{FF2B5EF4-FFF2-40B4-BE49-F238E27FC236}">
              <a16:creationId xmlns:a16="http://schemas.microsoft.com/office/drawing/2014/main" id="{D0F39E4F-AF72-4FE5-90B6-9CE5E10E2374}"/>
            </a:ext>
          </a:extLst>
        </xdr:cNvPr>
        <xdr:cNvCxnSpPr/>
      </xdr:nvCxnSpPr>
      <xdr:spPr>
        <a:xfrm>
          <a:off x="17054320" y="14982189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82</xdr:row>
      <xdr:rowOff>151130</xdr:rowOff>
    </xdr:from>
    <xdr:to>
      <xdr:col>8</xdr:col>
      <xdr:colOff>1392681</xdr:colOff>
      <xdr:row>82</xdr:row>
      <xdr:rowOff>151130</xdr:rowOff>
    </xdr:to>
    <xdr:cxnSp macro="_xll.PtreeEvent_ObjectClick">
      <xdr:nvCxnSpPr>
        <xdr:cNvPr id="191" name="PTObj_DBranchHLine_1_41">
          <a:extLst>
            <a:ext uri="{FF2B5EF4-FFF2-40B4-BE49-F238E27FC236}">
              <a16:creationId xmlns:a16="http://schemas.microsoft.com/office/drawing/2014/main" id="{FAC9F32F-E9AA-47A6-8758-006367C98DF9}"/>
            </a:ext>
          </a:extLst>
        </xdr:cNvPr>
        <xdr:cNvCxnSpPr/>
      </xdr:nvCxnSpPr>
      <xdr:spPr>
        <a:xfrm>
          <a:off x="15782734" y="149910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82</xdr:row>
      <xdr:rowOff>151130</xdr:rowOff>
    </xdr:from>
    <xdr:to>
      <xdr:col>8</xdr:col>
      <xdr:colOff>209359</xdr:colOff>
      <xdr:row>90</xdr:row>
      <xdr:rowOff>161291</xdr:rowOff>
    </xdr:to>
    <xdr:cxnSp macro="_xll.PtreeEvent_ObjectClick">
      <xdr:nvCxnSpPr>
        <xdr:cNvPr id="190" name="PTObj_DBranchDLine_1_41">
          <a:extLst>
            <a:ext uri="{FF2B5EF4-FFF2-40B4-BE49-F238E27FC236}">
              <a16:creationId xmlns:a16="http://schemas.microsoft.com/office/drawing/2014/main" id="{C75DFBCB-34E9-484C-9D14-B68B069279E5}"/>
            </a:ext>
          </a:extLst>
        </xdr:cNvPr>
        <xdr:cNvCxnSpPr/>
      </xdr:nvCxnSpPr>
      <xdr:spPr>
        <a:xfrm flipV="1">
          <a:off x="15630334" y="1499108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90</xdr:row>
      <xdr:rowOff>166370</xdr:rowOff>
    </xdr:from>
    <xdr:to>
      <xdr:col>7</xdr:col>
      <xdr:colOff>1398397</xdr:colOff>
      <xdr:row>90</xdr:row>
      <xdr:rowOff>166370</xdr:rowOff>
    </xdr:to>
    <xdr:cxnSp macro="_xll.PtreeEvent_ObjectClick">
      <xdr:nvCxnSpPr>
        <xdr:cNvPr id="187" name="PTObj_DBranchHLine_1_45">
          <a:extLst>
            <a:ext uri="{FF2B5EF4-FFF2-40B4-BE49-F238E27FC236}">
              <a16:creationId xmlns:a16="http://schemas.microsoft.com/office/drawing/2014/main" id="{8389E797-B313-4C3D-9488-9A64714199FC}"/>
            </a:ext>
          </a:extLst>
        </xdr:cNvPr>
        <xdr:cNvCxnSpPr/>
      </xdr:nvCxnSpPr>
      <xdr:spPr>
        <a:xfrm>
          <a:off x="14360652" y="1645412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90</xdr:row>
      <xdr:rowOff>166370</xdr:rowOff>
    </xdr:from>
    <xdr:to>
      <xdr:col>7</xdr:col>
      <xdr:colOff>216027</xdr:colOff>
      <xdr:row>100</xdr:row>
      <xdr:rowOff>180339</xdr:rowOff>
    </xdr:to>
    <xdr:cxnSp macro="_xll.PtreeEvent_ObjectClick">
      <xdr:nvCxnSpPr>
        <xdr:cNvPr id="186" name="PTObj_DBranchDLine_1_45">
          <a:extLst>
            <a:ext uri="{FF2B5EF4-FFF2-40B4-BE49-F238E27FC236}">
              <a16:creationId xmlns:a16="http://schemas.microsoft.com/office/drawing/2014/main" id="{CA27BC84-8E1E-4BCE-A0DF-538300FF44BE}"/>
            </a:ext>
          </a:extLst>
        </xdr:cNvPr>
        <xdr:cNvCxnSpPr/>
      </xdr:nvCxnSpPr>
      <xdr:spPr>
        <a:xfrm flipV="1">
          <a:off x="14208252" y="16454120"/>
          <a:ext cx="152400" cy="18237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101</xdr:row>
      <xdr:rowOff>4445</xdr:rowOff>
    </xdr:from>
    <xdr:to>
      <xdr:col>6</xdr:col>
      <xdr:colOff>1402207</xdr:colOff>
      <xdr:row>101</xdr:row>
      <xdr:rowOff>4445</xdr:rowOff>
    </xdr:to>
    <xdr:cxnSp macro="_xll.PtreeEvent_ObjectClick">
      <xdr:nvCxnSpPr>
        <xdr:cNvPr id="183" name="PTObj_DBranchHLine_1_50">
          <a:extLst>
            <a:ext uri="{FF2B5EF4-FFF2-40B4-BE49-F238E27FC236}">
              <a16:creationId xmlns:a16="http://schemas.microsoft.com/office/drawing/2014/main" id="{FE4817B5-F705-4535-B58C-91611EC64F88}"/>
            </a:ext>
          </a:extLst>
        </xdr:cNvPr>
        <xdr:cNvCxnSpPr/>
      </xdr:nvCxnSpPr>
      <xdr:spPr>
        <a:xfrm>
          <a:off x="12938569" y="18282920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101</xdr:row>
      <xdr:rowOff>4445</xdr:rowOff>
    </xdr:from>
    <xdr:to>
      <xdr:col>6</xdr:col>
      <xdr:colOff>222694</xdr:colOff>
      <xdr:row>121</xdr:row>
      <xdr:rowOff>37464</xdr:rowOff>
    </xdr:to>
    <xdr:cxnSp macro="_xll.PtreeEvent_ObjectClick">
      <xdr:nvCxnSpPr>
        <xdr:cNvPr id="182" name="PTObj_DBranchDLine_1_50">
          <a:extLst>
            <a:ext uri="{FF2B5EF4-FFF2-40B4-BE49-F238E27FC236}">
              <a16:creationId xmlns:a16="http://schemas.microsoft.com/office/drawing/2014/main" id="{FEB5BB87-B58A-415E-9132-47A27C03CF88}"/>
            </a:ext>
          </a:extLst>
        </xdr:cNvPr>
        <xdr:cNvCxnSpPr/>
      </xdr:nvCxnSpPr>
      <xdr:spPr>
        <a:xfrm flipV="1">
          <a:off x="12786169" y="18282920"/>
          <a:ext cx="152400" cy="36525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225551</xdr:colOff>
      <xdr:row>121</xdr:row>
      <xdr:rowOff>42545</xdr:rowOff>
    </xdr:from>
    <xdr:to>
      <xdr:col>5</xdr:col>
      <xdr:colOff>1407922</xdr:colOff>
      <xdr:row>121</xdr:row>
      <xdr:rowOff>42545</xdr:rowOff>
    </xdr:to>
    <xdr:cxnSp macro="_xll.PtreeEvent_ObjectClick">
      <xdr:nvCxnSpPr>
        <xdr:cNvPr id="179" name="PTObj_DBranchHLine_1_60">
          <a:extLst>
            <a:ext uri="{FF2B5EF4-FFF2-40B4-BE49-F238E27FC236}">
              <a16:creationId xmlns:a16="http://schemas.microsoft.com/office/drawing/2014/main" id="{059B884E-A478-4900-819B-29CD947F734F}"/>
            </a:ext>
          </a:extLst>
        </xdr:cNvPr>
        <xdr:cNvCxnSpPr/>
      </xdr:nvCxnSpPr>
      <xdr:spPr>
        <a:xfrm>
          <a:off x="11512676" y="21940520"/>
          <a:ext cx="118237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73151</xdr:colOff>
      <xdr:row>80</xdr:row>
      <xdr:rowOff>144145</xdr:rowOff>
    </xdr:from>
    <xdr:to>
      <xdr:col>5</xdr:col>
      <xdr:colOff>225551</xdr:colOff>
      <xdr:row>121</xdr:row>
      <xdr:rowOff>42545</xdr:rowOff>
    </xdr:to>
    <xdr:cxnSp macro="_xll.PtreeEvent_ObjectClick">
      <xdr:nvCxnSpPr>
        <xdr:cNvPr id="178" name="PTObj_DBranchDLine_1_60">
          <a:extLst>
            <a:ext uri="{FF2B5EF4-FFF2-40B4-BE49-F238E27FC236}">
              <a16:creationId xmlns:a16="http://schemas.microsoft.com/office/drawing/2014/main" id="{1851127D-A636-4294-8353-6B95561F7ED1}"/>
            </a:ext>
          </a:extLst>
        </xdr:cNvPr>
        <xdr:cNvCxnSpPr/>
      </xdr:nvCxnSpPr>
      <xdr:spPr>
        <a:xfrm>
          <a:off x="11360276" y="14622145"/>
          <a:ext cx="152400" cy="73183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78</xdr:row>
      <xdr:rowOff>143511</xdr:rowOff>
    </xdr:from>
    <xdr:to>
      <xdr:col>11</xdr:col>
      <xdr:colOff>1385063</xdr:colOff>
      <xdr:row>78</xdr:row>
      <xdr:rowOff>143511</xdr:rowOff>
    </xdr:to>
    <xdr:cxnSp macro="_xll.PtreeEvent_ObjectClick">
      <xdr:nvCxnSpPr>
        <xdr:cNvPr id="175" name="PTObj_DBranchHLine_1_39">
          <a:extLst>
            <a:ext uri="{FF2B5EF4-FFF2-40B4-BE49-F238E27FC236}">
              <a16:creationId xmlns:a16="http://schemas.microsoft.com/office/drawing/2014/main" id="{8E511809-4C94-4357-AEC8-188FB20905A6}"/>
            </a:ext>
          </a:extLst>
        </xdr:cNvPr>
        <xdr:cNvCxnSpPr/>
      </xdr:nvCxnSpPr>
      <xdr:spPr>
        <a:xfrm>
          <a:off x="20056601" y="14259561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76</xdr:row>
      <xdr:rowOff>137478</xdr:rowOff>
    </xdr:from>
    <xdr:to>
      <xdr:col>11</xdr:col>
      <xdr:colOff>196976</xdr:colOff>
      <xdr:row>78</xdr:row>
      <xdr:rowOff>143511</xdr:rowOff>
    </xdr:to>
    <xdr:cxnSp macro="_xll.PtreeEvent_ObjectClick">
      <xdr:nvCxnSpPr>
        <xdr:cNvPr id="174" name="PTObj_DBranchDLine_1_39">
          <a:extLst>
            <a:ext uri="{FF2B5EF4-FFF2-40B4-BE49-F238E27FC236}">
              <a16:creationId xmlns:a16="http://schemas.microsoft.com/office/drawing/2014/main" id="{029E1864-B203-4C8E-8F9A-B7D100BCD85B}"/>
            </a:ext>
          </a:extLst>
        </xdr:cNvPr>
        <xdr:cNvCxnSpPr/>
      </xdr:nvCxnSpPr>
      <xdr:spPr>
        <a:xfrm>
          <a:off x="19904201" y="13891578"/>
          <a:ext cx="152400" cy="36798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76</xdr:row>
      <xdr:rowOff>139700</xdr:rowOff>
    </xdr:from>
    <xdr:to>
      <xdr:col>10</xdr:col>
      <xdr:colOff>1392681</xdr:colOff>
      <xdr:row>76</xdr:row>
      <xdr:rowOff>139700</xdr:rowOff>
    </xdr:to>
    <xdr:cxnSp macro="_xll.PtreeEvent_ObjectClick">
      <xdr:nvCxnSpPr>
        <xdr:cNvPr id="171" name="PTObj_DBranchHLine_1_38">
          <a:extLst>
            <a:ext uri="{FF2B5EF4-FFF2-40B4-BE49-F238E27FC236}">
              <a16:creationId xmlns:a16="http://schemas.microsoft.com/office/drawing/2014/main" id="{A81AE7A4-EE25-4514-9486-CDE6F75380B0}"/>
            </a:ext>
          </a:extLst>
        </xdr:cNvPr>
        <xdr:cNvCxnSpPr/>
      </xdr:nvCxnSpPr>
      <xdr:spPr>
        <a:xfrm>
          <a:off x="18628804" y="13893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74</xdr:row>
      <xdr:rowOff>135573</xdr:rowOff>
    </xdr:from>
    <xdr:to>
      <xdr:col>10</xdr:col>
      <xdr:colOff>197929</xdr:colOff>
      <xdr:row>76</xdr:row>
      <xdr:rowOff>139700</xdr:rowOff>
    </xdr:to>
    <xdr:cxnSp macro="_xll.PtreeEvent_ObjectClick">
      <xdr:nvCxnSpPr>
        <xdr:cNvPr id="170" name="PTObj_DBranchDLine_1_38">
          <a:extLst>
            <a:ext uri="{FF2B5EF4-FFF2-40B4-BE49-F238E27FC236}">
              <a16:creationId xmlns:a16="http://schemas.microsoft.com/office/drawing/2014/main" id="{A669C27D-0BF7-44F7-BF51-F4431568721E}"/>
            </a:ext>
          </a:extLst>
        </xdr:cNvPr>
        <xdr:cNvCxnSpPr/>
      </xdr:nvCxnSpPr>
      <xdr:spPr>
        <a:xfrm>
          <a:off x="18476404" y="13527723"/>
          <a:ext cx="152400" cy="3660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74</xdr:row>
      <xdr:rowOff>135889</xdr:rowOff>
    </xdr:from>
    <xdr:to>
      <xdr:col>9</xdr:col>
      <xdr:colOff>1388870</xdr:colOff>
      <xdr:row>74</xdr:row>
      <xdr:rowOff>135889</xdr:rowOff>
    </xdr:to>
    <xdr:cxnSp macro="_xll.PtreeEvent_ObjectClick">
      <xdr:nvCxnSpPr>
        <xdr:cNvPr id="167" name="PTObj_DBranchHLine_1_37">
          <a:extLst>
            <a:ext uri="{FF2B5EF4-FFF2-40B4-BE49-F238E27FC236}">
              <a16:creationId xmlns:a16="http://schemas.microsoft.com/office/drawing/2014/main" id="{68171D1F-A439-4DE5-8822-744C93EC4578}"/>
            </a:ext>
          </a:extLst>
        </xdr:cNvPr>
        <xdr:cNvCxnSpPr/>
      </xdr:nvCxnSpPr>
      <xdr:spPr>
        <a:xfrm>
          <a:off x="17206720" y="13528039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72</xdr:row>
      <xdr:rowOff>129857</xdr:rowOff>
    </xdr:from>
    <xdr:to>
      <xdr:col>9</xdr:col>
      <xdr:colOff>204595</xdr:colOff>
      <xdr:row>74</xdr:row>
      <xdr:rowOff>135889</xdr:rowOff>
    </xdr:to>
    <xdr:cxnSp macro="_xll.PtreeEvent_ObjectClick">
      <xdr:nvCxnSpPr>
        <xdr:cNvPr id="166" name="PTObj_DBranchDLine_1_37">
          <a:extLst>
            <a:ext uri="{FF2B5EF4-FFF2-40B4-BE49-F238E27FC236}">
              <a16:creationId xmlns:a16="http://schemas.microsoft.com/office/drawing/2014/main" id="{858B1FF7-EAFB-4990-A63C-9A7968E5B21E}"/>
            </a:ext>
          </a:extLst>
        </xdr:cNvPr>
        <xdr:cNvCxnSpPr/>
      </xdr:nvCxnSpPr>
      <xdr:spPr>
        <a:xfrm>
          <a:off x="17054320" y="13160057"/>
          <a:ext cx="152400" cy="3679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72</xdr:row>
      <xdr:rowOff>132080</xdr:rowOff>
    </xdr:from>
    <xdr:to>
      <xdr:col>8</xdr:col>
      <xdr:colOff>1392681</xdr:colOff>
      <xdr:row>72</xdr:row>
      <xdr:rowOff>132080</xdr:rowOff>
    </xdr:to>
    <xdr:cxnSp macro="_xll.PtreeEvent_ObjectClick">
      <xdr:nvCxnSpPr>
        <xdr:cNvPr id="163" name="PTObj_DBranchHLine_1_36">
          <a:extLst>
            <a:ext uri="{FF2B5EF4-FFF2-40B4-BE49-F238E27FC236}">
              <a16:creationId xmlns:a16="http://schemas.microsoft.com/office/drawing/2014/main" id="{E0E3D088-C28E-4A6D-87F1-2193FD37468F}"/>
            </a:ext>
          </a:extLst>
        </xdr:cNvPr>
        <xdr:cNvCxnSpPr/>
      </xdr:nvCxnSpPr>
      <xdr:spPr>
        <a:xfrm>
          <a:off x="15782734" y="131622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70</xdr:row>
      <xdr:rowOff>123191</xdr:rowOff>
    </xdr:from>
    <xdr:to>
      <xdr:col>8</xdr:col>
      <xdr:colOff>209359</xdr:colOff>
      <xdr:row>72</xdr:row>
      <xdr:rowOff>132080</xdr:rowOff>
    </xdr:to>
    <xdr:cxnSp macro="_xll.PtreeEvent_ObjectClick">
      <xdr:nvCxnSpPr>
        <xdr:cNvPr id="162" name="PTObj_DBranchDLine_1_36">
          <a:extLst>
            <a:ext uri="{FF2B5EF4-FFF2-40B4-BE49-F238E27FC236}">
              <a16:creationId xmlns:a16="http://schemas.microsoft.com/office/drawing/2014/main" id="{D90B99AD-60D9-4F90-ADDE-6656CC9B561C}"/>
            </a:ext>
          </a:extLst>
        </xdr:cNvPr>
        <xdr:cNvCxnSpPr/>
      </xdr:nvCxnSpPr>
      <xdr:spPr>
        <a:xfrm>
          <a:off x="15630334" y="1279144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68</xdr:row>
      <xdr:rowOff>124460</xdr:rowOff>
    </xdr:from>
    <xdr:to>
      <xdr:col>11</xdr:col>
      <xdr:colOff>1392682</xdr:colOff>
      <xdr:row>68</xdr:row>
      <xdr:rowOff>124460</xdr:rowOff>
    </xdr:to>
    <xdr:cxnSp macro="_xll.PtreeEvent_ObjectClick">
      <xdr:nvCxnSpPr>
        <xdr:cNvPr id="159" name="PTObj_DBranchHLine_1_34">
          <a:extLst>
            <a:ext uri="{FF2B5EF4-FFF2-40B4-BE49-F238E27FC236}">
              <a16:creationId xmlns:a16="http://schemas.microsoft.com/office/drawing/2014/main" id="{3032AFB6-FFB7-4879-A49E-EF293E0CF276}"/>
            </a:ext>
          </a:extLst>
        </xdr:cNvPr>
        <xdr:cNvCxnSpPr/>
      </xdr:nvCxnSpPr>
      <xdr:spPr>
        <a:xfrm>
          <a:off x="20056601" y="12430760"/>
          <a:ext cx="119570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66</xdr:row>
      <xdr:rowOff>107950</xdr:rowOff>
    </xdr:from>
    <xdr:to>
      <xdr:col>11</xdr:col>
      <xdr:colOff>196976</xdr:colOff>
      <xdr:row>68</xdr:row>
      <xdr:rowOff>124460</xdr:rowOff>
    </xdr:to>
    <xdr:cxnSp macro="_xll.PtreeEvent_ObjectClick">
      <xdr:nvCxnSpPr>
        <xdr:cNvPr id="158" name="PTObj_DBranchDLine_1_34">
          <a:extLst>
            <a:ext uri="{FF2B5EF4-FFF2-40B4-BE49-F238E27FC236}">
              <a16:creationId xmlns:a16="http://schemas.microsoft.com/office/drawing/2014/main" id="{A3966A93-0524-4D20-B5A4-1CACA4338E3B}"/>
            </a:ext>
          </a:extLst>
        </xdr:cNvPr>
        <xdr:cNvCxnSpPr/>
      </xdr:nvCxnSpPr>
      <xdr:spPr>
        <a:xfrm>
          <a:off x="19904201" y="12052300"/>
          <a:ext cx="152400" cy="3784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66</xdr:row>
      <xdr:rowOff>120650</xdr:rowOff>
    </xdr:from>
    <xdr:to>
      <xdr:col>10</xdr:col>
      <xdr:colOff>1392681</xdr:colOff>
      <xdr:row>66</xdr:row>
      <xdr:rowOff>120650</xdr:rowOff>
    </xdr:to>
    <xdr:cxnSp macro="_xll.PtreeEvent_ObjectClick">
      <xdr:nvCxnSpPr>
        <xdr:cNvPr id="155" name="PTObj_DBranchHLine_1_33">
          <a:extLst>
            <a:ext uri="{FF2B5EF4-FFF2-40B4-BE49-F238E27FC236}">
              <a16:creationId xmlns:a16="http://schemas.microsoft.com/office/drawing/2014/main" id="{B24F08BB-2113-44AF-86F9-FAF421963A85}"/>
            </a:ext>
          </a:extLst>
        </xdr:cNvPr>
        <xdr:cNvCxnSpPr/>
      </xdr:nvCxnSpPr>
      <xdr:spPr>
        <a:xfrm>
          <a:off x="18628804" y="12065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64</xdr:row>
      <xdr:rowOff>105093</xdr:rowOff>
    </xdr:from>
    <xdr:to>
      <xdr:col>10</xdr:col>
      <xdr:colOff>197929</xdr:colOff>
      <xdr:row>66</xdr:row>
      <xdr:rowOff>120650</xdr:rowOff>
    </xdr:to>
    <xdr:cxnSp macro="_xll.PtreeEvent_ObjectClick">
      <xdr:nvCxnSpPr>
        <xdr:cNvPr id="154" name="PTObj_DBranchDLine_1_33">
          <a:extLst>
            <a:ext uri="{FF2B5EF4-FFF2-40B4-BE49-F238E27FC236}">
              <a16:creationId xmlns:a16="http://schemas.microsoft.com/office/drawing/2014/main" id="{034123B0-67F0-4FEE-AFB8-600CD77F5B06}"/>
            </a:ext>
          </a:extLst>
        </xdr:cNvPr>
        <xdr:cNvCxnSpPr/>
      </xdr:nvCxnSpPr>
      <xdr:spPr>
        <a:xfrm>
          <a:off x="18476404" y="11687493"/>
          <a:ext cx="152400" cy="3775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64</xdr:row>
      <xdr:rowOff>116840</xdr:rowOff>
    </xdr:from>
    <xdr:to>
      <xdr:col>9</xdr:col>
      <xdr:colOff>1388870</xdr:colOff>
      <xdr:row>64</xdr:row>
      <xdr:rowOff>116840</xdr:rowOff>
    </xdr:to>
    <xdr:cxnSp macro="_xll.PtreeEvent_ObjectClick">
      <xdr:nvCxnSpPr>
        <xdr:cNvPr id="151" name="PTObj_DBranchHLine_1_32">
          <a:extLst>
            <a:ext uri="{FF2B5EF4-FFF2-40B4-BE49-F238E27FC236}">
              <a16:creationId xmlns:a16="http://schemas.microsoft.com/office/drawing/2014/main" id="{865CF1D0-CD8D-4AFA-838E-2E949D17FA28}"/>
            </a:ext>
          </a:extLst>
        </xdr:cNvPr>
        <xdr:cNvCxnSpPr/>
      </xdr:nvCxnSpPr>
      <xdr:spPr>
        <a:xfrm>
          <a:off x="17206720" y="116992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62</xdr:row>
      <xdr:rowOff>104140</xdr:rowOff>
    </xdr:from>
    <xdr:to>
      <xdr:col>9</xdr:col>
      <xdr:colOff>204595</xdr:colOff>
      <xdr:row>64</xdr:row>
      <xdr:rowOff>116840</xdr:rowOff>
    </xdr:to>
    <xdr:cxnSp macro="_xll.PtreeEvent_ObjectClick">
      <xdr:nvCxnSpPr>
        <xdr:cNvPr id="150" name="PTObj_DBranchDLine_1_32">
          <a:extLst>
            <a:ext uri="{FF2B5EF4-FFF2-40B4-BE49-F238E27FC236}">
              <a16:creationId xmlns:a16="http://schemas.microsoft.com/office/drawing/2014/main" id="{E4FC2AB7-770D-4D5D-9427-606BD6147043}"/>
            </a:ext>
          </a:extLst>
        </xdr:cNvPr>
        <xdr:cNvCxnSpPr/>
      </xdr:nvCxnSpPr>
      <xdr:spPr>
        <a:xfrm>
          <a:off x="17054320" y="1132459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62</xdr:row>
      <xdr:rowOff>113030</xdr:rowOff>
    </xdr:from>
    <xdr:to>
      <xdr:col>8</xdr:col>
      <xdr:colOff>1392681</xdr:colOff>
      <xdr:row>62</xdr:row>
      <xdr:rowOff>113030</xdr:rowOff>
    </xdr:to>
    <xdr:cxnSp macro="_xll.PtreeEvent_ObjectClick">
      <xdr:nvCxnSpPr>
        <xdr:cNvPr id="147" name="PTObj_DBranchHLine_1_31">
          <a:extLst>
            <a:ext uri="{FF2B5EF4-FFF2-40B4-BE49-F238E27FC236}">
              <a16:creationId xmlns:a16="http://schemas.microsoft.com/office/drawing/2014/main" id="{B991FA91-B433-4169-B9DF-5AE3D29CBA70}"/>
            </a:ext>
          </a:extLst>
        </xdr:cNvPr>
        <xdr:cNvCxnSpPr/>
      </xdr:nvCxnSpPr>
      <xdr:spPr>
        <a:xfrm>
          <a:off x="15782734" y="113334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62</xdr:row>
      <xdr:rowOff>113030</xdr:rowOff>
    </xdr:from>
    <xdr:to>
      <xdr:col>8</xdr:col>
      <xdr:colOff>209359</xdr:colOff>
      <xdr:row>70</xdr:row>
      <xdr:rowOff>123191</xdr:rowOff>
    </xdr:to>
    <xdr:cxnSp macro="_xll.PtreeEvent_ObjectClick">
      <xdr:nvCxnSpPr>
        <xdr:cNvPr id="146" name="PTObj_DBranchDLine_1_31">
          <a:extLst>
            <a:ext uri="{FF2B5EF4-FFF2-40B4-BE49-F238E27FC236}">
              <a16:creationId xmlns:a16="http://schemas.microsoft.com/office/drawing/2014/main" id="{4384E150-849F-4A42-BD3C-8A15FCD4C675}"/>
            </a:ext>
          </a:extLst>
        </xdr:cNvPr>
        <xdr:cNvCxnSpPr/>
      </xdr:nvCxnSpPr>
      <xdr:spPr>
        <a:xfrm flipV="1">
          <a:off x="15630334" y="1133348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70</xdr:row>
      <xdr:rowOff>128270</xdr:rowOff>
    </xdr:from>
    <xdr:to>
      <xdr:col>7</xdr:col>
      <xdr:colOff>1398397</xdr:colOff>
      <xdr:row>70</xdr:row>
      <xdr:rowOff>128270</xdr:rowOff>
    </xdr:to>
    <xdr:cxnSp macro="_xll.PtreeEvent_ObjectClick">
      <xdr:nvCxnSpPr>
        <xdr:cNvPr id="143" name="PTObj_DBranchHLine_1_35">
          <a:extLst>
            <a:ext uri="{FF2B5EF4-FFF2-40B4-BE49-F238E27FC236}">
              <a16:creationId xmlns:a16="http://schemas.microsoft.com/office/drawing/2014/main" id="{9B21F2F0-DA57-4BA8-BA83-166C7E98037E}"/>
            </a:ext>
          </a:extLst>
        </xdr:cNvPr>
        <xdr:cNvCxnSpPr/>
      </xdr:nvCxnSpPr>
      <xdr:spPr>
        <a:xfrm>
          <a:off x="14362557" y="12796520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60</xdr:row>
      <xdr:rowOff>106045</xdr:rowOff>
    </xdr:from>
    <xdr:to>
      <xdr:col>7</xdr:col>
      <xdr:colOff>217932</xdr:colOff>
      <xdr:row>70</xdr:row>
      <xdr:rowOff>128270</xdr:rowOff>
    </xdr:to>
    <xdr:cxnSp macro="_xll.PtreeEvent_ObjectClick">
      <xdr:nvCxnSpPr>
        <xdr:cNvPr id="142" name="PTObj_DBranchDLine_1_35">
          <a:extLst>
            <a:ext uri="{FF2B5EF4-FFF2-40B4-BE49-F238E27FC236}">
              <a16:creationId xmlns:a16="http://schemas.microsoft.com/office/drawing/2014/main" id="{5E1260A9-4DD4-4395-BAA2-E6DF02082A8F}"/>
            </a:ext>
          </a:extLst>
        </xdr:cNvPr>
        <xdr:cNvCxnSpPr/>
      </xdr:nvCxnSpPr>
      <xdr:spPr>
        <a:xfrm>
          <a:off x="14210157" y="10964545"/>
          <a:ext cx="152400" cy="18319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58</xdr:row>
      <xdr:rowOff>105410</xdr:rowOff>
    </xdr:from>
    <xdr:to>
      <xdr:col>11</xdr:col>
      <xdr:colOff>1385063</xdr:colOff>
      <xdr:row>58</xdr:row>
      <xdr:rowOff>105410</xdr:rowOff>
    </xdr:to>
    <xdr:cxnSp macro="_xll.PtreeEvent_ObjectClick">
      <xdr:nvCxnSpPr>
        <xdr:cNvPr id="139" name="PTObj_DBranchHLine_1_29">
          <a:extLst>
            <a:ext uri="{FF2B5EF4-FFF2-40B4-BE49-F238E27FC236}">
              <a16:creationId xmlns:a16="http://schemas.microsoft.com/office/drawing/2014/main" id="{069E7D1F-31BD-4D9F-89F5-E10F60438B0E}"/>
            </a:ext>
          </a:extLst>
        </xdr:cNvPr>
        <xdr:cNvCxnSpPr/>
      </xdr:nvCxnSpPr>
      <xdr:spPr>
        <a:xfrm>
          <a:off x="20056601" y="1060196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56</xdr:row>
      <xdr:rowOff>99378</xdr:rowOff>
    </xdr:from>
    <xdr:to>
      <xdr:col>11</xdr:col>
      <xdr:colOff>196976</xdr:colOff>
      <xdr:row>58</xdr:row>
      <xdr:rowOff>105410</xdr:rowOff>
    </xdr:to>
    <xdr:cxnSp macro="_xll.PtreeEvent_ObjectClick">
      <xdr:nvCxnSpPr>
        <xdr:cNvPr id="138" name="PTObj_DBranchDLine_1_29">
          <a:extLst>
            <a:ext uri="{FF2B5EF4-FFF2-40B4-BE49-F238E27FC236}">
              <a16:creationId xmlns:a16="http://schemas.microsoft.com/office/drawing/2014/main" id="{9C827E7A-660C-4B74-BDDA-17494F9F80AB}"/>
            </a:ext>
          </a:extLst>
        </xdr:cNvPr>
        <xdr:cNvCxnSpPr/>
      </xdr:nvCxnSpPr>
      <xdr:spPr>
        <a:xfrm>
          <a:off x="19904201" y="10233978"/>
          <a:ext cx="152400" cy="3679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56</xdr:row>
      <xdr:rowOff>101600</xdr:rowOff>
    </xdr:from>
    <xdr:to>
      <xdr:col>10</xdr:col>
      <xdr:colOff>1392681</xdr:colOff>
      <xdr:row>56</xdr:row>
      <xdr:rowOff>101600</xdr:rowOff>
    </xdr:to>
    <xdr:cxnSp macro="_xll.PtreeEvent_ObjectClick">
      <xdr:nvCxnSpPr>
        <xdr:cNvPr id="135" name="PTObj_DBranchHLine_1_28">
          <a:extLst>
            <a:ext uri="{FF2B5EF4-FFF2-40B4-BE49-F238E27FC236}">
              <a16:creationId xmlns:a16="http://schemas.microsoft.com/office/drawing/2014/main" id="{4F7F3A27-9EEE-4517-A7AA-455BB06BF513}"/>
            </a:ext>
          </a:extLst>
        </xdr:cNvPr>
        <xdr:cNvCxnSpPr/>
      </xdr:nvCxnSpPr>
      <xdr:spPr>
        <a:xfrm>
          <a:off x="18628804" y="10236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54</xdr:row>
      <xdr:rowOff>97473</xdr:rowOff>
    </xdr:from>
    <xdr:to>
      <xdr:col>10</xdr:col>
      <xdr:colOff>197929</xdr:colOff>
      <xdr:row>56</xdr:row>
      <xdr:rowOff>101600</xdr:rowOff>
    </xdr:to>
    <xdr:cxnSp macro="_xll.PtreeEvent_ObjectClick">
      <xdr:nvCxnSpPr>
        <xdr:cNvPr id="134" name="PTObj_DBranchDLine_1_28">
          <a:extLst>
            <a:ext uri="{FF2B5EF4-FFF2-40B4-BE49-F238E27FC236}">
              <a16:creationId xmlns:a16="http://schemas.microsoft.com/office/drawing/2014/main" id="{F23B8CEF-DD81-4F37-8606-2BCCEB46E266}"/>
            </a:ext>
          </a:extLst>
        </xdr:cNvPr>
        <xdr:cNvCxnSpPr/>
      </xdr:nvCxnSpPr>
      <xdr:spPr>
        <a:xfrm>
          <a:off x="18476404" y="9870123"/>
          <a:ext cx="152400" cy="36607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54</xdr:row>
      <xdr:rowOff>97790</xdr:rowOff>
    </xdr:from>
    <xdr:to>
      <xdr:col>9</xdr:col>
      <xdr:colOff>1388870</xdr:colOff>
      <xdr:row>54</xdr:row>
      <xdr:rowOff>97790</xdr:rowOff>
    </xdr:to>
    <xdr:cxnSp macro="_xll.PtreeEvent_ObjectClick">
      <xdr:nvCxnSpPr>
        <xdr:cNvPr id="131" name="PTObj_DBranchHLine_1_27">
          <a:extLst>
            <a:ext uri="{FF2B5EF4-FFF2-40B4-BE49-F238E27FC236}">
              <a16:creationId xmlns:a16="http://schemas.microsoft.com/office/drawing/2014/main" id="{E93B9126-D69E-477F-A99E-38179446B2B8}"/>
            </a:ext>
          </a:extLst>
        </xdr:cNvPr>
        <xdr:cNvCxnSpPr/>
      </xdr:nvCxnSpPr>
      <xdr:spPr>
        <a:xfrm>
          <a:off x="17206720" y="98704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52</xdr:row>
      <xdr:rowOff>91758</xdr:rowOff>
    </xdr:from>
    <xdr:to>
      <xdr:col>9</xdr:col>
      <xdr:colOff>204595</xdr:colOff>
      <xdr:row>54</xdr:row>
      <xdr:rowOff>97790</xdr:rowOff>
    </xdr:to>
    <xdr:cxnSp macro="_xll.PtreeEvent_ObjectClick">
      <xdr:nvCxnSpPr>
        <xdr:cNvPr id="130" name="PTObj_DBranchDLine_1_27">
          <a:extLst>
            <a:ext uri="{FF2B5EF4-FFF2-40B4-BE49-F238E27FC236}">
              <a16:creationId xmlns:a16="http://schemas.microsoft.com/office/drawing/2014/main" id="{CBD170CA-E988-4657-9D4E-345CA5ABE77F}"/>
            </a:ext>
          </a:extLst>
        </xdr:cNvPr>
        <xdr:cNvCxnSpPr/>
      </xdr:nvCxnSpPr>
      <xdr:spPr>
        <a:xfrm>
          <a:off x="17054320" y="9502458"/>
          <a:ext cx="152400" cy="3679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52</xdr:row>
      <xdr:rowOff>93980</xdr:rowOff>
    </xdr:from>
    <xdr:to>
      <xdr:col>8</xdr:col>
      <xdr:colOff>1392681</xdr:colOff>
      <xdr:row>52</xdr:row>
      <xdr:rowOff>93980</xdr:rowOff>
    </xdr:to>
    <xdr:cxnSp macro="_xll.PtreeEvent_ObjectClick">
      <xdr:nvCxnSpPr>
        <xdr:cNvPr id="127" name="PTObj_DBranchHLine_1_26">
          <a:extLst>
            <a:ext uri="{FF2B5EF4-FFF2-40B4-BE49-F238E27FC236}">
              <a16:creationId xmlns:a16="http://schemas.microsoft.com/office/drawing/2014/main" id="{DA5F2C50-3D63-4F74-87E1-862EE4F75A1B}"/>
            </a:ext>
          </a:extLst>
        </xdr:cNvPr>
        <xdr:cNvCxnSpPr/>
      </xdr:nvCxnSpPr>
      <xdr:spPr>
        <a:xfrm>
          <a:off x="15782734" y="95046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50</xdr:row>
      <xdr:rowOff>84138</xdr:rowOff>
    </xdr:from>
    <xdr:to>
      <xdr:col>8</xdr:col>
      <xdr:colOff>209359</xdr:colOff>
      <xdr:row>52</xdr:row>
      <xdr:rowOff>93980</xdr:rowOff>
    </xdr:to>
    <xdr:cxnSp macro="_xll.PtreeEvent_ObjectClick">
      <xdr:nvCxnSpPr>
        <xdr:cNvPr id="126" name="PTObj_DBranchDLine_1_26">
          <a:extLst>
            <a:ext uri="{FF2B5EF4-FFF2-40B4-BE49-F238E27FC236}">
              <a16:creationId xmlns:a16="http://schemas.microsoft.com/office/drawing/2014/main" id="{87E845C6-4BDA-4D66-A1AF-A18FA1B97A7D}"/>
            </a:ext>
          </a:extLst>
        </xdr:cNvPr>
        <xdr:cNvCxnSpPr/>
      </xdr:nvCxnSpPr>
      <xdr:spPr>
        <a:xfrm>
          <a:off x="15630334" y="9132888"/>
          <a:ext cx="152400" cy="37179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48</xdr:row>
      <xdr:rowOff>86360</xdr:rowOff>
    </xdr:from>
    <xdr:to>
      <xdr:col>11</xdr:col>
      <xdr:colOff>1385063</xdr:colOff>
      <xdr:row>48</xdr:row>
      <xdr:rowOff>86360</xdr:rowOff>
    </xdr:to>
    <xdr:cxnSp macro="_xll.PtreeEvent_ObjectClick">
      <xdr:nvCxnSpPr>
        <xdr:cNvPr id="123" name="PTObj_DBranchHLine_1_24">
          <a:extLst>
            <a:ext uri="{FF2B5EF4-FFF2-40B4-BE49-F238E27FC236}">
              <a16:creationId xmlns:a16="http://schemas.microsoft.com/office/drawing/2014/main" id="{BAC6B45E-30D5-4300-9CF1-D5F31A1A98B5}"/>
            </a:ext>
          </a:extLst>
        </xdr:cNvPr>
        <xdr:cNvCxnSpPr/>
      </xdr:nvCxnSpPr>
      <xdr:spPr>
        <a:xfrm>
          <a:off x="20056601" y="877316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46</xdr:row>
      <xdr:rowOff>73660</xdr:rowOff>
    </xdr:from>
    <xdr:to>
      <xdr:col>11</xdr:col>
      <xdr:colOff>196976</xdr:colOff>
      <xdr:row>48</xdr:row>
      <xdr:rowOff>86360</xdr:rowOff>
    </xdr:to>
    <xdr:cxnSp macro="_xll.PtreeEvent_ObjectClick">
      <xdr:nvCxnSpPr>
        <xdr:cNvPr id="122" name="PTObj_DBranchDLine_1_24">
          <a:extLst>
            <a:ext uri="{FF2B5EF4-FFF2-40B4-BE49-F238E27FC236}">
              <a16:creationId xmlns:a16="http://schemas.microsoft.com/office/drawing/2014/main" id="{B82493DE-066B-44FA-A671-B91AD8B237D6}"/>
            </a:ext>
          </a:extLst>
        </xdr:cNvPr>
        <xdr:cNvCxnSpPr/>
      </xdr:nvCxnSpPr>
      <xdr:spPr>
        <a:xfrm>
          <a:off x="19904201" y="839851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46</xdr:row>
      <xdr:rowOff>82550</xdr:rowOff>
    </xdr:from>
    <xdr:to>
      <xdr:col>10</xdr:col>
      <xdr:colOff>1392681</xdr:colOff>
      <xdr:row>46</xdr:row>
      <xdr:rowOff>82550</xdr:rowOff>
    </xdr:to>
    <xdr:cxnSp macro="_xll.PtreeEvent_ObjectClick">
      <xdr:nvCxnSpPr>
        <xdr:cNvPr id="119" name="PTObj_DBranchHLine_1_23">
          <a:extLst>
            <a:ext uri="{FF2B5EF4-FFF2-40B4-BE49-F238E27FC236}">
              <a16:creationId xmlns:a16="http://schemas.microsoft.com/office/drawing/2014/main" id="{E41DE45D-B982-4E92-9296-24F39CAE2FD9}"/>
            </a:ext>
          </a:extLst>
        </xdr:cNvPr>
        <xdr:cNvCxnSpPr/>
      </xdr:nvCxnSpPr>
      <xdr:spPr>
        <a:xfrm>
          <a:off x="18628804" y="84074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44</xdr:row>
      <xdr:rowOff>77470</xdr:rowOff>
    </xdr:from>
    <xdr:to>
      <xdr:col>10</xdr:col>
      <xdr:colOff>197929</xdr:colOff>
      <xdr:row>46</xdr:row>
      <xdr:rowOff>82550</xdr:rowOff>
    </xdr:to>
    <xdr:cxnSp macro="_xll.PtreeEvent_ObjectClick">
      <xdr:nvCxnSpPr>
        <xdr:cNvPr id="118" name="PTObj_DBranchDLine_1_23">
          <a:extLst>
            <a:ext uri="{FF2B5EF4-FFF2-40B4-BE49-F238E27FC236}">
              <a16:creationId xmlns:a16="http://schemas.microsoft.com/office/drawing/2014/main" id="{212FB60D-0832-4C90-84DF-05E34FB7603A}"/>
            </a:ext>
          </a:extLst>
        </xdr:cNvPr>
        <xdr:cNvCxnSpPr/>
      </xdr:nvCxnSpPr>
      <xdr:spPr>
        <a:xfrm>
          <a:off x="18476404" y="8040370"/>
          <a:ext cx="152400" cy="3670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44</xdr:row>
      <xdr:rowOff>78740</xdr:rowOff>
    </xdr:from>
    <xdr:to>
      <xdr:col>9</xdr:col>
      <xdr:colOff>1388870</xdr:colOff>
      <xdr:row>44</xdr:row>
      <xdr:rowOff>78740</xdr:rowOff>
    </xdr:to>
    <xdr:cxnSp macro="_xll.PtreeEvent_ObjectClick">
      <xdr:nvCxnSpPr>
        <xdr:cNvPr id="115" name="PTObj_DBranchHLine_1_22">
          <a:extLst>
            <a:ext uri="{FF2B5EF4-FFF2-40B4-BE49-F238E27FC236}">
              <a16:creationId xmlns:a16="http://schemas.microsoft.com/office/drawing/2014/main" id="{284CE27C-7A57-4B53-9FE5-12CE054AA7BE}"/>
            </a:ext>
          </a:extLst>
        </xdr:cNvPr>
        <xdr:cNvCxnSpPr/>
      </xdr:nvCxnSpPr>
      <xdr:spPr>
        <a:xfrm>
          <a:off x="17206720" y="80416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42</xdr:row>
      <xdr:rowOff>73660</xdr:rowOff>
    </xdr:from>
    <xdr:to>
      <xdr:col>9</xdr:col>
      <xdr:colOff>204595</xdr:colOff>
      <xdr:row>44</xdr:row>
      <xdr:rowOff>78740</xdr:rowOff>
    </xdr:to>
    <xdr:cxnSp macro="_xll.PtreeEvent_ObjectClick">
      <xdr:nvCxnSpPr>
        <xdr:cNvPr id="114" name="PTObj_DBranchDLine_1_22">
          <a:extLst>
            <a:ext uri="{FF2B5EF4-FFF2-40B4-BE49-F238E27FC236}">
              <a16:creationId xmlns:a16="http://schemas.microsoft.com/office/drawing/2014/main" id="{3090F980-E5CD-4A11-BF6B-9B62ED5725C6}"/>
            </a:ext>
          </a:extLst>
        </xdr:cNvPr>
        <xdr:cNvCxnSpPr/>
      </xdr:nvCxnSpPr>
      <xdr:spPr>
        <a:xfrm>
          <a:off x="17054320" y="7674610"/>
          <a:ext cx="152400" cy="3670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42</xdr:row>
      <xdr:rowOff>74930</xdr:rowOff>
    </xdr:from>
    <xdr:to>
      <xdr:col>8</xdr:col>
      <xdr:colOff>1392681</xdr:colOff>
      <xdr:row>42</xdr:row>
      <xdr:rowOff>74930</xdr:rowOff>
    </xdr:to>
    <xdr:cxnSp macro="_xll.PtreeEvent_ObjectClick">
      <xdr:nvCxnSpPr>
        <xdr:cNvPr id="111" name="PTObj_DBranchHLine_1_21">
          <a:extLst>
            <a:ext uri="{FF2B5EF4-FFF2-40B4-BE49-F238E27FC236}">
              <a16:creationId xmlns:a16="http://schemas.microsoft.com/office/drawing/2014/main" id="{EDE3924E-7181-4061-93B2-FB74B415741C}"/>
            </a:ext>
          </a:extLst>
        </xdr:cNvPr>
        <xdr:cNvCxnSpPr/>
      </xdr:nvCxnSpPr>
      <xdr:spPr>
        <a:xfrm>
          <a:off x="15782734" y="76758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42</xdr:row>
      <xdr:rowOff>74930</xdr:rowOff>
    </xdr:from>
    <xdr:to>
      <xdr:col>8</xdr:col>
      <xdr:colOff>209359</xdr:colOff>
      <xdr:row>50</xdr:row>
      <xdr:rowOff>84138</xdr:rowOff>
    </xdr:to>
    <xdr:cxnSp macro="_xll.PtreeEvent_ObjectClick">
      <xdr:nvCxnSpPr>
        <xdr:cNvPr id="110" name="PTObj_DBranchDLine_1_21">
          <a:extLst>
            <a:ext uri="{FF2B5EF4-FFF2-40B4-BE49-F238E27FC236}">
              <a16:creationId xmlns:a16="http://schemas.microsoft.com/office/drawing/2014/main" id="{EE82FB7D-E933-4F1A-B49B-4DE700018720}"/>
            </a:ext>
          </a:extLst>
        </xdr:cNvPr>
        <xdr:cNvCxnSpPr/>
      </xdr:nvCxnSpPr>
      <xdr:spPr>
        <a:xfrm flipV="1">
          <a:off x="15630334" y="7675880"/>
          <a:ext cx="152400" cy="145700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50</xdr:row>
      <xdr:rowOff>90170</xdr:rowOff>
    </xdr:from>
    <xdr:to>
      <xdr:col>7</xdr:col>
      <xdr:colOff>1398397</xdr:colOff>
      <xdr:row>50</xdr:row>
      <xdr:rowOff>90170</xdr:rowOff>
    </xdr:to>
    <xdr:cxnSp macro="_xll.PtreeEvent_ObjectClick">
      <xdr:nvCxnSpPr>
        <xdr:cNvPr id="107" name="PTObj_DBranchHLine_1_25">
          <a:extLst>
            <a:ext uri="{FF2B5EF4-FFF2-40B4-BE49-F238E27FC236}">
              <a16:creationId xmlns:a16="http://schemas.microsoft.com/office/drawing/2014/main" id="{F4F9E9D4-96C6-481A-9B01-08A2081A55EC}"/>
            </a:ext>
          </a:extLst>
        </xdr:cNvPr>
        <xdr:cNvCxnSpPr/>
      </xdr:nvCxnSpPr>
      <xdr:spPr>
        <a:xfrm>
          <a:off x="14360652" y="913892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50</xdr:row>
      <xdr:rowOff>90170</xdr:rowOff>
    </xdr:from>
    <xdr:to>
      <xdr:col>7</xdr:col>
      <xdr:colOff>216027</xdr:colOff>
      <xdr:row>60</xdr:row>
      <xdr:rowOff>104141</xdr:rowOff>
    </xdr:to>
    <xdr:cxnSp macro="_xll.PtreeEvent_ObjectClick">
      <xdr:nvCxnSpPr>
        <xdr:cNvPr id="106" name="PTObj_DBranchDLine_1_25">
          <a:extLst>
            <a:ext uri="{FF2B5EF4-FFF2-40B4-BE49-F238E27FC236}">
              <a16:creationId xmlns:a16="http://schemas.microsoft.com/office/drawing/2014/main" id="{579D8D40-99FF-420C-982D-B985D5194455}"/>
            </a:ext>
          </a:extLst>
        </xdr:cNvPr>
        <xdr:cNvCxnSpPr/>
      </xdr:nvCxnSpPr>
      <xdr:spPr>
        <a:xfrm flipV="1">
          <a:off x="14208252" y="9138920"/>
          <a:ext cx="152400" cy="18237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220790</xdr:colOff>
      <xdr:row>60</xdr:row>
      <xdr:rowOff>109220</xdr:rowOff>
    </xdr:from>
    <xdr:to>
      <xdr:col>6</xdr:col>
      <xdr:colOff>1402207</xdr:colOff>
      <xdr:row>60</xdr:row>
      <xdr:rowOff>109220</xdr:rowOff>
    </xdr:to>
    <xdr:cxnSp macro="_xll.PtreeEvent_ObjectClick">
      <xdr:nvCxnSpPr>
        <xdr:cNvPr id="103" name="PTObj_DBranchHLine_1_30">
          <a:extLst>
            <a:ext uri="{FF2B5EF4-FFF2-40B4-BE49-F238E27FC236}">
              <a16:creationId xmlns:a16="http://schemas.microsoft.com/office/drawing/2014/main" id="{B690AED3-C6C0-486A-9B5B-3DA15B741401}"/>
            </a:ext>
          </a:extLst>
        </xdr:cNvPr>
        <xdr:cNvCxnSpPr/>
      </xdr:nvCxnSpPr>
      <xdr:spPr>
        <a:xfrm>
          <a:off x="12936665" y="10967720"/>
          <a:ext cx="11814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68390</xdr:colOff>
      <xdr:row>40</xdr:row>
      <xdr:rowOff>69850</xdr:rowOff>
    </xdr:from>
    <xdr:to>
      <xdr:col>6</xdr:col>
      <xdr:colOff>220790</xdr:colOff>
      <xdr:row>60</xdr:row>
      <xdr:rowOff>109220</xdr:rowOff>
    </xdr:to>
    <xdr:cxnSp macro="_xll.PtreeEvent_ObjectClick">
      <xdr:nvCxnSpPr>
        <xdr:cNvPr id="102" name="PTObj_DBranchDLine_1_30">
          <a:extLst>
            <a:ext uri="{FF2B5EF4-FFF2-40B4-BE49-F238E27FC236}">
              <a16:creationId xmlns:a16="http://schemas.microsoft.com/office/drawing/2014/main" id="{FC629D5E-8184-473B-B8F3-19BD8CAEC7B6}"/>
            </a:ext>
          </a:extLst>
        </xdr:cNvPr>
        <xdr:cNvCxnSpPr/>
      </xdr:nvCxnSpPr>
      <xdr:spPr>
        <a:xfrm>
          <a:off x="12784265" y="7308850"/>
          <a:ext cx="152400" cy="36588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38</xdr:row>
      <xdr:rowOff>67310</xdr:rowOff>
    </xdr:from>
    <xdr:to>
      <xdr:col>11</xdr:col>
      <xdr:colOff>1384111</xdr:colOff>
      <xdr:row>38</xdr:row>
      <xdr:rowOff>67310</xdr:rowOff>
    </xdr:to>
    <xdr:cxnSp macro="_xll.PtreeEvent_ObjectClick">
      <xdr:nvCxnSpPr>
        <xdr:cNvPr id="99" name="PTObj_DBranchHLine_1_19">
          <a:extLst>
            <a:ext uri="{FF2B5EF4-FFF2-40B4-BE49-F238E27FC236}">
              <a16:creationId xmlns:a16="http://schemas.microsoft.com/office/drawing/2014/main" id="{5D42675E-F79F-4F1A-B6DC-7F47B3473F7C}"/>
            </a:ext>
          </a:extLst>
        </xdr:cNvPr>
        <xdr:cNvCxnSpPr/>
      </xdr:nvCxnSpPr>
      <xdr:spPr>
        <a:xfrm>
          <a:off x="20056601" y="6944360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36</xdr:row>
      <xdr:rowOff>58420</xdr:rowOff>
    </xdr:from>
    <xdr:to>
      <xdr:col>11</xdr:col>
      <xdr:colOff>196976</xdr:colOff>
      <xdr:row>38</xdr:row>
      <xdr:rowOff>67310</xdr:rowOff>
    </xdr:to>
    <xdr:cxnSp macro="_xll.PtreeEvent_ObjectClick">
      <xdr:nvCxnSpPr>
        <xdr:cNvPr id="98" name="PTObj_DBranchDLine_1_19">
          <a:extLst>
            <a:ext uri="{FF2B5EF4-FFF2-40B4-BE49-F238E27FC236}">
              <a16:creationId xmlns:a16="http://schemas.microsoft.com/office/drawing/2014/main" id="{CF9A5450-89E5-41E1-B21F-2DAAEE1EE6EC}"/>
            </a:ext>
          </a:extLst>
        </xdr:cNvPr>
        <xdr:cNvCxnSpPr/>
      </xdr:nvCxnSpPr>
      <xdr:spPr>
        <a:xfrm>
          <a:off x="19904201" y="65735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36</xdr:row>
      <xdr:rowOff>63500</xdr:rowOff>
    </xdr:from>
    <xdr:to>
      <xdr:col>10</xdr:col>
      <xdr:colOff>1392681</xdr:colOff>
      <xdr:row>36</xdr:row>
      <xdr:rowOff>63500</xdr:rowOff>
    </xdr:to>
    <xdr:cxnSp macro="_xll.PtreeEvent_ObjectClick">
      <xdr:nvCxnSpPr>
        <xdr:cNvPr id="95" name="PTObj_DBranchHLine_1_18">
          <a:extLst>
            <a:ext uri="{FF2B5EF4-FFF2-40B4-BE49-F238E27FC236}">
              <a16:creationId xmlns:a16="http://schemas.microsoft.com/office/drawing/2014/main" id="{5E4C5A3D-BFDF-4DA7-BAF1-6194189939D9}"/>
            </a:ext>
          </a:extLst>
        </xdr:cNvPr>
        <xdr:cNvCxnSpPr/>
      </xdr:nvCxnSpPr>
      <xdr:spPr>
        <a:xfrm>
          <a:off x="18628804" y="65786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34</xdr:row>
      <xdr:rowOff>54610</xdr:rowOff>
    </xdr:from>
    <xdr:to>
      <xdr:col>10</xdr:col>
      <xdr:colOff>197929</xdr:colOff>
      <xdr:row>36</xdr:row>
      <xdr:rowOff>63500</xdr:rowOff>
    </xdr:to>
    <xdr:cxnSp macro="_xll.PtreeEvent_ObjectClick">
      <xdr:nvCxnSpPr>
        <xdr:cNvPr id="94" name="PTObj_DBranchDLine_1_18">
          <a:extLst>
            <a:ext uri="{FF2B5EF4-FFF2-40B4-BE49-F238E27FC236}">
              <a16:creationId xmlns:a16="http://schemas.microsoft.com/office/drawing/2014/main" id="{7D942513-9230-4076-9447-51C014268866}"/>
            </a:ext>
          </a:extLst>
        </xdr:cNvPr>
        <xdr:cNvCxnSpPr/>
      </xdr:nvCxnSpPr>
      <xdr:spPr>
        <a:xfrm>
          <a:off x="18476404" y="6207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34</xdr:row>
      <xdr:rowOff>59690</xdr:rowOff>
    </xdr:from>
    <xdr:to>
      <xdr:col>9</xdr:col>
      <xdr:colOff>1388870</xdr:colOff>
      <xdr:row>34</xdr:row>
      <xdr:rowOff>59690</xdr:rowOff>
    </xdr:to>
    <xdr:cxnSp macro="_xll.PtreeEvent_ObjectClick">
      <xdr:nvCxnSpPr>
        <xdr:cNvPr id="91" name="PTObj_DBranchHLine_1_17">
          <a:extLst>
            <a:ext uri="{FF2B5EF4-FFF2-40B4-BE49-F238E27FC236}">
              <a16:creationId xmlns:a16="http://schemas.microsoft.com/office/drawing/2014/main" id="{AC947D94-0244-43E3-B4B4-0847C5DED9FA}"/>
            </a:ext>
          </a:extLst>
        </xdr:cNvPr>
        <xdr:cNvCxnSpPr/>
      </xdr:nvCxnSpPr>
      <xdr:spPr>
        <a:xfrm>
          <a:off x="17206720" y="62128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32</xdr:row>
      <xdr:rowOff>46990</xdr:rowOff>
    </xdr:from>
    <xdr:to>
      <xdr:col>9</xdr:col>
      <xdr:colOff>204595</xdr:colOff>
      <xdr:row>34</xdr:row>
      <xdr:rowOff>59690</xdr:rowOff>
    </xdr:to>
    <xdr:cxnSp macro="_xll.PtreeEvent_ObjectClick">
      <xdr:nvCxnSpPr>
        <xdr:cNvPr id="90" name="PTObj_DBranchDLine_1_17">
          <a:extLst>
            <a:ext uri="{FF2B5EF4-FFF2-40B4-BE49-F238E27FC236}">
              <a16:creationId xmlns:a16="http://schemas.microsoft.com/office/drawing/2014/main" id="{B57A520C-7DBA-49EE-9376-7188FADEB96F}"/>
            </a:ext>
          </a:extLst>
        </xdr:cNvPr>
        <xdr:cNvCxnSpPr/>
      </xdr:nvCxnSpPr>
      <xdr:spPr>
        <a:xfrm>
          <a:off x="17054320" y="583819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32</xdr:row>
      <xdr:rowOff>55880</xdr:rowOff>
    </xdr:from>
    <xdr:to>
      <xdr:col>8</xdr:col>
      <xdr:colOff>1392681</xdr:colOff>
      <xdr:row>32</xdr:row>
      <xdr:rowOff>55880</xdr:rowOff>
    </xdr:to>
    <xdr:cxnSp macro="_xll.PtreeEvent_ObjectClick">
      <xdr:nvCxnSpPr>
        <xdr:cNvPr id="87" name="PTObj_DBranchHLine_1_16">
          <a:extLst>
            <a:ext uri="{FF2B5EF4-FFF2-40B4-BE49-F238E27FC236}">
              <a16:creationId xmlns:a16="http://schemas.microsoft.com/office/drawing/2014/main" id="{EB88637A-384C-43F5-BE78-4AED08DD81A7}"/>
            </a:ext>
          </a:extLst>
        </xdr:cNvPr>
        <xdr:cNvCxnSpPr/>
      </xdr:nvCxnSpPr>
      <xdr:spPr>
        <a:xfrm>
          <a:off x="15782734" y="58470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30</xdr:row>
      <xdr:rowOff>42228</xdr:rowOff>
    </xdr:from>
    <xdr:to>
      <xdr:col>8</xdr:col>
      <xdr:colOff>209359</xdr:colOff>
      <xdr:row>32</xdr:row>
      <xdr:rowOff>55880</xdr:rowOff>
    </xdr:to>
    <xdr:cxnSp macro="_xll.PtreeEvent_ObjectClick">
      <xdr:nvCxnSpPr>
        <xdr:cNvPr id="86" name="PTObj_DBranchDLine_1_16">
          <a:extLst>
            <a:ext uri="{FF2B5EF4-FFF2-40B4-BE49-F238E27FC236}">
              <a16:creationId xmlns:a16="http://schemas.microsoft.com/office/drawing/2014/main" id="{7B1FC988-62A6-4CFA-B883-FA9780CC0296}"/>
            </a:ext>
          </a:extLst>
        </xdr:cNvPr>
        <xdr:cNvCxnSpPr/>
      </xdr:nvCxnSpPr>
      <xdr:spPr>
        <a:xfrm>
          <a:off x="15630334" y="5471478"/>
          <a:ext cx="152400" cy="37560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28</xdr:row>
      <xdr:rowOff>48260</xdr:rowOff>
    </xdr:from>
    <xdr:to>
      <xdr:col>11</xdr:col>
      <xdr:colOff>1385063</xdr:colOff>
      <xdr:row>28</xdr:row>
      <xdr:rowOff>48260</xdr:rowOff>
    </xdr:to>
    <xdr:cxnSp macro="_xll.PtreeEvent_ObjectClick">
      <xdr:nvCxnSpPr>
        <xdr:cNvPr id="83" name="PTObj_DBranchHLine_1_14">
          <a:extLst>
            <a:ext uri="{FF2B5EF4-FFF2-40B4-BE49-F238E27FC236}">
              <a16:creationId xmlns:a16="http://schemas.microsoft.com/office/drawing/2014/main" id="{04FD8B0B-3007-45E0-8ABC-033269FCC443}"/>
            </a:ext>
          </a:extLst>
        </xdr:cNvPr>
        <xdr:cNvCxnSpPr/>
      </xdr:nvCxnSpPr>
      <xdr:spPr>
        <a:xfrm>
          <a:off x="20056601" y="511556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26</xdr:row>
      <xdr:rowOff>35560</xdr:rowOff>
    </xdr:from>
    <xdr:to>
      <xdr:col>11</xdr:col>
      <xdr:colOff>196976</xdr:colOff>
      <xdr:row>28</xdr:row>
      <xdr:rowOff>48260</xdr:rowOff>
    </xdr:to>
    <xdr:cxnSp macro="_xll.PtreeEvent_ObjectClick">
      <xdr:nvCxnSpPr>
        <xdr:cNvPr id="82" name="PTObj_DBranchDLine_1_14">
          <a:extLst>
            <a:ext uri="{FF2B5EF4-FFF2-40B4-BE49-F238E27FC236}">
              <a16:creationId xmlns:a16="http://schemas.microsoft.com/office/drawing/2014/main" id="{EBDBAC12-D07B-47FC-860E-5B0CAAF09749}"/>
            </a:ext>
          </a:extLst>
        </xdr:cNvPr>
        <xdr:cNvCxnSpPr/>
      </xdr:nvCxnSpPr>
      <xdr:spPr>
        <a:xfrm>
          <a:off x="19904201" y="474091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26</xdr:row>
      <xdr:rowOff>44450</xdr:rowOff>
    </xdr:from>
    <xdr:to>
      <xdr:col>10</xdr:col>
      <xdr:colOff>1392681</xdr:colOff>
      <xdr:row>26</xdr:row>
      <xdr:rowOff>44450</xdr:rowOff>
    </xdr:to>
    <xdr:cxnSp macro="_xll.PtreeEvent_ObjectClick">
      <xdr:nvCxnSpPr>
        <xdr:cNvPr id="79" name="PTObj_DBranchHLine_1_13">
          <a:extLst>
            <a:ext uri="{FF2B5EF4-FFF2-40B4-BE49-F238E27FC236}">
              <a16:creationId xmlns:a16="http://schemas.microsoft.com/office/drawing/2014/main" id="{F4BA4776-339D-4DC5-B298-2A78DC753791}"/>
            </a:ext>
          </a:extLst>
        </xdr:cNvPr>
        <xdr:cNvCxnSpPr/>
      </xdr:nvCxnSpPr>
      <xdr:spPr>
        <a:xfrm>
          <a:off x="18628804" y="47498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24</xdr:row>
      <xdr:rowOff>39370</xdr:rowOff>
    </xdr:from>
    <xdr:to>
      <xdr:col>10</xdr:col>
      <xdr:colOff>197929</xdr:colOff>
      <xdr:row>26</xdr:row>
      <xdr:rowOff>44450</xdr:rowOff>
    </xdr:to>
    <xdr:cxnSp macro="_xll.PtreeEvent_ObjectClick">
      <xdr:nvCxnSpPr>
        <xdr:cNvPr id="78" name="PTObj_DBranchDLine_1_13">
          <a:extLst>
            <a:ext uri="{FF2B5EF4-FFF2-40B4-BE49-F238E27FC236}">
              <a16:creationId xmlns:a16="http://schemas.microsoft.com/office/drawing/2014/main" id="{AF70E2C7-17F3-453C-A198-89AED84722D4}"/>
            </a:ext>
          </a:extLst>
        </xdr:cNvPr>
        <xdr:cNvCxnSpPr/>
      </xdr:nvCxnSpPr>
      <xdr:spPr>
        <a:xfrm>
          <a:off x="18476404" y="4382770"/>
          <a:ext cx="152400" cy="3670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24</xdr:row>
      <xdr:rowOff>40640</xdr:rowOff>
    </xdr:from>
    <xdr:to>
      <xdr:col>9</xdr:col>
      <xdr:colOff>1388870</xdr:colOff>
      <xdr:row>24</xdr:row>
      <xdr:rowOff>40640</xdr:rowOff>
    </xdr:to>
    <xdr:cxnSp macro="_xll.PtreeEvent_ObjectClick">
      <xdr:nvCxnSpPr>
        <xdr:cNvPr id="75" name="PTObj_DBranchHLine_1_12">
          <a:extLst>
            <a:ext uri="{FF2B5EF4-FFF2-40B4-BE49-F238E27FC236}">
              <a16:creationId xmlns:a16="http://schemas.microsoft.com/office/drawing/2014/main" id="{74BD1445-CE4D-44F7-9173-6BC8F98F1E1B}"/>
            </a:ext>
          </a:extLst>
        </xdr:cNvPr>
        <xdr:cNvCxnSpPr/>
      </xdr:nvCxnSpPr>
      <xdr:spPr>
        <a:xfrm>
          <a:off x="17206720" y="43840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22</xdr:row>
      <xdr:rowOff>35560</xdr:rowOff>
    </xdr:from>
    <xdr:to>
      <xdr:col>9</xdr:col>
      <xdr:colOff>204595</xdr:colOff>
      <xdr:row>24</xdr:row>
      <xdr:rowOff>40640</xdr:rowOff>
    </xdr:to>
    <xdr:cxnSp macro="_xll.PtreeEvent_ObjectClick">
      <xdr:nvCxnSpPr>
        <xdr:cNvPr id="74" name="PTObj_DBranchDLine_1_12">
          <a:extLst>
            <a:ext uri="{FF2B5EF4-FFF2-40B4-BE49-F238E27FC236}">
              <a16:creationId xmlns:a16="http://schemas.microsoft.com/office/drawing/2014/main" id="{82FDDD0B-3FB6-4EBF-A0A8-7A8DBAAEB78F}"/>
            </a:ext>
          </a:extLst>
        </xdr:cNvPr>
        <xdr:cNvCxnSpPr/>
      </xdr:nvCxnSpPr>
      <xdr:spPr>
        <a:xfrm>
          <a:off x="17054320" y="4017010"/>
          <a:ext cx="152400" cy="3670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22</xdr:row>
      <xdr:rowOff>36830</xdr:rowOff>
    </xdr:from>
    <xdr:to>
      <xdr:col>8</xdr:col>
      <xdr:colOff>1392681</xdr:colOff>
      <xdr:row>22</xdr:row>
      <xdr:rowOff>36830</xdr:rowOff>
    </xdr:to>
    <xdr:cxnSp macro="_xll.PtreeEvent_ObjectClick">
      <xdr:nvCxnSpPr>
        <xdr:cNvPr id="71" name="PTObj_DBranchHLine_1_11">
          <a:extLst>
            <a:ext uri="{FF2B5EF4-FFF2-40B4-BE49-F238E27FC236}">
              <a16:creationId xmlns:a16="http://schemas.microsoft.com/office/drawing/2014/main" id="{4308CE0B-71F8-4D54-9467-0E66A7ACB8EA}"/>
            </a:ext>
          </a:extLst>
        </xdr:cNvPr>
        <xdr:cNvCxnSpPr/>
      </xdr:nvCxnSpPr>
      <xdr:spPr>
        <a:xfrm>
          <a:off x="15782734" y="40182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22</xdr:row>
      <xdr:rowOff>36830</xdr:rowOff>
    </xdr:from>
    <xdr:to>
      <xdr:col>8</xdr:col>
      <xdr:colOff>209359</xdr:colOff>
      <xdr:row>30</xdr:row>
      <xdr:rowOff>42228</xdr:rowOff>
    </xdr:to>
    <xdr:cxnSp macro="_xll.PtreeEvent_ObjectClick">
      <xdr:nvCxnSpPr>
        <xdr:cNvPr id="70" name="PTObj_DBranchDLine_1_11">
          <a:extLst>
            <a:ext uri="{FF2B5EF4-FFF2-40B4-BE49-F238E27FC236}">
              <a16:creationId xmlns:a16="http://schemas.microsoft.com/office/drawing/2014/main" id="{10F8A264-A290-43BA-9F98-2C9188A3599F}"/>
            </a:ext>
          </a:extLst>
        </xdr:cNvPr>
        <xdr:cNvCxnSpPr/>
      </xdr:nvCxnSpPr>
      <xdr:spPr>
        <a:xfrm flipV="1">
          <a:off x="15630334" y="4018280"/>
          <a:ext cx="152400" cy="145319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217932</xdr:colOff>
      <xdr:row>30</xdr:row>
      <xdr:rowOff>52070</xdr:rowOff>
    </xdr:from>
    <xdr:to>
      <xdr:col>7</xdr:col>
      <xdr:colOff>1398397</xdr:colOff>
      <xdr:row>30</xdr:row>
      <xdr:rowOff>52070</xdr:rowOff>
    </xdr:to>
    <xdr:cxnSp macro="_xll.PtreeEvent_ObjectClick">
      <xdr:nvCxnSpPr>
        <xdr:cNvPr id="67" name="PTObj_DBranchHLine_1_15">
          <a:extLst>
            <a:ext uri="{FF2B5EF4-FFF2-40B4-BE49-F238E27FC236}">
              <a16:creationId xmlns:a16="http://schemas.microsoft.com/office/drawing/2014/main" id="{06AF5355-C4F6-4EB0-8439-947A2AEA853E}"/>
            </a:ext>
          </a:extLst>
        </xdr:cNvPr>
        <xdr:cNvCxnSpPr/>
      </xdr:nvCxnSpPr>
      <xdr:spPr>
        <a:xfrm>
          <a:off x="14362557" y="5481320"/>
          <a:ext cx="118046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</xdr:colOff>
      <xdr:row>20</xdr:row>
      <xdr:rowOff>31750</xdr:rowOff>
    </xdr:from>
    <xdr:to>
      <xdr:col>7</xdr:col>
      <xdr:colOff>217932</xdr:colOff>
      <xdr:row>30</xdr:row>
      <xdr:rowOff>52070</xdr:rowOff>
    </xdr:to>
    <xdr:cxnSp macro="_xll.PtreeEvent_ObjectClick">
      <xdr:nvCxnSpPr>
        <xdr:cNvPr id="66" name="PTObj_DBranchDLine_1_15">
          <a:extLst>
            <a:ext uri="{FF2B5EF4-FFF2-40B4-BE49-F238E27FC236}">
              <a16:creationId xmlns:a16="http://schemas.microsoft.com/office/drawing/2014/main" id="{C5392503-F92C-4FD4-BEB8-13A981B64471}"/>
            </a:ext>
          </a:extLst>
        </xdr:cNvPr>
        <xdr:cNvCxnSpPr/>
      </xdr:nvCxnSpPr>
      <xdr:spPr>
        <a:xfrm>
          <a:off x="14210157" y="3651250"/>
          <a:ext cx="152400" cy="183007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18</xdr:row>
      <xdr:rowOff>29210</xdr:rowOff>
    </xdr:from>
    <xdr:to>
      <xdr:col>11</xdr:col>
      <xdr:colOff>1384111</xdr:colOff>
      <xdr:row>18</xdr:row>
      <xdr:rowOff>29210</xdr:rowOff>
    </xdr:to>
    <xdr:cxnSp macro="_xll.PtreeEvent_ObjectClick">
      <xdr:nvCxnSpPr>
        <xdr:cNvPr id="63" name="PTObj_DBranchHLine_1_9">
          <a:extLst>
            <a:ext uri="{FF2B5EF4-FFF2-40B4-BE49-F238E27FC236}">
              <a16:creationId xmlns:a16="http://schemas.microsoft.com/office/drawing/2014/main" id="{9A03FFB8-8D96-403A-82DE-D917E549DE62}"/>
            </a:ext>
          </a:extLst>
        </xdr:cNvPr>
        <xdr:cNvCxnSpPr/>
      </xdr:nvCxnSpPr>
      <xdr:spPr>
        <a:xfrm>
          <a:off x="20056601" y="3286760"/>
          <a:ext cx="118713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16</xdr:row>
      <xdr:rowOff>20320</xdr:rowOff>
    </xdr:from>
    <xdr:to>
      <xdr:col>11</xdr:col>
      <xdr:colOff>196976</xdr:colOff>
      <xdr:row>18</xdr:row>
      <xdr:rowOff>29210</xdr:rowOff>
    </xdr:to>
    <xdr:cxnSp macro="_xll.PtreeEvent_ObjectClick">
      <xdr:nvCxnSpPr>
        <xdr:cNvPr id="62" name="PTObj_DBranchDLine_1_9">
          <a:extLst>
            <a:ext uri="{FF2B5EF4-FFF2-40B4-BE49-F238E27FC236}">
              <a16:creationId xmlns:a16="http://schemas.microsoft.com/office/drawing/2014/main" id="{49429B9D-761B-4D2B-A04B-D65E56C1D168}"/>
            </a:ext>
          </a:extLst>
        </xdr:cNvPr>
        <xdr:cNvCxnSpPr/>
      </xdr:nvCxnSpPr>
      <xdr:spPr>
        <a:xfrm>
          <a:off x="19904201" y="29159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16</xdr:row>
      <xdr:rowOff>25400</xdr:rowOff>
    </xdr:from>
    <xdr:to>
      <xdr:col>10</xdr:col>
      <xdr:colOff>1392681</xdr:colOff>
      <xdr:row>16</xdr:row>
      <xdr:rowOff>25400</xdr:rowOff>
    </xdr:to>
    <xdr:cxnSp macro="_xll.PtreeEvent_ObjectClick">
      <xdr:nvCxnSpPr>
        <xdr:cNvPr id="59" name="PTObj_DBranchHLine_1_8">
          <a:extLst>
            <a:ext uri="{FF2B5EF4-FFF2-40B4-BE49-F238E27FC236}">
              <a16:creationId xmlns:a16="http://schemas.microsoft.com/office/drawing/2014/main" id="{DC5B4549-17DF-4F40-97D4-9EB57FF246A9}"/>
            </a:ext>
          </a:extLst>
        </xdr:cNvPr>
        <xdr:cNvCxnSpPr/>
      </xdr:nvCxnSpPr>
      <xdr:spPr>
        <a:xfrm>
          <a:off x="18628804" y="29210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14</xdr:row>
      <xdr:rowOff>16510</xdr:rowOff>
    </xdr:from>
    <xdr:to>
      <xdr:col>10</xdr:col>
      <xdr:colOff>197929</xdr:colOff>
      <xdr:row>16</xdr:row>
      <xdr:rowOff>25400</xdr:rowOff>
    </xdr:to>
    <xdr:cxnSp macro="_xll.PtreeEvent_ObjectClick">
      <xdr:nvCxnSpPr>
        <xdr:cNvPr id="58" name="PTObj_DBranchDLine_1_8">
          <a:extLst>
            <a:ext uri="{FF2B5EF4-FFF2-40B4-BE49-F238E27FC236}">
              <a16:creationId xmlns:a16="http://schemas.microsoft.com/office/drawing/2014/main" id="{DD5EFDCD-4979-417B-A1AD-E124BBC171D1}"/>
            </a:ext>
          </a:extLst>
        </xdr:cNvPr>
        <xdr:cNvCxnSpPr/>
      </xdr:nvCxnSpPr>
      <xdr:spPr>
        <a:xfrm>
          <a:off x="18476404" y="25501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14</xdr:row>
      <xdr:rowOff>21590</xdr:rowOff>
    </xdr:from>
    <xdr:to>
      <xdr:col>9</xdr:col>
      <xdr:colOff>1388870</xdr:colOff>
      <xdr:row>14</xdr:row>
      <xdr:rowOff>21590</xdr:rowOff>
    </xdr:to>
    <xdr:cxnSp macro="_xll.PtreeEvent_ObjectClick">
      <xdr:nvCxnSpPr>
        <xdr:cNvPr id="55" name="PTObj_DBranchHLine_1_7">
          <a:extLst>
            <a:ext uri="{FF2B5EF4-FFF2-40B4-BE49-F238E27FC236}">
              <a16:creationId xmlns:a16="http://schemas.microsoft.com/office/drawing/2014/main" id="{BDBD9B1F-2294-4CD8-9227-CBB549B42E90}"/>
            </a:ext>
          </a:extLst>
        </xdr:cNvPr>
        <xdr:cNvCxnSpPr/>
      </xdr:nvCxnSpPr>
      <xdr:spPr>
        <a:xfrm>
          <a:off x="17206720" y="25552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12</xdr:row>
      <xdr:rowOff>8890</xdr:rowOff>
    </xdr:from>
    <xdr:to>
      <xdr:col>9</xdr:col>
      <xdr:colOff>204595</xdr:colOff>
      <xdr:row>14</xdr:row>
      <xdr:rowOff>21590</xdr:rowOff>
    </xdr:to>
    <xdr:cxnSp macro="_xll.PtreeEvent_ObjectClick">
      <xdr:nvCxnSpPr>
        <xdr:cNvPr id="54" name="PTObj_DBranchDLine_1_7">
          <a:extLst>
            <a:ext uri="{FF2B5EF4-FFF2-40B4-BE49-F238E27FC236}">
              <a16:creationId xmlns:a16="http://schemas.microsoft.com/office/drawing/2014/main" id="{FA2092E2-452B-41C7-B915-13F5842B3B52}"/>
            </a:ext>
          </a:extLst>
        </xdr:cNvPr>
        <xdr:cNvCxnSpPr/>
      </xdr:nvCxnSpPr>
      <xdr:spPr>
        <a:xfrm>
          <a:off x="17054320" y="218059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12</xdr:row>
      <xdr:rowOff>17780</xdr:rowOff>
    </xdr:from>
    <xdr:to>
      <xdr:col>8</xdr:col>
      <xdr:colOff>1392681</xdr:colOff>
      <xdr:row>12</xdr:row>
      <xdr:rowOff>17780</xdr:rowOff>
    </xdr:to>
    <xdr:cxnSp macro="_xll.PtreeEvent_ObjectClick">
      <xdr:nvCxnSpPr>
        <xdr:cNvPr id="51" name="PTObj_DBranchHLine_1_6">
          <a:extLst>
            <a:ext uri="{FF2B5EF4-FFF2-40B4-BE49-F238E27FC236}">
              <a16:creationId xmlns:a16="http://schemas.microsoft.com/office/drawing/2014/main" id="{E43EF251-1533-4CA9-BC0D-D50ECE591FB0}"/>
            </a:ext>
          </a:extLst>
        </xdr:cNvPr>
        <xdr:cNvCxnSpPr/>
      </xdr:nvCxnSpPr>
      <xdr:spPr>
        <a:xfrm>
          <a:off x="15782734" y="21894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10</xdr:row>
      <xdr:rowOff>4127</xdr:rowOff>
    </xdr:from>
    <xdr:to>
      <xdr:col>8</xdr:col>
      <xdr:colOff>209359</xdr:colOff>
      <xdr:row>12</xdr:row>
      <xdr:rowOff>17780</xdr:rowOff>
    </xdr:to>
    <xdr:cxnSp macro="_xll.PtreeEvent_ObjectClick">
      <xdr:nvCxnSpPr>
        <xdr:cNvPr id="50" name="PTObj_DBranchDLine_1_6">
          <a:extLst>
            <a:ext uri="{FF2B5EF4-FFF2-40B4-BE49-F238E27FC236}">
              <a16:creationId xmlns:a16="http://schemas.microsoft.com/office/drawing/2014/main" id="{54DB0E05-345F-4E72-B5C0-852D8EFED5AA}"/>
            </a:ext>
          </a:extLst>
        </xdr:cNvPr>
        <xdr:cNvCxnSpPr/>
      </xdr:nvCxnSpPr>
      <xdr:spPr>
        <a:xfrm>
          <a:off x="15630334" y="1813877"/>
          <a:ext cx="152400" cy="37560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196976</xdr:colOff>
      <xdr:row>8</xdr:row>
      <xdr:rowOff>10160</xdr:rowOff>
    </xdr:from>
    <xdr:to>
      <xdr:col>11</xdr:col>
      <xdr:colOff>1385063</xdr:colOff>
      <xdr:row>8</xdr:row>
      <xdr:rowOff>10160</xdr:rowOff>
    </xdr:to>
    <xdr:cxnSp macro="_xll.PtreeEvent_ObjectClick">
      <xdr:nvCxnSpPr>
        <xdr:cNvPr id="47" name="PTObj_DBranchHLine_1_4">
          <a:extLst>
            <a:ext uri="{FF2B5EF4-FFF2-40B4-BE49-F238E27FC236}">
              <a16:creationId xmlns:a16="http://schemas.microsoft.com/office/drawing/2014/main" id="{543610B5-234D-44B7-AD14-D125CF5E041E}"/>
            </a:ext>
          </a:extLst>
        </xdr:cNvPr>
        <xdr:cNvCxnSpPr/>
      </xdr:nvCxnSpPr>
      <xdr:spPr>
        <a:xfrm>
          <a:off x="20056601" y="1457960"/>
          <a:ext cx="118808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44576</xdr:colOff>
      <xdr:row>5</xdr:row>
      <xdr:rowOff>178435</xdr:rowOff>
    </xdr:from>
    <xdr:to>
      <xdr:col>11</xdr:col>
      <xdr:colOff>196976</xdr:colOff>
      <xdr:row>8</xdr:row>
      <xdr:rowOff>10160</xdr:rowOff>
    </xdr:to>
    <xdr:cxnSp macro="_xll.PtreeEvent_ObjectClick">
      <xdr:nvCxnSpPr>
        <xdr:cNvPr id="46" name="PTObj_DBranchDLine_1_4">
          <a:extLst>
            <a:ext uri="{FF2B5EF4-FFF2-40B4-BE49-F238E27FC236}">
              <a16:creationId xmlns:a16="http://schemas.microsoft.com/office/drawing/2014/main" id="{68350BC7-A210-497F-BCD1-A590A40619BB}"/>
            </a:ext>
          </a:extLst>
        </xdr:cNvPr>
        <xdr:cNvCxnSpPr/>
      </xdr:nvCxnSpPr>
      <xdr:spPr>
        <a:xfrm>
          <a:off x="19904201" y="1083310"/>
          <a:ext cx="152400" cy="374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197929</xdr:colOff>
      <xdr:row>6</xdr:row>
      <xdr:rowOff>6350</xdr:rowOff>
    </xdr:from>
    <xdr:to>
      <xdr:col>10</xdr:col>
      <xdr:colOff>1392681</xdr:colOff>
      <xdr:row>6</xdr:row>
      <xdr:rowOff>6350</xdr:rowOff>
    </xdr:to>
    <xdr:cxnSp macro="_xll.PtreeEvent_ObjectClick">
      <xdr:nvCxnSpPr>
        <xdr:cNvPr id="43" name="PTObj_DBranchHLine_1_3">
          <a:extLst>
            <a:ext uri="{FF2B5EF4-FFF2-40B4-BE49-F238E27FC236}">
              <a16:creationId xmlns:a16="http://schemas.microsoft.com/office/drawing/2014/main" id="{119E1922-612B-493A-BEF1-C246C1174B3A}"/>
            </a:ext>
          </a:extLst>
        </xdr:cNvPr>
        <xdr:cNvCxnSpPr/>
      </xdr:nvCxnSpPr>
      <xdr:spPr>
        <a:xfrm>
          <a:off x="18628804" y="1092200"/>
          <a:ext cx="1194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45529</xdr:colOff>
      <xdr:row>4</xdr:row>
      <xdr:rowOff>1270</xdr:rowOff>
    </xdr:from>
    <xdr:to>
      <xdr:col>10</xdr:col>
      <xdr:colOff>197929</xdr:colOff>
      <xdr:row>6</xdr:row>
      <xdr:rowOff>6350</xdr:rowOff>
    </xdr:to>
    <xdr:cxnSp macro="_xll.PtreeEvent_ObjectClick">
      <xdr:nvCxnSpPr>
        <xdr:cNvPr id="42" name="PTObj_DBranchDLine_1_3">
          <a:extLst>
            <a:ext uri="{FF2B5EF4-FFF2-40B4-BE49-F238E27FC236}">
              <a16:creationId xmlns:a16="http://schemas.microsoft.com/office/drawing/2014/main" id="{3486C5AA-550F-4EF3-AC07-F1AE4412C59A}"/>
            </a:ext>
          </a:extLst>
        </xdr:cNvPr>
        <xdr:cNvCxnSpPr/>
      </xdr:nvCxnSpPr>
      <xdr:spPr>
        <a:xfrm>
          <a:off x="18476404" y="725170"/>
          <a:ext cx="152400" cy="3670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204595</xdr:colOff>
      <xdr:row>4</xdr:row>
      <xdr:rowOff>2540</xdr:rowOff>
    </xdr:from>
    <xdr:to>
      <xdr:col>9</xdr:col>
      <xdr:colOff>1388870</xdr:colOff>
      <xdr:row>4</xdr:row>
      <xdr:rowOff>2540</xdr:rowOff>
    </xdr:to>
    <xdr:cxnSp macro="_xll.PtreeEvent_ObjectClick">
      <xdr:nvCxnSpPr>
        <xdr:cNvPr id="39" name="PTObj_DBranchHLine_1_2">
          <a:extLst>
            <a:ext uri="{FF2B5EF4-FFF2-40B4-BE49-F238E27FC236}">
              <a16:creationId xmlns:a16="http://schemas.microsoft.com/office/drawing/2014/main" id="{CF4AF787-9A5A-404F-ABD1-95C4B340C1C9}"/>
            </a:ext>
          </a:extLst>
        </xdr:cNvPr>
        <xdr:cNvCxnSpPr/>
      </xdr:nvCxnSpPr>
      <xdr:spPr>
        <a:xfrm>
          <a:off x="17206720" y="72644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52195</xdr:colOff>
      <xdr:row>1</xdr:row>
      <xdr:rowOff>178435</xdr:rowOff>
    </xdr:from>
    <xdr:to>
      <xdr:col>9</xdr:col>
      <xdr:colOff>204595</xdr:colOff>
      <xdr:row>4</xdr:row>
      <xdr:rowOff>2540</xdr:rowOff>
    </xdr:to>
    <xdr:cxnSp macro="_xll.PtreeEvent_ObjectClick">
      <xdr:nvCxnSpPr>
        <xdr:cNvPr id="38" name="PTObj_DBranchDLine_1_2">
          <a:extLst>
            <a:ext uri="{FF2B5EF4-FFF2-40B4-BE49-F238E27FC236}">
              <a16:creationId xmlns:a16="http://schemas.microsoft.com/office/drawing/2014/main" id="{DFF99459-C509-42DD-833A-01FBC7E719F1}"/>
            </a:ext>
          </a:extLst>
        </xdr:cNvPr>
        <xdr:cNvCxnSpPr/>
      </xdr:nvCxnSpPr>
      <xdr:spPr>
        <a:xfrm>
          <a:off x="17054320" y="359410"/>
          <a:ext cx="152400" cy="36703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209359</xdr:colOff>
      <xdr:row>1</xdr:row>
      <xdr:rowOff>179705</xdr:rowOff>
    </xdr:from>
    <xdr:to>
      <xdr:col>8</xdr:col>
      <xdr:colOff>1392681</xdr:colOff>
      <xdr:row>1</xdr:row>
      <xdr:rowOff>179705</xdr:rowOff>
    </xdr:to>
    <xdr:cxnSp macro="_xll.PtreeEvent_ObjectClick">
      <xdr:nvCxnSpPr>
        <xdr:cNvPr id="35" name="PTObj_DBranchHLine_1_1">
          <a:extLst>
            <a:ext uri="{FF2B5EF4-FFF2-40B4-BE49-F238E27FC236}">
              <a16:creationId xmlns:a16="http://schemas.microsoft.com/office/drawing/2014/main" id="{150D862F-E03E-4FCB-8C8C-480EA9722F32}"/>
            </a:ext>
          </a:extLst>
        </xdr:cNvPr>
        <xdr:cNvCxnSpPr/>
      </xdr:nvCxnSpPr>
      <xdr:spPr>
        <a:xfrm>
          <a:off x="15782734" y="360680"/>
          <a:ext cx="118332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56959</xdr:colOff>
      <xdr:row>1</xdr:row>
      <xdr:rowOff>179705</xdr:rowOff>
    </xdr:from>
    <xdr:to>
      <xdr:col>8</xdr:col>
      <xdr:colOff>209359</xdr:colOff>
      <xdr:row>10</xdr:row>
      <xdr:rowOff>4127</xdr:rowOff>
    </xdr:to>
    <xdr:cxnSp macro="_xll.PtreeEvent_ObjectClick">
      <xdr:nvCxnSpPr>
        <xdr:cNvPr id="34" name="PTObj_DBranchDLine_1_1">
          <a:extLst>
            <a:ext uri="{FF2B5EF4-FFF2-40B4-BE49-F238E27FC236}">
              <a16:creationId xmlns:a16="http://schemas.microsoft.com/office/drawing/2014/main" id="{DFAD0F74-3F6B-466E-943D-CB61293AAB3F}"/>
            </a:ext>
          </a:extLst>
        </xdr:cNvPr>
        <xdr:cNvCxnSpPr/>
      </xdr:nvCxnSpPr>
      <xdr:spPr>
        <a:xfrm flipV="1">
          <a:off x="15630334" y="360680"/>
          <a:ext cx="152400" cy="145319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216027</xdr:colOff>
      <xdr:row>10</xdr:row>
      <xdr:rowOff>13970</xdr:rowOff>
    </xdr:from>
    <xdr:to>
      <xdr:col>7</xdr:col>
      <xdr:colOff>1398397</xdr:colOff>
      <xdr:row>10</xdr:row>
      <xdr:rowOff>13970</xdr:rowOff>
    </xdr:to>
    <xdr:cxnSp macro="_xll.PtreeEvent_ObjectClick">
      <xdr:nvCxnSpPr>
        <xdr:cNvPr id="31" name="PTObj_DBranchHLine_1_5">
          <a:extLst>
            <a:ext uri="{FF2B5EF4-FFF2-40B4-BE49-F238E27FC236}">
              <a16:creationId xmlns:a16="http://schemas.microsoft.com/office/drawing/2014/main" id="{00176297-2F89-4088-A816-9411B4312D34}"/>
            </a:ext>
          </a:extLst>
        </xdr:cNvPr>
        <xdr:cNvCxnSpPr/>
      </xdr:nvCxnSpPr>
      <xdr:spPr>
        <a:xfrm>
          <a:off x="14360652" y="1823720"/>
          <a:ext cx="11823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</xdr:colOff>
      <xdr:row>10</xdr:row>
      <xdr:rowOff>13970</xdr:rowOff>
    </xdr:from>
    <xdr:to>
      <xdr:col>7</xdr:col>
      <xdr:colOff>216027</xdr:colOff>
      <xdr:row>20</xdr:row>
      <xdr:rowOff>33655</xdr:rowOff>
    </xdr:to>
    <xdr:cxnSp macro="_xll.PtreeEvent_ObjectClick">
      <xdr:nvCxnSpPr>
        <xdr:cNvPr id="30" name="PTObj_DBranchDLine_1_5">
          <a:extLst>
            <a:ext uri="{FF2B5EF4-FFF2-40B4-BE49-F238E27FC236}">
              <a16:creationId xmlns:a16="http://schemas.microsoft.com/office/drawing/2014/main" id="{5823EA95-4023-48BB-9CD0-826317423487}"/>
            </a:ext>
          </a:extLst>
        </xdr:cNvPr>
        <xdr:cNvCxnSpPr/>
      </xdr:nvCxnSpPr>
      <xdr:spPr>
        <a:xfrm flipV="1">
          <a:off x="14208252" y="1823720"/>
          <a:ext cx="152400" cy="18294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222694</xdr:colOff>
      <xdr:row>20</xdr:row>
      <xdr:rowOff>33020</xdr:rowOff>
    </xdr:from>
    <xdr:to>
      <xdr:col>6</xdr:col>
      <xdr:colOff>1402207</xdr:colOff>
      <xdr:row>20</xdr:row>
      <xdr:rowOff>33020</xdr:rowOff>
    </xdr:to>
    <xdr:cxnSp macro="_xll.PtreeEvent_ObjectClick">
      <xdr:nvCxnSpPr>
        <xdr:cNvPr id="27" name="PTObj_DBranchHLine_1_10">
          <a:extLst>
            <a:ext uri="{FF2B5EF4-FFF2-40B4-BE49-F238E27FC236}">
              <a16:creationId xmlns:a16="http://schemas.microsoft.com/office/drawing/2014/main" id="{66367D39-003B-4246-9E00-4BB7E3E0AB96}"/>
            </a:ext>
          </a:extLst>
        </xdr:cNvPr>
        <xdr:cNvCxnSpPr/>
      </xdr:nvCxnSpPr>
      <xdr:spPr>
        <a:xfrm>
          <a:off x="12938569" y="3652520"/>
          <a:ext cx="117951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</xdr:colOff>
      <xdr:row>20</xdr:row>
      <xdr:rowOff>33020</xdr:rowOff>
    </xdr:from>
    <xdr:to>
      <xdr:col>6</xdr:col>
      <xdr:colOff>222694</xdr:colOff>
      <xdr:row>40</xdr:row>
      <xdr:rowOff>71755</xdr:rowOff>
    </xdr:to>
    <xdr:cxnSp macro="_xll.PtreeEvent_ObjectClick">
      <xdr:nvCxnSpPr>
        <xdr:cNvPr id="26" name="PTObj_DBranchDLine_1_10">
          <a:extLst>
            <a:ext uri="{FF2B5EF4-FFF2-40B4-BE49-F238E27FC236}">
              <a16:creationId xmlns:a16="http://schemas.microsoft.com/office/drawing/2014/main" id="{E9662423-F5D7-4E76-8C9A-89297F9CDE2C}"/>
            </a:ext>
          </a:extLst>
        </xdr:cNvPr>
        <xdr:cNvCxnSpPr/>
      </xdr:nvCxnSpPr>
      <xdr:spPr>
        <a:xfrm flipV="1">
          <a:off x="12786169" y="3652520"/>
          <a:ext cx="152400" cy="365823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223647</xdr:colOff>
      <xdr:row>40</xdr:row>
      <xdr:rowOff>71120</xdr:rowOff>
    </xdr:from>
    <xdr:to>
      <xdr:col>5</xdr:col>
      <xdr:colOff>1407922</xdr:colOff>
      <xdr:row>40</xdr:row>
      <xdr:rowOff>71120</xdr:rowOff>
    </xdr:to>
    <xdr:cxnSp macro="_xll.PtreeEvent_ObjectClick">
      <xdr:nvCxnSpPr>
        <xdr:cNvPr id="23" name="PTObj_DBranchHLine_1_20">
          <a:extLst>
            <a:ext uri="{FF2B5EF4-FFF2-40B4-BE49-F238E27FC236}">
              <a16:creationId xmlns:a16="http://schemas.microsoft.com/office/drawing/2014/main" id="{FD7727D9-4584-40C9-9300-C1F6C44235AA}"/>
            </a:ext>
          </a:extLst>
        </xdr:cNvPr>
        <xdr:cNvCxnSpPr/>
      </xdr:nvCxnSpPr>
      <xdr:spPr>
        <a:xfrm>
          <a:off x="11510772" y="7310120"/>
          <a:ext cx="11842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71247</xdr:colOff>
      <xdr:row>40</xdr:row>
      <xdr:rowOff>71120</xdr:rowOff>
    </xdr:from>
    <xdr:to>
      <xdr:col>5</xdr:col>
      <xdr:colOff>223647</xdr:colOff>
      <xdr:row>80</xdr:row>
      <xdr:rowOff>142239</xdr:rowOff>
    </xdr:to>
    <xdr:cxnSp macro="_xll.PtreeEvent_ObjectClick">
      <xdr:nvCxnSpPr>
        <xdr:cNvPr id="22" name="PTObj_DBranchDLine_1_20">
          <a:extLst>
            <a:ext uri="{FF2B5EF4-FFF2-40B4-BE49-F238E27FC236}">
              <a16:creationId xmlns:a16="http://schemas.microsoft.com/office/drawing/2014/main" id="{6E46782A-7C91-40FC-9B96-B611D85E5C00}"/>
            </a:ext>
          </a:extLst>
        </xdr:cNvPr>
        <xdr:cNvCxnSpPr/>
      </xdr:nvCxnSpPr>
      <xdr:spPr>
        <a:xfrm flipV="1">
          <a:off x="11358372" y="7310120"/>
          <a:ext cx="152400" cy="73101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226505</xdr:colOff>
      <xdr:row>80</xdr:row>
      <xdr:rowOff>147320</xdr:rowOff>
    </xdr:from>
    <xdr:to>
      <xdr:col>4</xdr:col>
      <xdr:colOff>1411732</xdr:colOff>
      <xdr:row>80</xdr:row>
      <xdr:rowOff>147320</xdr:rowOff>
    </xdr:to>
    <xdr:cxnSp macro="_xll.PtreeEvent_ObjectClick">
      <xdr:nvCxnSpPr>
        <xdr:cNvPr id="19" name="PTObj_DBranchHLine_1_40">
          <a:extLst>
            <a:ext uri="{FF2B5EF4-FFF2-40B4-BE49-F238E27FC236}">
              <a16:creationId xmlns:a16="http://schemas.microsoft.com/office/drawing/2014/main" id="{3692F162-B52B-45A2-B5AE-CF23E9FEBD35}"/>
            </a:ext>
          </a:extLst>
        </xdr:cNvPr>
        <xdr:cNvCxnSpPr/>
      </xdr:nvCxnSpPr>
      <xdr:spPr>
        <a:xfrm>
          <a:off x="10084880" y="14625320"/>
          <a:ext cx="1185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74105</xdr:colOff>
      <xdr:row>80</xdr:row>
      <xdr:rowOff>147320</xdr:rowOff>
    </xdr:from>
    <xdr:to>
      <xdr:col>4</xdr:col>
      <xdr:colOff>226505</xdr:colOff>
      <xdr:row>161</xdr:row>
      <xdr:rowOff>106998</xdr:rowOff>
    </xdr:to>
    <xdr:cxnSp macro="_xll.PtreeEvent_ObjectClick">
      <xdr:nvCxnSpPr>
        <xdr:cNvPr id="18" name="PTObj_DBranchDLine_1_40">
          <a:extLst>
            <a:ext uri="{FF2B5EF4-FFF2-40B4-BE49-F238E27FC236}">
              <a16:creationId xmlns:a16="http://schemas.microsoft.com/office/drawing/2014/main" id="{3F2196C9-D73A-44C9-9FDC-9EDAED8253C7}"/>
            </a:ext>
          </a:extLst>
        </xdr:cNvPr>
        <xdr:cNvCxnSpPr/>
      </xdr:nvCxnSpPr>
      <xdr:spPr>
        <a:xfrm flipV="1">
          <a:off x="9932480" y="14625320"/>
          <a:ext cx="152400" cy="1461865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228409</xdr:colOff>
      <xdr:row>161</xdr:row>
      <xdr:rowOff>118746</xdr:rowOff>
    </xdr:from>
    <xdr:to>
      <xdr:col>3</xdr:col>
      <xdr:colOff>1417447</xdr:colOff>
      <xdr:row>161</xdr:row>
      <xdr:rowOff>118746</xdr:rowOff>
    </xdr:to>
    <xdr:cxnSp macro="_xll.PtreeEvent_ObjectClick">
      <xdr:nvCxnSpPr>
        <xdr:cNvPr id="15" name="PTObj_DBranchHLine_1_80">
          <a:extLst>
            <a:ext uri="{FF2B5EF4-FFF2-40B4-BE49-F238E27FC236}">
              <a16:creationId xmlns:a16="http://schemas.microsoft.com/office/drawing/2014/main" id="{9A5F1FE5-5DCD-4E8F-A627-50DD7F4663C0}"/>
            </a:ext>
          </a:extLst>
        </xdr:cNvPr>
        <xdr:cNvCxnSpPr/>
      </xdr:nvCxnSpPr>
      <xdr:spPr>
        <a:xfrm>
          <a:off x="8658034" y="29255721"/>
          <a:ext cx="118903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76009</xdr:colOff>
      <xdr:row>161</xdr:row>
      <xdr:rowOff>118746</xdr:rowOff>
    </xdr:from>
    <xdr:to>
      <xdr:col>3</xdr:col>
      <xdr:colOff>228409</xdr:colOff>
      <xdr:row>323</xdr:row>
      <xdr:rowOff>56511</xdr:rowOff>
    </xdr:to>
    <xdr:cxnSp macro="_xll.PtreeEvent_ObjectClick">
      <xdr:nvCxnSpPr>
        <xdr:cNvPr id="14" name="PTObj_DBranchDLine_1_80">
          <a:extLst>
            <a:ext uri="{FF2B5EF4-FFF2-40B4-BE49-F238E27FC236}">
              <a16:creationId xmlns:a16="http://schemas.microsoft.com/office/drawing/2014/main" id="{B454597B-D56B-41E1-B914-E5B92C365E0F}"/>
            </a:ext>
          </a:extLst>
        </xdr:cNvPr>
        <xdr:cNvCxnSpPr/>
      </xdr:nvCxnSpPr>
      <xdr:spPr>
        <a:xfrm flipV="1">
          <a:off x="8505634" y="29255721"/>
          <a:ext cx="152400" cy="2925571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233172</xdr:colOff>
      <xdr:row>323</xdr:row>
      <xdr:rowOff>61596</xdr:rowOff>
    </xdr:from>
    <xdr:to>
      <xdr:col>2</xdr:col>
      <xdr:colOff>1421257</xdr:colOff>
      <xdr:row>323</xdr:row>
      <xdr:rowOff>61596</xdr:rowOff>
    </xdr:to>
    <xdr:cxnSp macro="_xll.PtreeEvent_ObjectClick">
      <xdr:nvCxnSpPr>
        <xdr:cNvPr id="11" name="PTObj_DBranchHLine_1_160">
          <a:extLst>
            <a:ext uri="{FF2B5EF4-FFF2-40B4-BE49-F238E27FC236}">
              <a16:creationId xmlns:a16="http://schemas.microsoft.com/office/drawing/2014/main" id="{46DCAE0F-4784-464C-B030-D67A030924B8}"/>
            </a:ext>
          </a:extLst>
        </xdr:cNvPr>
        <xdr:cNvCxnSpPr/>
      </xdr:nvCxnSpPr>
      <xdr:spPr>
        <a:xfrm>
          <a:off x="7234047" y="58516521"/>
          <a:ext cx="118808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80772</xdr:colOff>
      <xdr:row>323</xdr:row>
      <xdr:rowOff>61596</xdr:rowOff>
    </xdr:from>
    <xdr:to>
      <xdr:col>2</xdr:col>
      <xdr:colOff>233172</xdr:colOff>
      <xdr:row>646</xdr:row>
      <xdr:rowOff>123192</xdr:rowOff>
    </xdr:to>
    <xdr:cxnSp macro="_xll.PtreeEvent_ObjectClick">
      <xdr:nvCxnSpPr>
        <xdr:cNvPr id="10" name="PTObj_DBranchDLine_1_160">
          <a:extLst>
            <a:ext uri="{FF2B5EF4-FFF2-40B4-BE49-F238E27FC236}">
              <a16:creationId xmlns:a16="http://schemas.microsoft.com/office/drawing/2014/main" id="{2017A09B-92BA-4DC8-B4AF-479DB4EC197E}"/>
            </a:ext>
          </a:extLst>
        </xdr:cNvPr>
        <xdr:cNvCxnSpPr/>
      </xdr:nvCxnSpPr>
      <xdr:spPr>
        <a:xfrm flipV="1">
          <a:off x="7081647" y="58516521"/>
          <a:ext cx="152400" cy="585165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1662874</xdr:colOff>
      <xdr:row>646</xdr:row>
      <xdr:rowOff>128265</xdr:rowOff>
    </xdr:from>
    <xdr:to>
      <xdr:col>2</xdr:col>
      <xdr:colOff>2032</xdr:colOff>
      <xdr:row>646</xdr:row>
      <xdr:rowOff>128265</xdr:rowOff>
    </xdr:to>
    <xdr:cxnSp macro="_xll.PtreeEvent_ObjectClick">
      <xdr:nvCxnSpPr>
        <xdr:cNvPr id="7" name="PTObj_DBranchHLine_1_320">
          <a:extLst>
            <a:ext uri="{FF2B5EF4-FFF2-40B4-BE49-F238E27FC236}">
              <a16:creationId xmlns:a16="http://schemas.microsoft.com/office/drawing/2014/main" id="{0F67B741-F644-476B-8F10-BC6CCF249C05}"/>
            </a:ext>
          </a:extLst>
        </xdr:cNvPr>
        <xdr:cNvCxnSpPr/>
      </xdr:nvCxnSpPr>
      <xdr:spPr>
        <a:xfrm>
          <a:off x="1662874" y="117038115"/>
          <a:ext cx="173958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1510475</xdr:colOff>
      <xdr:row>646</xdr:row>
      <xdr:rowOff>128265</xdr:rowOff>
    </xdr:from>
    <xdr:to>
      <xdr:col>0</xdr:col>
      <xdr:colOff>1662874</xdr:colOff>
      <xdr:row>1293</xdr:row>
      <xdr:rowOff>75580</xdr:rowOff>
    </xdr:to>
    <xdr:cxnSp macro="_xll.PtreeEvent_ObjectClick">
      <xdr:nvCxnSpPr>
        <xdr:cNvPr id="6" name="PTObj_DBranchDLine_1_320">
          <a:extLst>
            <a:ext uri="{FF2B5EF4-FFF2-40B4-BE49-F238E27FC236}">
              <a16:creationId xmlns:a16="http://schemas.microsoft.com/office/drawing/2014/main" id="{955AD38D-9998-45DF-8607-922E085A090E}"/>
            </a:ext>
          </a:extLst>
        </xdr:cNvPr>
        <xdr:cNvCxnSpPr/>
      </xdr:nvCxnSpPr>
      <xdr:spPr>
        <a:xfrm flipV="1">
          <a:off x="1510475" y="117038115"/>
          <a:ext cx="152399" cy="1170381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1293</xdr:row>
      <xdr:rowOff>80640</xdr:rowOff>
    </xdr:from>
    <xdr:to>
      <xdr:col>1</xdr:col>
      <xdr:colOff>127</xdr:colOff>
      <xdr:row>1293</xdr:row>
      <xdr:rowOff>80640</xdr:rowOff>
    </xdr:to>
    <xdr:cxnSp macro="_xll.PtreeEvent_ObjectClick">
      <xdr:nvCxnSpPr>
        <xdr:cNvPr id="3" name="PTObj_DBranchHLine_1_640">
          <a:extLst>
            <a:ext uri="{FF2B5EF4-FFF2-40B4-BE49-F238E27FC236}">
              <a16:creationId xmlns:a16="http://schemas.microsoft.com/office/drawing/2014/main" id="{EECA03CF-CC50-4348-A7C9-E4FAA9BAFC8F}"/>
            </a:ext>
          </a:extLst>
        </xdr:cNvPr>
        <xdr:cNvCxnSpPr/>
      </xdr:nvCxnSpPr>
      <xdr:spPr>
        <a:xfrm>
          <a:off x="177800" y="234081315"/>
          <a:ext cx="12510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1425067</xdr:colOff>
      <xdr:row>1292</xdr:row>
      <xdr:rowOff>170185</xdr:rowOff>
    </xdr:from>
    <xdr:to>
      <xdr:col>0</xdr:col>
      <xdr:colOff>1602232</xdr:colOff>
      <xdr:row>1293</xdr:row>
      <xdr:rowOff>172095</xdr:rowOff>
    </xdr:to>
    <xdr:sp macro="_xll.PtreeEvent_ObjectClick" textlink="">
      <xdr:nvSpPr>
        <xdr:cNvPr id="2" name="PTObj_DNode_1_640">
          <a:extLst>
            <a:ext uri="{FF2B5EF4-FFF2-40B4-BE49-F238E27FC236}">
              <a16:creationId xmlns:a16="http://schemas.microsoft.com/office/drawing/2014/main" id="{8B397919-6539-4711-8D57-948DA377A1D4}"/>
            </a:ext>
          </a:extLst>
        </xdr:cNvPr>
        <xdr:cNvSpPr/>
      </xdr:nvSpPr>
      <xdr:spPr>
        <a:xfrm>
          <a:off x="1425067" y="233989885"/>
          <a:ext cx="182880" cy="18288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1292</xdr:row>
      <xdr:rowOff>175111</xdr:rowOff>
    </xdr:from>
    <xdr:ext cx="1343966" cy="180627"/>
    <xdr:sp macro="_xll.PtreeEvent_ObjectClick" textlink="">
      <xdr:nvSpPr>
        <xdr:cNvPr id="4" name="PTObj_DBranchName_1_640">
          <a:extLst>
            <a:ext uri="{FF2B5EF4-FFF2-40B4-BE49-F238E27FC236}">
              <a16:creationId xmlns:a16="http://schemas.microsoft.com/office/drawing/2014/main" id="{EEDD1F32-C3A3-4592-AC0F-8674324F2580}"/>
            </a:ext>
          </a:extLst>
        </xdr:cNvPr>
        <xdr:cNvSpPr txBox="1"/>
      </xdr:nvSpPr>
      <xdr:spPr>
        <a:xfrm>
          <a:off x="215900" y="233994811"/>
          <a:ext cx="13439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Converted Rent the apartment</a:t>
          </a:r>
        </a:p>
      </xdr:txBody>
    </xdr:sp>
    <xdr:clientData/>
  </xdr:oneCellAnchor>
  <xdr:twoCellAnchor editAs="oneCell">
    <xdr:from>
      <xdr:col>1</xdr:col>
      <xdr:colOff>1426972</xdr:colOff>
      <xdr:row>646</xdr:row>
      <xdr:rowOff>36835</xdr:rowOff>
    </xdr:from>
    <xdr:to>
      <xdr:col>2</xdr:col>
      <xdr:colOff>169672</xdr:colOff>
      <xdr:row>647</xdr:row>
      <xdr:rowOff>38745</xdr:rowOff>
    </xdr:to>
    <xdr:sp macro="_xll.PtreeEvent_ObjectClick" textlink="">
      <xdr:nvSpPr>
        <xdr:cNvPr id="5" name="PTObj_DNode_1_320">
          <a:extLst>
            <a:ext uri="{FF2B5EF4-FFF2-40B4-BE49-F238E27FC236}">
              <a16:creationId xmlns:a16="http://schemas.microsoft.com/office/drawing/2014/main" id="{31C5BF82-5133-49DB-AE87-4DB3653439E3}"/>
            </a:ext>
          </a:extLst>
        </xdr:cNvPr>
        <xdr:cNvSpPr/>
      </xdr:nvSpPr>
      <xdr:spPr>
        <a:xfrm>
          <a:off x="3398647" y="116946685"/>
          <a:ext cx="182880" cy="18288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1700974</xdr:colOff>
      <xdr:row>646</xdr:row>
      <xdr:rowOff>37951</xdr:rowOff>
    </xdr:from>
    <xdr:ext cx="568425" cy="180627"/>
    <xdr:sp macro="_xll.PtreeEvent_ObjectClick" textlink="">
      <xdr:nvSpPr>
        <xdr:cNvPr id="8" name="PTObj_DBranchName_1_320">
          <a:extLst>
            <a:ext uri="{FF2B5EF4-FFF2-40B4-BE49-F238E27FC236}">
              <a16:creationId xmlns:a16="http://schemas.microsoft.com/office/drawing/2014/main" id="{ED5D631B-FFF6-4BC3-853B-C2D487A6038D}"/>
            </a:ext>
          </a:extLst>
        </xdr:cNvPr>
        <xdr:cNvSpPr txBox="1"/>
      </xdr:nvSpPr>
      <xdr:spPr>
        <a:xfrm>
          <a:off x="1700974" y="11694780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2</xdr:col>
      <xdr:colOff>1419352</xdr:colOff>
      <xdr:row>322</xdr:row>
      <xdr:rowOff>151129</xdr:rowOff>
    </xdr:from>
    <xdr:to>
      <xdr:col>3</xdr:col>
      <xdr:colOff>169672</xdr:colOff>
      <xdr:row>323</xdr:row>
      <xdr:rowOff>153033</xdr:rowOff>
    </xdr:to>
    <xdr:sp macro="_xll.PtreeEvent_ObjectClick" textlink="">
      <xdr:nvSpPr>
        <xdr:cNvPr id="9" name="PTObj_DNode_1_160">
          <a:extLst>
            <a:ext uri="{FF2B5EF4-FFF2-40B4-BE49-F238E27FC236}">
              <a16:creationId xmlns:a16="http://schemas.microsoft.com/office/drawing/2014/main" id="{A0706B17-C8C4-4770-840B-084728232F6A}"/>
            </a:ext>
          </a:extLst>
        </xdr:cNvPr>
        <xdr:cNvSpPr/>
      </xdr:nvSpPr>
      <xdr:spPr>
        <a:xfrm>
          <a:off x="8420227" y="58425079"/>
          <a:ext cx="182880" cy="182879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271272</xdr:colOff>
      <xdr:row>322</xdr:row>
      <xdr:rowOff>152257</xdr:rowOff>
    </xdr:from>
    <xdr:ext cx="566520" cy="180627"/>
    <xdr:sp macro="_xll.PtreeEvent_ObjectClick" textlink="">
      <xdr:nvSpPr>
        <xdr:cNvPr id="12" name="PTObj_DBranchName_1_160">
          <a:extLst>
            <a:ext uri="{FF2B5EF4-FFF2-40B4-BE49-F238E27FC236}">
              <a16:creationId xmlns:a16="http://schemas.microsoft.com/office/drawing/2014/main" id="{A6D8E95F-0A2E-4686-860F-1C4D8DB8C62B}"/>
            </a:ext>
          </a:extLst>
        </xdr:cNvPr>
        <xdr:cNvSpPr txBox="1"/>
      </xdr:nvSpPr>
      <xdr:spPr>
        <a:xfrm>
          <a:off x="7272147" y="5842620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3</xdr:col>
      <xdr:colOff>1415542</xdr:colOff>
      <xdr:row>161</xdr:row>
      <xdr:rowOff>27304</xdr:rowOff>
    </xdr:from>
    <xdr:to>
      <xdr:col>4</xdr:col>
      <xdr:colOff>173483</xdr:colOff>
      <xdr:row>162</xdr:row>
      <xdr:rowOff>21588</xdr:rowOff>
    </xdr:to>
    <xdr:sp macro="_xll.PtreeEvent_ObjectClick" textlink="">
      <xdr:nvSpPr>
        <xdr:cNvPr id="13" name="PTObj_DNode_1_80">
          <a:extLst>
            <a:ext uri="{FF2B5EF4-FFF2-40B4-BE49-F238E27FC236}">
              <a16:creationId xmlns:a16="http://schemas.microsoft.com/office/drawing/2014/main" id="{3D3B62EE-62A3-40D3-B272-F6762A1B40C7}"/>
            </a:ext>
          </a:extLst>
        </xdr:cNvPr>
        <xdr:cNvSpPr/>
      </xdr:nvSpPr>
      <xdr:spPr>
        <a:xfrm>
          <a:off x="9845167" y="29164279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266509</xdr:colOff>
      <xdr:row>161</xdr:row>
      <xdr:rowOff>26527</xdr:rowOff>
    </xdr:from>
    <xdr:ext cx="566520" cy="180627"/>
    <xdr:sp macro="_xll.PtreeEvent_ObjectClick" textlink="">
      <xdr:nvSpPr>
        <xdr:cNvPr id="16" name="PTObj_DBranchName_1_80">
          <a:extLst>
            <a:ext uri="{FF2B5EF4-FFF2-40B4-BE49-F238E27FC236}">
              <a16:creationId xmlns:a16="http://schemas.microsoft.com/office/drawing/2014/main" id="{8EBD5428-478C-4797-8AEF-AE3B578811A7}"/>
            </a:ext>
          </a:extLst>
        </xdr:cNvPr>
        <xdr:cNvSpPr txBox="1"/>
      </xdr:nvSpPr>
      <xdr:spPr>
        <a:xfrm>
          <a:off x="8696134" y="2916350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4</xdr:col>
      <xdr:colOff>1411732</xdr:colOff>
      <xdr:row>80</xdr:row>
      <xdr:rowOff>55880</xdr:rowOff>
    </xdr:from>
    <xdr:to>
      <xdr:col>5</xdr:col>
      <xdr:colOff>169672</xdr:colOff>
      <xdr:row>81</xdr:row>
      <xdr:rowOff>53976</xdr:rowOff>
    </xdr:to>
    <xdr:sp macro="_xll.PtreeEvent_ObjectClick" textlink="">
      <xdr:nvSpPr>
        <xdr:cNvPr id="17" name="PTObj_DNode_1_40">
          <a:extLst>
            <a:ext uri="{FF2B5EF4-FFF2-40B4-BE49-F238E27FC236}">
              <a16:creationId xmlns:a16="http://schemas.microsoft.com/office/drawing/2014/main" id="{57D33E7B-045E-44B0-9439-046158A4E882}"/>
            </a:ext>
          </a:extLst>
        </xdr:cNvPr>
        <xdr:cNvSpPr/>
      </xdr:nvSpPr>
      <xdr:spPr>
        <a:xfrm>
          <a:off x="11270107" y="145338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264605</xdr:colOff>
      <xdr:row>80</xdr:row>
      <xdr:rowOff>60816</xdr:rowOff>
    </xdr:from>
    <xdr:ext cx="566520" cy="180627"/>
    <xdr:sp macro="_xll.PtreeEvent_ObjectClick" textlink="">
      <xdr:nvSpPr>
        <xdr:cNvPr id="20" name="PTObj_DBranchName_1_40">
          <a:extLst>
            <a:ext uri="{FF2B5EF4-FFF2-40B4-BE49-F238E27FC236}">
              <a16:creationId xmlns:a16="http://schemas.microsoft.com/office/drawing/2014/main" id="{5737EB32-11F7-4E80-BC57-8D33BC29D93A}"/>
            </a:ext>
          </a:extLst>
        </xdr:cNvPr>
        <xdr:cNvSpPr txBox="1"/>
      </xdr:nvSpPr>
      <xdr:spPr>
        <a:xfrm>
          <a:off x="10122980" y="1453881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1407922</xdr:colOff>
      <xdr:row>39</xdr:row>
      <xdr:rowOff>160655</xdr:rowOff>
    </xdr:from>
    <xdr:to>
      <xdr:col>6</xdr:col>
      <xdr:colOff>167767</xdr:colOff>
      <xdr:row>40</xdr:row>
      <xdr:rowOff>168276</xdr:rowOff>
    </xdr:to>
    <xdr:sp macro="_xll.PtreeEvent_ObjectClick" textlink="">
      <xdr:nvSpPr>
        <xdr:cNvPr id="21" name="PTObj_DNode_1_20">
          <a:extLst>
            <a:ext uri="{FF2B5EF4-FFF2-40B4-BE49-F238E27FC236}">
              <a16:creationId xmlns:a16="http://schemas.microsoft.com/office/drawing/2014/main" id="{9DB3E535-E8B4-407A-A957-838DD18D77F3}"/>
            </a:ext>
          </a:extLst>
        </xdr:cNvPr>
        <xdr:cNvSpPr/>
      </xdr:nvSpPr>
      <xdr:spPr>
        <a:xfrm>
          <a:off x="12695047" y="72186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39</xdr:row>
      <xdr:rowOff>163687</xdr:rowOff>
    </xdr:from>
    <xdr:ext cx="568424" cy="180627"/>
    <xdr:sp macro="_xll.PtreeEvent_ObjectClick" textlink="">
      <xdr:nvSpPr>
        <xdr:cNvPr id="24" name="PTObj_DBranchName_1_20">
          <a:extLst>
            <a:ext uri="{FF2B5EF4-FFF2-40B4-BE49-F238E27FC236}">
              <a16:creationId xmlns:a16="http://schemas.microsoft.com/office/drawing/2014/main" id="{8F0904A4-3E4C-4226-B045-E94C9E2D7B62}"/>
            </a:ext>
          </a:extLst>
        </xdr:cNvPr>
        <xdr:cNvSpPr txBox="1"/>
      </xdr:nvSpPr>
      <xdr:spPr>
        <a:xfrm>
          <a:off x="11548872" y="7221712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19</xdr:row>
      <xdr:rowOff>122555</xdr:rowOff>
    </xdr:from>
    <xdr:to>
      <xdr:col>7</xdr:col>
      <xdr:colOff>171578</xdr:colOff>
      <xdr:row>20</xdr:row>
      <xdr:rowOff>133985</xdr:rowOff>
    </xdr:to>
    <xdr:sp macro="_xll.PtreeEvent_ObjectClick" textlink="">
      <xdr:nvSpPr>
        <xdr:cNvPr id="25" name="PTObj_DNode_1_10">
          <a:extLst>
            <a:ext uri="{FF2B5EF4-FFF2-40B4-BE49-F238E27FC236}">
              <a16:creationId xmlns:a16="http://schemas.microsoft.com/office/drawing/2014/main" id="{D78B9BDC-F6D2-4A18-8F48-F0CB5F01603B}"/>
            </a:ext>
          </a:extLst>
        </xdr:cNvPr>
        <xdr:cNvSpPr/>
      </xdr:nvSpPr>
      <xdr:spPr>
        <a:xfrm>
          <a:off x="14119988" y="356108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19</xdr:row>
      <xdr:rowOff>125587</xdr:rowOff>
    </xdr:from>
    <xdr:ext cx="566520" cy="180627"/>
    <xdr:sp macro="_xll.PtreeEvent_ObjectClick" textlink="">
      <xdr:nvSpPr>
        <xdr:cNvPr id="28" name="PTObj_DBranchName_1_10">
          <a:extLst>
            <a:ext uri="{FF2B5EF4-FFF2-40B4-BE49-F238E27FC236}">
              <a16:creationId xmlns:a16="http://schemas.microsoft.com/office/drawing/2014/main" id="{93FE9D31-17D1-4CFF-A517-A5B3DA23A16F}"/>
            </a:ext>
          </a:extLst>
        </xdr:cNvPr>
        <xdr:cNvSpPr txBox="1"/>
      </xdr:nvSpPr>
      <xdr:spPr>
        <a:xfrm>
          <a:off x="12976669" y="356411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9</xdr:row>
      <xdr:rowOff>103505</xdr:rowOff>
    </xdr:from>
    <xdr:to>
      <xdr:col>8</xdr:col>
      <xdr:colOff>154432</xdr:colOff>
      <xdr:row>10</xdr:row>
      <xdr:rowOff>93980</xdr:rowOff>
    </xdr:to>
    <xdr:sp macro="_xll.PtreeEvent_ObjectClick" textlink="">
      <xdr:nvSpPr>
        <xdr:cNvPr id="29" name="PTObj_DNode_1_5">
          <a:extLst>
            <a:ext uri="{FF2B5EF4-FFF2-40B4-BE49-F238E27FC236}">
              <a16:creationId xmlns:a16="http://schemas.microsoft.com/office/drawing/2014/main" id="{773B4A8B-BEAF-4F69-AF38-2390EFC2A47D}"/>
            </a:ext>
          </a:extLst>
        </xdr:cNvPr>
        <xdr:cNvSpPr/>
      </xdr:nvSpPr>
      <xdr:spPr>
        <a:xfrm>
          <a:off x="15544927" y="173228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9</xdr:row>
      <xdr:rowOff>102727</xdr:rowOff>
    </xdr:from>
    <xdr:ext cx="566519" cy="180627"/>
    <xdr:sp macro="_xll.PtreeEvent_ObjectClick" textlink="">
      <xdr:nvSpPr>
        <xdr:cNvPr id="32" name="PTObj_DBranchName_1_5">
          <a:extLst>
            <a:ext uri="{FF2B5EF4-FFF2-40B4-BE49-F238E27FC236}">
              <a16:creationId xmlns:a16="http://schemas.microsoft.com/office/drawing/2014/main" id="{2AAABF79-5ED0-43A4-BF92-C0BBFBAA5F47}"/>
            </a:ext>
          </a:extLst>
        </xdr:cNvPr>
        <xdr:cNvSpPr txBox="1"/>
      </xdr:nvSpPr>
      <xdr:spPr>
        <a:xfrm>
          <a:off x="14398752" y="173150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</xdr:row>
      <xdr:rowOff>88265</xdr:rowOff>
    </xdr:from>
    <xdr:to>
      <xdr:col>9</xdr:col>
      <xdr:colOff>150622</xdr:colOff>
      <xdr:row>2</xdr:row>
      <xdr:rowOff>93980</xdr:rowOff>
    </xdr:to>
    <xdr:sp macro="_xll.PtreeEvent_ObjectClick" textlink="">
      <xdr:nvSpPr>
        <xdr:cNvPr id="33" name="PTObj_DNode_1_1">
          <a:extLst>
            <a:ext uri="{FF2B5EF4-FFF2-40B4-BE49-F238E27FC236}">
              <a16:creationId xmlns:a16="http://schemas.microsoft.com/office/drawing/2014/main" id="{1100C5FB-A598-4BBC-8360-7130EDED9420}"/>
            </a:ext>
          </a:extLst>
        </xdr:cNvPr>
        <xdr:cNvSpPr/>
      </xdr:nvSpPr>
      <xdr:spPr>
        <a:xfrm>
          <a:off x="16969867" y="2692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</xdr:row>
      <xdr:rowOff>93201</xdr:rowOff>
    </xdr:from>
    <xdr:ext cx="568424" cy="180627"/>
    <xdr:sp macro="_xll.PtreeEvent_ObjectClick" textlink="">
      <xdr:nvSpPr>
        <xdr:cNvPr id="36" name="PTObj_DBranchName_1_1">
          <a:extLst>
            <a:ext uri="{FF2B5EF4-FFF2-40B4-BE49-F238E27FC236}">
              <a16:creationId xmlns:a16="http://schemas.microsoft.com/office/drawing/2014/main" id="{4C1DB1DA-6D77-4DEF-A2A9-74BC902A9BCB}"/>
            </a:ext>
          </a:extLst>
        </xdr:cNvPr>
        <xdr:cNvSpPr txBox="1"/>
      </xdr:nvSpPr>
      <xdr:spPr>
        <a:xfrm>
          <a:off x="15820834" y="27417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3</xdr:row>
      <xdr:rowOff>92075</xdr:rowOff>
    </xdr:from>
    <xdr:to>
      <xdr:col>10</xdr:col>
      <xdr:colOff>131573</xdr:colOff>
      <xdr:row>4</xdr:row>
      <xdr:rowOff>93980</xdr:rowOff>
    </xdr:to>
    <xdr:sp macro="_xll.PtreeEvent_ObjectClick" textlink="">
      <xdr:nvSpPr>
        <xdr:cNvPr id="37" name="PTObj_DNode_1_2">
          <a:extLst>
            <a:ext uri="{FF2B5EF4-FFF2-40B4-BE49-F238E27FC236}">
              <a16:creationId xmlns:a16="http://schemas.microsoft.com/office/drawing/2014/main" id="{E8523F3C-DC98-484F-A867-7E3A1D852C7F}"/>
            </a:ext>
          </a:extLst>
        </xdr:cNvPr>
        <xdr:cNvSpPr/>
      </xdr:nvSpPr>
      <xdr:spPr>
        <a:xfrm>
          <a:off x="18394807" y="6350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</xdr:row>
      <xdr:rowOff>97011</xdr:rowOff>
    </xdr:from>
    <xdr:ext cx="514858" cy="180627"/>
    <xdr:sp macro="_xll.PtreeEvent_ObjectClick" textlink="">
      <xdr:nvSpPr>
        <xdr:cNvPr id="40" name="PTObj_DBranchName_1_2">
          <a:extLst>
            <a:ext uri="{FF2B5EF4-FFF2-40B4-BE49-F238E27FC236}">
              <a16:creationId xmlns:a16="http://schemas.microsoft.com/office/drawing/2014/main" id="{8E7FBAB2-AF1D-413A-BA92-AFC548AE4123}"/>
            </a:ext>
          </a:extLst>
        </xdr:cNvPr>
        <xdr:cNvSpPr txBox="1"/>
      </xdr:nvSpPr>
      <xdr:spPr>
        <a:xfrm>
          <a:off x="17244820" y="6399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</xdr:row>
      <xdr:rowOff>95885</xdr:rowOff>
    </xdr:from>
    <xdr:to>
      <xdr:col>11</xdr:col>
      <xdr:colOff>135382</xdr:colOff>
      <xdr:row>6</xdr:row>
      <xdr:rowOff>93980</xdr:rowOff>
    </xdr:to>
    <xdr:sp macro="_xll.PtreeEvent_ObjectClick" textlink="">
      <xdr:nvSpPr>
        <xdr:cNvPr id="41" name="PTObj_DNode_1_3">
          <a:extLst>
            <a:ext uri="{FF2B5EF4-FFF2-40B4-BE49-F238E27FC236}">
              <a16:creationId xmlns:a16="http://schemas.microsoft.com/office/drawing/2014/main" id="{5BBEDD35-212D-4E41-B5D3-2E36C1D3835F}"/>
            </a:ext>
          </a:extLst>
        </xdr:cNvPr>
        <xdr:cNvSpPr/>
      </xdr:nvSpPr>
      <xdr:spPr>
        <a:xfrm>
          <a:off x="19819747" y="10007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</xdr:row>
      <xdr:rowOff>93202</xdr:rowOff>
    </xdr:from>
    <xdr:ext cx="514858" cy="180627"/>
    <xdr:sp macro="_xll.PtreeEvent_ObjectClick" textlink="">
      <xdr:nvSpPr>
        <xdr:cNvPr id="44" name="PTObj_DBranchName_1_3">
          <a:extLst>
            <a:ext uri="{FF2B5EF4-FFF2-40B4-BE49-F238E27FC236}">
              <a16:creationId xmlns:a16="http://schemas.microsoft.com/office/drawing/2014/main" id="{F428F7C6-E01C-49A4-A6AD-E31C0F8078CA}"/>
            </a:ext>
          </a:extLst>
        </xdr:cNvPr>
        <xdr:cNvSpPr txBox="1"/>
      </xdr:nvSpPr>
      <xdr:spPr>
        <a:xfrm>
          <a:off x="18666904" y="99807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7</xdr:row>
      <xdr:rowOff>99695</xdr:rowOff>
    </xdr:from>
    <xdr:to>
      <xdr:col>12</xdr:col>
      <xdr:colOff>131573</xdr:colOff>
      <xdr:row>8</xdr:row>
      <xdr:rowOff>93980</xdr:rowOff>
    </xdr:to>
    <xdr:sp macro="_xll.PtreeEvent_ObjectClick" textlink="">
      <xdr:nvSpPr>
        <xdr:cNvPr id="45" name="PTObj_DNode_1_4">
          <a:extLst>
            <a:ext uri="{FF2B5EF4-FFF2-40B4-BE49-F238E27FC236}">
              <a16:creationId xmlns:a16="http://schemas.microsoft.com/office/drawing/2014/main" id="{AE6D466B-E4FD-4253-B2B7-6CE57B666A9D}"/>
            </a:ext>
          </a:extLst>
        </xdr:cNvPr>
        <xdr:cNvSpPr/>
      </xdr:nvSpPr>
      <xdr:spPr>
        <a:xfrm rot="-5400000">
          <a:off x="21248498" y="136271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</xdr:row>
      <xdr:rowOff>97011</xdr:rowOff>
    </xdr:from>
    <xdr:ext cx="514858" cy="180627"/>
    <xdr:sp macro="_xll.PtreeEvent_ObjectClick" textlink="">
      <xdr:nvSpPr>
        <xdr:cNvPr id="48" name="PTObj_DBranchName_1_4">
          <a:extLst>
            <a:ext uri="{FF2B5EF4-FFF2-40B4-BE49-F238E27FC236}">
              <a16:creationId xmlns:a16="http://schemas.microsoft.com/office/drawing/2014/main" id="{B4C9899E-9985-45DB-9487-926554687456}"/>
            </a:ext>
          </a:extLst>
        </xdr:cNvPr>
        <xdr:cNvSpPr txBox="1"/>
      </xdr:nvSpPr>
      <xdr:spPr>
        <a:xfrm>
          <a:off x="20094701" y="13638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</xdr:row>
      <xdr:rowOff>107315</xdr:rowOff>
    </xdr:from>
    <xdr:to>
      <xdr:col>9</xdr:col>
      <xdr:colOff>150622</xdr:colOff>
      <xdr:row>12</xdr:row>
      <xdr:rowOff>97790</xdr:rowOff>
    </xdr:to>
    <xdr:sp macro="_xll.PtreeEvent_ObjectClick" textlink="">
      <xdr:nvSpPr>
        <xdr:cNvPr id="49" name="PTObj_DNode_1_6">
          <a:extLst>
            <a:ext uri="{FF2B5EF4-FFF2-40B4-BE49-F238E27FC236}">
              <a16:creationId xmlns:a16="http://schemas.microsoft.com/office/drawing/2014/main" id="{6AF7A5A3-01F8-4B73-92C6-B04C97AE120C}"/>
            </a:ext>
          </a:extLst>
        </xdr:cNvPr>
        <xdr:cNvSpPr/>
      </xdr:nvSpPr>
      <xdr:spPr>
        <a:xfrm>
          <a:off x="16969867" y="20980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</xdr:row>
      <xdr:rowOff>106536</xdr:rowOff>
    </xdr:from>
    <xdr:ext cx="568424" cy="180627"/>
    <xdr:sp macro="_xll.PtreeEvent_ObjectClick" textlink="">
      <xdr:nvSpPr>
        <xdr:cNvPr id="52" name="PTObj_DBranchName_1_6">
          <a:extLst>
            <a:ext uri="{FF2B5EF4-FFF2-40B4-BE49-F238E27FC236}">
              <a16:creationId xmlns:a16="http://schemas.microsoft.com/office/drawing/2014/main" id="{20E34C3F-3B75-4063-AB74-2E7CE5194879}"/>
            </a:ext>
          </a:extLst>
        </xdr:cNvPr>
        <xdr:cNvSpPr txBox="1"/>
      </xdr:nvSpPr>
      <xdr:spPr>
        <a:xfrm>
          <a:off x="15820834" y="20972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13</xdr:row>
      <xdr:rowOff>111125</xdr:rowOff>
    </xdr:from>
    <xdr:to>
      <xdr:col>10</xdr:col>
      <xdr:colOff>131573</xdr:colOff>
      <xdr:row>14</xdr:row>
      <xdr:rowOff>113030</xdr:rowOff>
    </xdr:to>
    <xdr:sp macro="_xll.PtreeEvent_ObjectClick" textlink="">
      <xdr:nvSpPr>
        <xdr:cNvPr id="53" name="PTObj_DNode_1_7">
          <a:extLst>
            <a:ext uri="{FF2B5EF4-FFF2-40B4-BE49-F238E27FC236}">
              <a16:creationId xmlns:a16="http://schemas.microsoft.com/office/drawing/2014/main" id="{A361AF66-7D1C-4F79-A2CF-3E5ACC0E48D3}"/>
            </a:ext>
          </a:extLst>
        </xdr:cNvPr>
        <xdr:cNvSpPr/>
      </xdr:nvSpPr>
      <xdr:spPr>
        <a:xfrm>
          <a:off x="18394807" y="24638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13</xdr:row>
      <xdr:rowOff>112251</xdr:rowOff>
    </xdr:from>
    <xdr:ext cx="514858" cy="180627"/>
    <xdr:sp macro="_xll.PtreeEvent_ObjectClick" textlink="">
      <xdr:nvSpPr>
        <xdr:cNvPr id="56" name="PTObj_DBranchName_1_7">
          <a:extLst>
            <a:ext uri="{FF2B5EF4-FFF2-40B4-BE49-F238E27FC236}">
              <a16:creationId xmlns:a16="http://schemas.microsoft.com/office/drawing/2014/main" id="{957DDF3A-C40C-461D-8334-F0F264BD43A7}"/>
            </a:ext>
          </a:extLst>
        </xdr:cNvPr>
        <xdr:cNvSpPr txBox="1"/>
      </xdr:nvSpPr>
      <xdr:spPr>
        <a:xfrm>
          <a:off x="17244820" y="24649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15</xdr:row>
      <xdr:rowOff>114935</xdr:rowOff>
    </xdr:from>
    <xdr:to>
      <xdr:col>11</xdr:col>
      <xdr:colOff>135382</xdr:colOff>
      <xdr:row>16</xdr:row>
      <xdr:rowOff>116840</xdr:rowOff>
    </xdr:to>
    <xdr:sp macro="_xll.PtreeEvent_ObjectClick" textlink="">
      <xdr:nvSpPr>
        <xdr:cNvPr id="57" name="PTObj_DNode_1_8">
          <a:extLst>
            <a:ext uri="{FF2B5EF4-FFF2-40B4-BE49-F238E27FC236}">
              <a16:creationId xmlns:a16="http://schemas.microsoft.com/office/drawing/2014/main" id="{1ADC95CC-4041-4282-8146-23AED008B83C}"/>
            </a:ext>
          </a:extLst>
        </xdr:cNvPr>
        <xdr:cNvSpPr/>
      </xdr:nvSpPr>
      <xdr:spPr>
        <a:xfrm>
          <a:off x="19819747" y="28295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15</xdr:row>
      <xdr:rowOff>116062</xdr:rowOff>
    </xdr:from>
    <xdr:ext cx="514858" cy="180627"/>
    <xdr:sp macro="_xll.PtreeEvent_ObjectClick" textlink="">
      <xdr:nvSpPr>
        <xdr:cNvPr id="60" name="PTObj_DBranchName_1_8">
          <a:extLst>
            <a:ext uri="{FF2B5EF4-FFF2-40B4-BE49-F238E27FC236}">
              <a16:creationId xmlns:a16="http://schemas.microsoft.com/office/drawing/2014/main" id="{DAFDB9FB-22BB-46CE-BAA7-9A100E5A726C}"/>
            </a:ext>
          </a:extLst>
        </xdr:cNvPr>
        <xdr:cNvSpPr txBox="1"/>
      </xdr:nvSpPr>
      <xdr:spPr>
        <a:xfrm>
          <a:off x="18666904" y="283068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17</xdr:row>
      <xdr:rowOff>124460</xdr:rowOff>
    </xdr:from>
    <xdr:to>
      <xdr:col>12</xdr:col>
      <xdr:colOff>131573</xdr:colOff>
      <xdr:row>18</xdr:row>
      <xdr:rowOff>133985</xdr:rowOff>
    </xdr:to>
    <xdr:sp macro="_xll.PtreeEvent_ObjectClick" textlink="">
      <xdr:nvSpPr>
        <xdr:cNvPr id="61" name="PTObj_DNode_1_9">
          <a:extLst>
            <a:ext uri="{FF2B5EF4-FFF2-40B4-BE49-F238E27FC236}">
              <a16:creationId xmlns:a16="http://schemas.microsoft.com/office/drawing/2014/main" id="{5F3C2F5E-BFDC-411D-8DE9-5E8F3B5C3393}"/>
            </a:ext>
          </a:extLst>
        </xdr:cNvPr>
        <xdr:cNvSpPr/>
      </xdr:nvSpPr>
      <xdr:spPr>
        <a:xfrm rot="-5400000">
          <a:off x="21248498" y="3197225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17</xdr:row>
      <xdr:rowOff>121777</xdr:rowOff>
    </xdr:from>
    <xdr:ext cx="514858" cy="180627"/>
    <xdr:sp macro="_xll.PtreeEvent_ObjectClick" textlink="">
      <xdr:nvSpPr>
        <xdr:cNvPr id="64" name="PTObj_DBranchName_1_9">
          <a:extLst>
            <a:ext uri="{FF2B5EF4-FFF2-40B4-BE49-F238E27FC236}">
              <a16:creationId xmlns:a16="http://schemas.microsoft.com/office/drawing/2014/main" id="{FF6BB0A2-6752-4436-9052-F470DFA46FF6}"/>
            </a:ext>
          </a:extLst>
        </xdr:cNvPr>
        <xdr:cNvSpPr txBox="1"/>
      </xdr:nvSpPr>
      <xdr:spPr>
        <a:xfrm>
          <a:off x="20094701" y="31983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29</xdr:row>
      <xdr:rowOff>141605</xdr:rowOff>
    </xdr:from>
    <xdr:to>
      <xdr:col>8</xdr:col>
      <xdr:colOff>154432</xdr:colOff>
      <xdr:row>30</xdr:row>
      <xdr:rowOff>135890</xdr:rowOff>
    </xdr:to>
    <xdr:sp macro="_xll.PtreeEvent_ObjectClick" textlink="">
      <xdr:nvSpPr>
        <xdr:cNvPr id="65" name="PTObj_DNode_1_15">
          <a:extLst>
            <a:ext uri="{FF2B5EF4-FFF2-40B4-BE49-F238E27FC236}">
              <a16:creationId xmlns:a16="http://schemas.microsoft.com/office/drawing/2014/main" id="{D26CCB34-04D5-4256-AD4C-0B45B66F9DF9}"/>
            </a:ext>
          </a:extLst>
        </xdr:cNvPr>
        <xdr:cNvSpPr/>
      </xdr:nvSpPr>
      <xdr:spPr>
        <a:xfrm>
          <a:off x="15544927" y="538988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29</xdr:row>
      <xdr:rowOff>140827</xdr:rowOff>
    </xdr:from>
    <xdr:ext cx="568425" cy="180627"/>
    <xdr:sp macro="_xll.PtreeEvent_ObjectClick" textlink="">
      <xdr:nvSpPr>
        <xdr:cNvPr id="68" name="PTObj_DBranchName_1_15">
          <a:extLst>
            <a:ext uri="{FF2B5EF4-FFF2-40B4-BE49-F238E27FC236}">
              <a16:creationId xmlns:a16="http://schemas.microsoft.com/office/drawing/2014/main" id="{C5CDE315-0181-4881-9F25-C471049C5DEC}"/>
            </a:ext>
          </a:extLst>
        </xdr:cNvPr>
        <xdr:cNvSpPr txBox="1"/>
      </xdr:nvSpPr>
      <xdr:spPr>
        <a:xfrm>
          <a:off x="14400657" y="538910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21</xdr:row>
      <xdr:rowOff>126365</xdr:rowOff>
    </xdr:from>
    <xdr:to>
      <xdr:col>9</xdr:col>
      <xdr:colOff>150622</xdr:colOff>
      <xdr:row>22</xdr:row>
      <xdr:rowOff>135890</xdr:rowOff>
    </xdr:to>
    <xdr:sp macro="_xll.PtreeEvent_ObjectClick" textlink="">
      <xdr:nvSpPr>
        <xdr:cNvPr id="69" name="PTObj_DNode_1_11">
          <a:extLst>
            <a:ext uri="{FF2B5EF4-FFF2-40B4-BE49-F238E27FC236}">
              <a16:creationId xmlns:a16="http://schemas.microsoft.com/office/drawing/2014/main" id="{D96B7EF0-B377-4763-B632-519F9B5DB46C}"/>
            </a:ext>
          </a:extLst>
        </xdr:cNvPr>
        <xdr:cNvSpPr/>
      </xdr:nvSpPr>
      <xdr:spPr>
        <a:xfrm>
          <a:off x="16969867" y="39268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21</xdr:row>
      <xdr:rowOff>131301</xdr:rowOff>
    </xdr:from>
    <xdr:ext cx="568424" cy="180627"/>
    <xdr:sp macro="_xll.PtreeEvent_ObjectClick" textlink="">
      <xdr:nvSpPr>
        <xdr:cNvPr id="72" name="PTObj_DBranchName_1_11">
          <a:extLst>
            <a:ext uri="{FF2B5EF4-FFF2-40B4-BE49-F238E27FC236}">
              <a16:creationId xmlns:a16="http://schemas.microsoft.com/office/drawing/2014/main" id="{CC1C9D50-F64C-4432-8AFC-8717C1C5368D}"/>
            </a:ext>
          </a:extLst>
        </xdr:cNvPr>
        <xdr:cNvSpPr txBox="1"/>
      </xdr:nvSpPr>
      <xdr:spPr>
        <a:xfrm>
          <a:off x="15820834" y="393177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23</xdr:row>
      <xdr:rowOff>130175</xdr:rowOff>
    </xdr:from>
    <xdr:to>
      <xdr:col>10</xdr:col>
      <xdr:colOff>135383</xdr:colOff>
      <xdr:row>24</xdr:row>
      <xdr:rowOff>135890</xdr:rowOff>
    </xdr:to>
    <xdr:sp macro="_xll.PtreeEvent_ObjectClick" textlink="">
      <xdr:nvSpPr>
        <xdr:cNvPr id="73" name="PTObj_DNode_1_12">
          <a:extLst>
            <a:ext uri="{FF2B5EF4-FFF2-40B4-BE49-F238E27FC236}">
              <a16:creationId xmlns:a16="http://schemas.microsoft.com/office/drawing/2014/main" id="{426F7D00-53E9-4E74-9F5D-1747AA92AB4C}"/>
            </a:ext>
          </a:extLst>
        </xdr:cNvPr>
        <xdr:cNvSpPr/>
      </xdr:nvSpPr>
      <xdr:spPr>
        <a:xfrm>
          <a:off x="18394807" y="42926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23</xdr:row>
      <xdr:rowOff>135112</xdr:rowOff>
    </xdr:from>
    <xdr:ext cx="514858" cy="180627"/>
    <xdr:sp macro="_xll.PtreeEvent_ObjectClick" textlink="">
      <xdr:nvSpPr>
        <xdr:cNvPr id="76" name="PTObj_DBranchName_1_12">
          <a:extLst>
            <a:ext uri="{FF2B5EF4-FFF2-40B4-BE49-F238E27FC236}">
              <a16:creationId xmlns:a16="http://schemas.microsoft.com/office/drawing/2014/main" id="{935B6AE3-D0A9-4416-8A0B-3B0D2A189B43}"/>
            </a:ext>
          </a:extLst>
        </xdr:cNvPr>
        <xdr:cNvSpPr txBox="1"/>
      </xdr:nvSpPr>
      <xdr:spPr>
        <a:xfrm>
          <a:off x="17244820" y="42975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25</xdr:row>
      <xdr:rowOff>133985</xdr:rowOff>
    </xdr:from>
    <xdr:to>
      <xdr:col>11</xdr:col>
      <xdr:colOff>131572</xdr:colOff>
      <xdr:row>26</xdr:row>
      <xdr:rowOff>135890</xdr:rowOff>
    </xdr:to>
    <xdr:sp macro="_xll.PtreeEvent_ObjectClick" textlink="">
      <xdr:nvSpPr>
        <xdr:cNvPr id="77" name="PTObj_DNode_1_13">
          <a:extLst>
            <a:ext uri="{FF2B5EF4-FFF2-40B4-BE49-F238E27FC236}">
              <a16:creationId xmlns:a16="http://schemas.microsoft.com/office/drawing/2014/main" id="{D9678286-1C5B-4847-94A0-D049F5983A55}"/>
            </a:ext>
          </a:extLst>
        </xdr:cNvPr>
        <xdr:cNvSpPr/>
      </xdr:nvSpPr>
      <xdr:spPr>
        <a:xfrm>
          <a:off x="19819747" y="46583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25</xdr:row>
      <xdr:rowOff>131302</xdr:rowOff>
    </xdr:from>
    <xdr:ext cx="514858" cy="180627"/>
    <xdr:sp macro="_xll.PtreeEvent_ObjectClick" textlink="">
      <xdr:nvSpPr>
        <xdr:cNvPr id="80" name="PTObj_DBranchName_1_13">
          <a:extLst>
            <a:ext uri="{FF2B5EF4-FFF2-40B4-BE49-F238E27FC236}">
              <a16:creationId xmlns:a16="http://schemas.microsoft.com/office/drawing/2014/main" id="{E3222143-3C24-4B58-93D4-2BF654CE9885}"/>
            </a:ext>
          </a:extLst>
        </xdr:cNvPr>
        <xdr:cNvSpPr txBox="1"/>
      </xdr:nvSpPr>
      <xdr:spPr>
        <a:xfrm>
          <a:off x="18666904" y="465567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27</xdr:row>
      <xdr:rowOff>137795</xdr:rowOff>
    </xdr:from>
    <xdr:to>
      <xdr:col>12</xdr:col>
      <xdr:colOff>135383</xdr:colOff>
      <xdr:row>28</xdr:row>
      <xdr:rowOff>135890</xdr:rowOff>
    </xdr:to>
    <xdr:sp macro="_xll.PtreeEvent_ObjectClick" textlink="">
      <xdr:nvSpPr>
        <xdr:cNvPr id="81" name="PTObj_DNode_1_14">
          <a:extLst>
            <a:ext uri="{FF2B5EF4-FFF2-40B4-BE49-F238E27FC236}">
              <a16:creationId xmlns:a16="http://schemas.microsoft.com/office/drawing/2014/main" id="{A95BFBC0-05CC-4229-9AD6-3D98D1A0D461}"/>
            </a:ext>
          </a:extLst>
        </xdr:cNvPr>
        <xdr:cNvSpPr/>
      </xdr:nvSpPr>
      <xdr:spPr>
        <a:xfrm rot="-5400000">
          <a:off x="21248498" y="502031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27</xdr:row>
      <xdr:rowOff>135111</xdr:rowOff>
    </xdr:from>
    <xdr:ext cx="514858" cy="180627"/>
    <xdr:sp macro="_xll.PtreeEvent_ObjectClick" textlink="">
      <xdr:nvSpPr>
        <xdr:cNvPr id="84" name="PTObj_DBranchName_1_14">
          <a:extLst>
            <a:ext uri="{FF2B5EF4-FFF2-40B4-BE49-F238E27FC236}">
              <a16:creationId xmlns:a16="http://schemas.microsoft.com/office/drawing/2014/main" id="{6E8E9DFA-AFBB-46C8-89EC-385BC9769652}"/>
            </a:ext>
          </a:extLst>
        </xdr:cNvPr>
        <xdr:cNvSpPr txBox="1"/>
      </xdr:nvSpPr>
      <xdr:spPr>
        <a:xfrm>
          <a:off x="20094701" y="50214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31</xdr:row>
      <xdr:rowOff>145415</xdr:rowOff>
    </xdr:from>
    <xdr:to>
      <xdr:col>9</xdr:col>
      <xdr:colOff>150622</xdr:colOff>
      <xdr:row>32</xdr:row>
      <xdr:rowOff>132080</xdr:rowOff>
    </xdr:to>
    <xdr:sp macro="_xll.PtreeEvent_ObjectClick" textlink="">
      <xdr:nvSpPr>
        <xdr:cNvPr id="85" name="PTObj_DNode_1_16">
          <a:extLst>
            <a:ext uri="{FF2B5EF4-FFF2-40B4-BE49-F238E27FC236}">
              <a16:creationId xmlns:a16="http://schemas.microsoft.com/office/drawing/2014/main" id="{9FBDE4BE-9A8F-47E1-ADEB-7C57A0F6C926}"/>
            </a:ext>
          </a:extLst>
        </xdr:cNvPr>
        <xdr:cNvSpPr/>
      </xdr:nvSpPr>
      <xdr:spPr>
        <a:xfrm>
          <a:off x="16969867" y="5755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31</xdr:row>
      <xdr:rowOff>144636</xdr:rowOff>
    </xdr:from>
    <xdr:ext cx="568424" cy="180627"/>
    <xdr:sp macro="_xll.PtreeEvent_ObjectClick" textlink="">
      <xdr:nvSpPr>
        <xdr:cNvPr id="88" name="PTObj_DBranchName_1_16">
          <a:extLst>
            <a:ext uri="{FF2B5EF4-FFF2-40B4-BE49-F238E27FC236}">
              <a16:creationId xmlns:a16="http://schemas.microsoft.com/office/drawing/2014/main" id="{BE5B338C-ABA9-45A9-87E4-44A5E309FD68}"/>
            </a:ext>
          </a:extLst>
        </xdr:cNvPr>
        <xdr:cNvSpPr txBox="1"/>
      </xdr:nvSpPr>
      <xdr:spPr>
        <a:xfrm>
          <a:off x="15820834" y="57548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33</xdr:row>
      <xdr:rowOff>149225</xdr:rowOff>
    </xdr:from>
    <xdr:to>
      <xdr:col>10</xdr:col>
      <xdr:colOff>135383</xdr:colOff>
      <xdr:row>34</xdr:row>
      <xdr:rowOff>151130</xdr:rowOff>
    </xdr:to>
    <xdr:sp macro="_xll.PtreeEvent_ObjectClick" textlink="">
      <xdr:nvSpPr>
        <xdr:cNvPr id="89" name="PTObj_DNode_1_17">
          <a:extLst>
            <a:ext uri="{FF2B5EF4-FFF2-40B4-BE49-F238E27FC236}">
              <a16:creationId xmlns:a16="http://schemas.microsoft.com/office/drawing/2014/main" id="{6AD86FF6-2330-4BF7-B8B2-8E4D83D7E21F}"/>
            </a:ext>
          </a:extLst>
        </xdr:cNvPr>
        <xdr:cNvSpPr/>
      </xdr:nvSpPr>
      <xdr:spPr>
        <a:xfrm>
          <a:off x="18394807" y="61214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33</xdr:row>
      <xdr:rowOff>150352</xdr:rowOff>
    </xdr:from>
    <xdr:ext cx="514858" cy="180627"/>
    <xdr:sp macro="_xll.PtreeEvent_ObjectClick" textlink="">
      <xdr:nvSpPr>
        <xdr:cNvPr id="92" name="PTObj_DBranchName_1_17">
          <a:extLst>
            <a:ext uri="{FF2B5EF4-FFF2-40B4-BE49-F238E27FC236}">
              <a16:creationId xmlns:a16="http://schemas.microsoft.com/office/drawing/2014/main" id="{4A3327FD-D100-408F-8BE9-D7175AA29AB6}"/>
            </a:ext>
          </a:extLst>
        </xdr:cNvPr>
        <xdr:cNvSpPr txBox="1"/>
      </xdr:nvSpPr>
      <xdr:spPr>
        <a:xfrm>
          <a:off x="17244820" y="612252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35</xdr:row>
      <xdr:rowOff>153035</xdr:rowOff>
    </xdr:from>
    <xdr:to>
      <xdr:col>11</xdr:col>
      <xdr:colOff>131572</xdr:colOff>
      <xdr:row>36</xdr:row>
      <xdr:rowOff>154940</xdr:rowOff>
    </xdr:to>
    <xdr:sp macro="_xll.PtreeEvent_ObjectClick" textlink="">
      <xdr:nvSpPr>
        <xdr:cNvPr id="93" name="PTObj_DNode_1_18">
          <a:extLst>
            <a:ext uri="{FF2B5EF4-FFF2-40B4-BE49-F238E27FC236}">
              <a16:creationId xmlns:a16="http://schemas.microsoft.com/office/drawing/2014/main" id="{AE51CD3B-BE9D-4E00-84AB-14AF0D8D6A27}"/>
            </a:ext>
          </a:extLst>
        </xdr:cNvPr>
        <xdr:cNvSpPr/>
      </xdr:nvSpPr>
      <xdr:spPr>
        <a:xfrm>
          <a:off x="19819747" y="64871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35</xdr:row>
      <xdr:rowOff>154162</xdr:rowOff>
    </xdr:from>
    <xdr:ext cx="514858" cy="180627"/>
    <xdr:sp macro="_xll.PtreeEvent_ObjectClick" textlink="">
      <xdr:nvSpPr>
        <xdr:cNvPr id="96" name="PTObj_DBranchName_1_18">
          <a:extLst>
            <a:ext uri="{FF2B5EF4-FFF2-40B4-BE49-F238E27FC236}">
              <a16:creationId xmlns:a16="http://schemas.microsoft.com/office/drawing/2014/main" id="{0FDF78AE-B3A1-42F7-B62A-3EC39924A99D}"/>
            </a:ext>
          </a:extLst>
        </xdr:cNvPr>
        <xdr:cNvSpPr txBox="1"/>
      </xdr:nvSpPr>
      <xdr:spPr>
        <a:xfrm>
          <a:off x="18666904" y="648828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37</xdr:row>
      <xdr:rowOff>162560</xdr:rowOff>
    </xdr:from>
    <xdr:to>
      <xdr:col>12</xdr:col>
      <xdr:colOff>135383</xdr:colOff>
      <xdr:row>38</xdr:row>
      <xdr:rowOff>168275</xdr:rowOff>
    </xdr:to>
    <xdr:sp macro="_xll.PtreeEvent_ObjectClick" textlink="">
      <xdr:nvSpPr>
        <xdr:cNvPr id="97" name="PTObj_DNode_1_19">
          <a:extLst>
            <a:ext uri="{FF2B5EF4-FFF2-40B4-BE49-F238E27FC236}">
              <a16:creationId xmlns:a16="http://schemas.microsoft.com/office/drawing/2014/main" id="{3910E7B2-E48D-4A4E-8F9E-F951C92EAAAF}"/>
            </a:ext>
          </a:extLst>
        </xdr:cNvPr>
        <xdr:cNvSpPr/>
      </xdr:nvSpPr>
      <xdr:spPr>
        <a:xfrm rot="-5400000">
          <a:off x="21248498" y="6854825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37</xdr:row>
      <xdr:rowOff>159877</xdr:rowOff>
    </xdr:from>
    <xdr:ext cx="514858" cy="180627"/>
    <xdr:sp macro="_xll.PtreeEvent_ObjectClick" textlink="">
      <xdr:nvSpPr>
        <xdr:cNvPr id="100" name="PTObj_DBranchName_1_19">
          <a:extLst>
            <a:ext uri="{FF2B5EF4-FFF2-40B4-BE49-F238E27FC236}">
              <a16:creationId xmlns:a16="http://schemas.microsoft.com/office/drawing/2014/main" id="{7EFA66D2-132F-48AF-9159-087E6CE9BD28}"/>
            </a:ext>
          </a:extLst>
        </xdr:cNvPr>
        <xdr:cNvSpPr txBox="1"/>
      </xdr:nvSpPr>
      <xdr:spPr>
        <a:xfrm>
          <a:off x="20094701" y="68559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60</xdr:row>
      <xdr:rowOff>17780</xdr:rowOff>
    </xdr:from>
    <xdr:to>
      <xdr:col>7</xdr:col>
      <xdr:colOff>167768</xdr:colOff>
      <xdr:row>61</xdr:row>
      <xdr:rowOff>19686</xdr:rowOff>
    </xdr:to>
    <xdr:sp macro="_xll.PtreeEvent_ObjectClick" textlink="">
      <xdr:nvSpPr>
        <xdr:cNvPr id="101" name="PTObj_DNode_1_30">
          <a:extLst>
            <a:ext uri="{FF2B5EF4-FFF2-40B4-BE49-F238E27FC236}">
              <a16:creationId xmlns:a16="http://schemas.microsoft.com/office/drawing/2014/main" id="{E80E9527-0E68-4BE3-A11C-9F7F636FCEA6}"/>
            </a:ext>
          </a:extLst>
        </xdr:cNvPr>
        <xdr:cNvSpPr/>
      </xdr:nvSpPr>
      <xdr:spPr>
        <a:xfrm>
          <a:off x="14119988" y="108762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60</xdr:row>
      <xdr:rowOff>22717</xdr:rowOff>
    </xdr:from>
    <xdr:ext cx="566520" cy="180627"/>
    <xdr:sp macro="_xll.PtreeEvent_ObjectClick" textlink="">
      <xdr:nvSpPr>
        <xdr:cNvPr id="104" name="PTObj_DBranchName_1_30">
          <a:extLst>
            <a:ext uri="{FF2B5EF4-FFF2-40B4-BE49-F238E27FC236}">
              <a16:creationId xmlns:a16="http://schemas.microsoft.com/office/drawing/2014/main" id="{3347F882-7F55-4FF8-84C6-741DC2C1B088}"/>
            </a:ext>
          </a:extLst>
        </xdr:cNvPr>
        <xdr:cNvSpPr txBox="1"/>
      </xdr:nvSpPr>
      <xdr:spPr>
        <a:xfrm>
          <a:off x="12974765" y="1088121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49</xdr:row>
      <xdr:rowOff>179705</xdr:rowOff>
    </xdr:from>
    <xdr:to>
      <xdr:col>8</xdr:col>
      <xdr:colOff>154432</xdr:colOff>
      <xdr:row>51</xdr:row>
      <xdr:rowOff>636</xdr:rowOff>
    </xdr:to>
    <xdr:sp macro="_xll.PtreeEvent_ObjectClick" textlink="">
      <xdr:nvSpPr>
        <xdr:cNvPr id="105" name="PTObj_DNode_1_25">
          <a:extLst>
            <a:ext uri="{FF2B5EF4-FFF2-40B4-BE49-F238E27FC236}">
              <a16:creationId xmlns:a16="http://schemas.microsoft.com/office/drawing/2014/main" id="{39C8CC6D-6890-4081-9C02-BD1E179BEA1B}"/>
            </a:ext>
          </a:extLst>
        </xdr:cNvPr>
        <xdr:cNvSpPr/>
      </xdr:nvSpPr>
      <xdr:spPr>
        <a:xfrm>
          <a:off x="15544927" y="90474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49</xdr:row>
      <xdr:rowOff>178927</xdr:rowOff>
    </xdr:from>
    <xdr:ext cx="566519" cy="180627"/>
    <xdr:sp macro="_xll.PtreeEvent_ObjectClick" textlink="">
      <xdr:nvSpPr>
        <xdr:cNvPr id="108" name="PTObj_DBranchName_1_25">
          <a:extLst>
            <a:ext uri="{FF2B5EF4-FFF2-40B4-BE49-F238E27FC236}">
              <a16:creationId xmlns:a16="http://schemas.microsoft.com/office/drawing/2014/main" id="{F5223FBB-3B40-487E-8FAB-E7FF1AB40C04}"/>
            </a:ext>
          </a:extLst>
        </xdr:cNvPr>
        <xdr:cNvSpPr txBox="1"/>
      </xdr:nvSpPr>
      <xdr:spPr>
        <a:xfrm>
          <a:off x="14398752" y="904670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41</xdr:row>
      <xdr:rowOff>164465</xdr:rowOff>
    </xdr:from>
    <xdr:to>
      <xdr:col>9</xdr:col>
      <xdr:colOff>150622</xdr:colOff>
      <xdr:row>42</xdr:row>
      <xdr:rowOff>173990</xdr:rowOff>
    </xdr:to>
    <xdr:sp macro="_xll.PtreeEvent_ObjectClick" textlink="">
      <xdr:nvSpPr>
        <xdr:cNvPr id="109" name="PTObj_DNode_1_21">
          <a:extLst>
            <a:ext uri="{FF2B5EF4-FFF2-40B4-BE49-F238E27FC236}">
              <a16:creationId xmlns:a16="http://schemas.microsoft.com/office/drawing/2014/main" id="{82B2443A-372D-4FE4-9877-5300A9A56AD5}"/>
            </a:ext>
          </a:extLst>
        </xdr:cNvPr>
        <xdr:cNvSpPr/>
      </xdr:nvSpPr>
      <xdr:spPr>
        <a:xfrm>
          <a:off x="16969867" y="75844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41</xdr:row>
      <xdr:rowOff>169401</xdr:rowOff>
    </xdr:from>
    <xdr:ext cx="568424" cy="180627"/>
    <xdr:sp macro="_xll.PtreeEvent_ObjectClick" textlink="">
      <xdr:nvSpPr>
        <xdr:cNvPr id="112" name="PTObj_DBranchName_1_21">
          <a:extLst>
            <a:ext uri="{FF2B5EF4-FFF2-40B4-BE49-F238E27FC236}">
              <a16:creationId xmlns:a16="http://schemas.microsoft.com/office/drawing/2014/main" id="{F3C2040D-0247-4A74-884E-DD54A23A48F7}"/>
            </a:ext>
          </a:extLst>
        </xdr:cNvPr>
        <xdr:cNvSpPr txBox="1"/>
      </xdr:nvSpPr>
      <xdr:spPr>
        <a:xfrm>
          <a:off x="15820834" y="758937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43</xdr:row>
      <xdr:rowOff>168275</xdr:rowOff>
    </xdr:from>
    <xdr:to>
      <xdr:col>10</xdr:col>
      <xdr:colOff>135383</xdr:colOff>
      <xdr:row>44</xdr:row>
      <xdr:rowOff>173990</xdr:rowOff>
    </xdr:to>
    <xdr:sp macro="_xll.PtreeEvent_ObjectClick" textlink="">
      <xdr:nvSpPr>
        <xdr:cNvPr id="113" name="PTObj_DNode_1_22">
          <a:extLst>
            <a:ext uri="{FF2B5EF4-FFF2-40B4-BE49-F238E27FC236}">
              <a16:creationId xmlns:a16="http://schemas.microsoft.com/office/drawing/2014/main" id="{B82FDB93-03B8-4FAE-8CE0-E693EED8093C}"/>
            </a:ext>
          </a:extLst>
        </xdr:cNvPr>
        <xdr:cNvSpPr/>
      </xdr:nvSpPr>
      <xdr:spPr>
        <a:xfrm>
          <a:off x="18394807" y="79502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43</xdr:row>
      <xdr:rowOff>173211</xdr:rowOff>
    </xdr:from>
    <xdr:ext cx="514858" cy="180627"/>
    <xdr:sp macro="_xll.PtreeEvent_ObjectClick" textlink="">
      <xdr:nvSpPr>
        <xdr:cNvPr id="116" name="PTObj_DBranchName_1_22">
          <a:extLst>
            <a:ext uri="{FF2B5EF4-FFF2-40B4-BE49-F238E27FC236}">
              <a16:creationId xmlns:a16="http://schemas.microsoft.com/office/drawing/2014/main" id="{DA18F11E-3371-4EE3-940C-5721947690EF}"/>
            </a:ext>
          </a:extLst>
        </xdr:cNvPr>
        <xdr:cNvSpPr txBox="1"/>
      </xdr:nvSpPr>
      <xdr:spPr>
        <a:xfrm>
          <a:off x="17244820" y="79551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45</xdr:row>
      <xdr:rowOff>172085</xdr:rowOff>
    </xdr:from>
    <xdr:to>
      <xdr:col>11</xdr:col>
      <xdr:colOff>131572</xdr:colOff>
      <xdr:row>46</xdr:row>
      <xdr:rowOff>173990</xdr:rowOff>
    </xdr:to>
    <xdr:sp macro="_xll.PtreeEvent_ObjectClick" textlink="">
      <xdr:nvSpPr>
        <xdr:cNvPr id="117" name="PTObj_DNode_1_23">
          <a:extLst>
            <a:ext uri="{FF2B5EF4-FFF2-40B4-BE49-F238E27FC236}">
              <a16:creationId xmlns:a16="http://schemas.microsoft.com/office/drawing/2014/main" id="{FCB6D191-EA3E-40BC-89FD-8F25235F2245}"/>
            </a:ext>
          </a:extLst>
        </xdr:cNvPr>
        <xdr:cNvSpPr/>
      </xdr:nvSpPr>
      <xdr:spPr>
        <a:xfrm>
          <a:off x="19819747" y="83159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45</xdr:row>
      <xdr:rowOff>169401</xdr:rowOff>
    </xdr:from>
    <xdr:ext cx="514858" cy="180627"/>
    <xdr:sp macro="_xll.PtreeEvent_ObjectClick" textlink="">
      <xdr:nvSpPr>
        <xdr:cNvPr id="120" name="PTObj_DBranchName_1_23">
          <a:extLst>
            <a:ext uri="{FF2B5EF4-FFF2-40B4-BE49-F238E27FC236}">
              <a16:creationId xmlns:a16="http://schemas.microsoft.com/office/drawing/2014/main" id="{816D21FE-37D0-4415-9741-52CA0A1D409B}"/>
            </a:ext>
          </a:extLst>
        </xdr:cNvPr>
        <xdr:cNvSpPr txBox="1"/>
      </xdr:nvSpPr>
      <xdr:spPr>
        <a:xfrm>
          <a:off x="18666904" y="8313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47</xdr:row>
      <xdr:rowOff>175895</xdr:rowOff>
    </xdr:from>
    <xdr:to>
      <xdr:col>12</xdr:col>
      <xdr:colOff>135383</xdr:colOff>
      <xdr:row>48</xdr:row>
      <xdr:rowOff>173990</xdr:rowOff>
    </xdr:to>
    <xdr:sp macro="_xll.PtreeEvent_ObjectClick" textlink="">
      <xdr:nvSpPr>
        <xdr:cNvPr id="121" name="PTObj_DNode_1_24">
          <a:extLst>
            <a:ext uri="{FF2B5EF4-FFF2-40B4-BE49-F238E27FC236}">
              <a16:creationId xmlns:a16="http://schemas.microsoft.com/office/drawing/2014/main" id="{DBB1999E-39FC-4380-8896-7C7AC1E53BB4}"/>
            </a:ext>
          </a:extLst>
        </xdr:cNvPr>
        <xdr:cNvSpPr/>
      </xdr:nvSpPr>
      <xdr:spPr>
        <a:xfrm rot="-5400000">
          <a:off x="21248498" y="867791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47</xdr:row>
      <xdr:rowOff>173212</xdr:rowOff>
    </xdr:from>
    <xdr:ext cx="514858" cy="180627"/>
    <xdr:sp macro="_xll.PtreeEvent_ObjectClick" textlink="">
      <xdr:nvSpPr>
        <xdr:cNvPr id="124" name="PTObj_DBranchName_1_24">
          <a:extLst>
            <a:ext uri="{FF2B5EF4-FFF2-40B4-BE49-F238E27FC236}">
              <a16:creationId xmlns:a16="http://schemas.microsoft.com/office/drawing/2014/main" id="{D1175F6F-C01D-4775-8FAD-AA5101010657}"/>
            </a:ext>
          </a:extLst>
        </xdr:cNvPr>
        <xdr:cNvSpPr txBox="1"/>
      </xdr:nvSpPr>
      <xdr:spPr>
        <a:xfrm>
          <a:off x="20094701" y="86790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52</xdr:row>
      <xdr:rowOff>2540</xdr:rowOff>
    </xdr:from>
    <xdr:to>
      <xdr:col>9</xdr:col>
      <xdr:colOff>150622</xdr:colOff>
      <xdr:row>53</xdr:row>
      <xdr:rowOff>19685</xdr:rowOff>
    </xdr:to>
    <xdr:sp macro="_xll.PtreeEvent_ObjectClick" textlink="">
      <xdr:nvSpPr>
        <xdr:cNvPr id="125" name="PTObj_DNode_1_26">
          <a:extLst>
            <a:ext uri="{FF2B5EF4-FFF2-40B4-BE49-F238E27FC236}">
              <a16:creationId xmlns:a16="http://schemas.microsoft.com/office/drawing/2014/main" id="{219A0D4D-A6CF-48B5-B1F5-342EEC6F27A8}"/>
            </a:ext>
          </a:extLst>
        </xdr:cNvPr>
        <xdr:cNvSpPr/>
      </xdr:nvSpPr>
      <xdr:spPr>
        <a:xfrm>
          <a:off x="16969867" y="94132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52</xdr:row>
      <xdr:rowOff>3666</xdr:rowOff>
    </xdr:from>
    <xdr:ext cx="568424" cy="180627"/>
    <xdr:sp macro="_xll.PtreeEvent_ObjectClick" textlink="">
      <xdr:nvSpPr>
        <xdr:cNvPr id="128" name="PTObj_DBranchName_1_26">
          <a:extLst>
            <a:ext uri="{FF2B5EF4-FFF2-40B4-BE49-F238E27FC236}">
              <a16:creationId xmlns:a16="http://schemas.microsoft.com/office/drawing/2014/main" id="{73DA6D53-9972-47DB-9723-26D03E134E3E}"/>
            </a:ext>
          </a:extLst>
        </xdr:cNvPr>
        <xdr:cNvSpPr txBox="1"/>
      </xdr:nvSpPr>
      <xdr:spPr>
        <a:xfrm>
          <a:off x="15820834" y="94143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54</xdr:row>
      <xdr:rowOff>6350</xdr:rowOff>
    </xdr:from>
    <xdr:to>
      <xdr:col>10</xdr:col>
      <xdr:colOff>135383</xdr:colOff>
      <xdr:row>55</xdr:row>
      <xdr:rowOff>15875</xdr:rowOff>
    </xdr:to>
    <xdr:sp macro="_xll.PtreeEvent_ObjectClick" textlink="">
      <xdr:nvSpPr>
        <xdr:cNvPr id="129" name="PTObj_DNode_1_27">
          <a:extLst>
            <a:ext uri="{FF2B5EF4-FFF2-40B4-BE49-F238E27FC236}">
              <a16:creationId xmlns:a16="http://schemas.microsoft.com/office/drawing/2014/main" id="{CB43ECDB-23DF-4FFC-B22C-9AE856C57F5C}"/>
            </a:ext>
          </a:extLst>
        </xdr:cNvPr>
        <xdr:cNvSpPr/>
      </xdr:nvSpPr>
      <xdr:spPr>
        <a:xfrm>
          <a:off x="18394807" y="97790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54</xdr:row>
      <xdr:rowOff>9381</xdr:rowOff>
    </xdr:from>
    <xdr:ext cx="514858" cy="180627"/>
    <xdr:sp macro="_xll.PtreeEvent_ObjectClick" textlink="">
      <xdr:nvSpPr>
        <xdr:cNvPr id="132" name="PTObj_DBranchName_1_27">
          <a:extLst>
            <a:ext uri="{FF2B5EF4-FFF2-40B4-BE49-F238E27FC236}">
              <a16:creationId xmlns:a16="http://schemas.microsoft.com/office/drawing/2014/main" id="{2F9D47CB-8E07-401B-8F62-635E356B6F15}"/>
            </a:ext>
          </a:extLst>
        </xdr:cNvPr>
        <xdr:cNvSpPr txBox="1"/>
      </xdr:nvSpPr>
      <xdr:spPr>
        <a:xfrm>
          <a:off x="17244820" y="978203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56</xdr:row>
      <xdr:rowOff>10160</xdr:rowOff>
    </xdr:from>
    <xdr:to>
      <xdr:col>11</xdr:col>
      <xdr:colOff>131572</xdr:colOff>
      <xdr:row>57</xdr:row>
      <xdr:rowOff>19685</xdr:rowOff>
    </xdr:to>
    <xdr:sp macro="_xll.PtreeEvent_ObjectClick" textlink="">
      <xdr:nvSpPr>
        <xdr:cNvPr id="133" name="PTObj_DNode_1_28">
          <a:extLst>
            <a:ext uri="{FF2B5EF4-FFF2-40B4-BE49-F238E27FC236}">
              <a16:creationId xmlns:a16="http://schemas.microsoft.com/office/drawing/2014/main" id="{EE3D31FA-5996-47C6-AAF2-9939DFCA4195}"/>
            </a:ext>
          </a:extLst>
        </xdr:cNvPr>
        <xdr:cNvSpPr/>
      </xdr:nvSpPr>
      <xdr:spPr>
        <a:xfrm>
          <a:off x="19819747" y="101447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56</xdr:row>
      <xdr:rowOff>13191</xdr:rowOff>
    </xdr:from>
    <xdr:ext cx="514858" cy="180627"/>
    <xdr:sp macro="_xll.PtreeEvent_ObjectClick" textlink="">
      <xdr:nvSpPr>
        <xdr:cNvPr id="136" name="PTObj_DBranchName_1_28">
          <a:extLst>
            <a:ext uri="{FF2B5EF4-FFF2-40B4-BE49-F238E27FC236}">
              <a16:creationId xmlns:a16="http://schemas.microsoft.com/office/drawing/2014/main" id="{C41B2166-C46C-49E6-95AD-FAA35B9B6D5D}"/>
            </a:ext>
          </a:extLst>
        </xdr:cNvPr>
        <xdr:cNvSpPr txBox="1"/>
      </xdr:nvSpPr>
      <xdr:spPr>
        <a:xfrm>
          <a:off x="18666904" y="10147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58</xdr:row>
      <xdr:rowOff>21590</xdr:rowOff>
    </xdr:from>
    <xdr:to>
      <xdr:col>12</xdr:col>
      <xdr:colOff>135383</xdr:colOff>
      <xdr:row>59</xdr:row>
      <xdr:rowOff>19685</xdr:rowOff>
    </xdr:to>
    <xdr:sp macro="_xll.PtreeEvent_ObjectClick" textlink="">
      <xdr:nvSpPr>
        <xdr:cNvPr id="137" name="PTObj_DNode_1_29">
          <a:extLst>
            <a:ext uri="{FF2B5EF4-FFF2-40B4-BE49-F238E27FC236}">
              <a16:creationId xmlns:a16="http://schemas.microsoft.com/office/drawing/2014/main" id="{029D0ED2-92D6-46D5-AE07-D4B0B6C6AC06}"/>
            </a:ext>
          </a:extLst>
        </xdr:cNvPr>
        <xdr:cNvSpPr/>
      </xdr:nvSpPr>
      <xdr:spPr>
        <a:xfrm rot="-5400000">
          <a:off x="21248498" y="1051433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58</xdr:row>
      <xdr:rowOff>18907</xdr:rowOff>
    </xdr:from>
    <xdr:ext cx="514858" cy="180627"/>
    <xdr:sp macro="_xll.PtreeEvent_ObjectClick" textlink="">
      <xdr:nvSpPr>
        <xdr:cNvPr id="140" name="PTObj_DBranchName_1_29">
          <a:extLst>
            <a:ext uri="{FF2B5EF4-FFF2-40B4-BE49-F238E27FC236}">
              <a16:creationId xmlns:a16="http://schemas.microsoft.com/office/drawing/2014/main" id="{05036354-B055-4D03-94D1-7F1AFBB0B70A}"/>
            </a:ext>
          </a:extLst>
        </xdr:cNvPr>
        <xdr:cNvSpPr txBox="1"/>
      </xdr:nvSpPr>
      <xdr:spPr>
        <a:xfrm>
          <a:off x="20094701" y="105154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70</xdr:row>
      <xdr:rowOff>36830</xdr:rowOff>
    </xdr:from>
    <xdr:to>
      <xdr:col>8</xdr:col>
      <xdr:colOff>154432</xdr:colOff>
      <xdr:row>71</xdr:row>
      <xdr:rowOff>38736</xdr:rowOff>
    </xdr:to>
    <xdr:sp macro="_xll.PtreeEvent_ObjectClick" textlink="">
      <xdr:nvSpPr>
        <xdr:cNvPr id="141" name="PTObj_DNode_1_35">
          <a:extLst>
            <a:ext uri="{FF2B5EF4-FFF2-40B4-BE49-F238E27FC236}">
              <a16:creationId xmlns:a16="http://schemas.microsoft.com/office/drawing/2014/main" id="{69755682-2C47-471E-961A-211B0A9FFE34}"/>
            </a:ext>
          </a:extLst>
        </xdr:cNvPr>
        <xdr:cNvSpPr/>
      </xdr:nvSpPr>
      <xdr:spPr>
        <a:xfrm>
          <a:off x="15544927" y="127050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70</xdr:row>
      <xdr:rowOff>37957</xdr:rowOff>
    </xdr:from>
    <xdr:ext cx="568425" cy="180627"/>
    <xdr:sp macro="_xll.PtreeEvent_ObjectClick" textlink="">
      <xdr:nvSpPr>
        <xdr:cNvPr id="144" name="PTObj_DBranchName_1_35">
          <a:extLst>
            <a:ext uri="{FF2B5EF4-FFF2-40B4-BE49-F238E27FC236}">
              <a16:creationId xmlns:a16="http://schemas.microsoft.com/office/drawing/2014/main" id="{343B25E9-B818-40B4-8AA9-E45B7652E5C3}"/>
            </a:ext>
          </a:extLst>
        </xdr:cNvPr>
        <xdr:cNvSpPr txBox="1"/>
      </xdr:nvSpPr>
      <xdr:spPr>
        <a:xfrm>
          <a:off x="14400657" y="12706207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62</xdr:row>
      <xdr:rowOff>21590</xdr:rowOff>
    </xdr:from>
    <xdr:to>
      <xdr:col>9</xdr:col>
      <xdr:colOff>150622</xdr:colOff>
      <xdr:row>63</xdr:row>
      <xdr:rowOff>19685</xdr:rowOff>
    </xdr:to>
    <xdr:sp macro="_xll.PtreeEvent_ObjectClick" textlink="">
      <xdr:nvSpPr>
        <xdr:cNvPr id="145" name="PTObj_DNode_1_31">
          <a:extLst>
            <a:ext uri="{FF2B5EF4-FFF2-40B4-BE49-F238E27FC236}">
              <a16:creationId xmlns:a16="http://schemas.microsoft.com/office/drawing/2014/main" id="{387C1478-8975-41D5-BF98-8AAEE9543422}"/>
            </a:ext>
          </a:extLst>
        </xdr:cNvPr>
        <xdr:cNvSpPr/>
      </xdr:nvSpPr>
      <xdr:spPr>
        <a:xfrm>
          <a:off x="16969867" y="112420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62</xdr:row>
      <xdr:rowOff>18906</xdr:rowOff>
    </xdr:from>
    <xdr:ext cx="568424" cy="180627"/>
    <xdr:sp macro="_xll.PtreeEvent_ObjectClick" textlink="">
      <xdr:nvSpPr>
        <xdr:cNvPr id="148" name="PTObj_DBranchName_1_31">
          <a:extLst>
            <a:ext uri="{FF2B5EF4-FFF2-40B4-BE49-F238E27FC236}">
              <a16:creationId xmlns:a16="http://schemas.microsoft.com/office/drawing/2014/main" id="{8E42CA1B-FE7C-4CC4-8594-E7D5083A9607}"/>
            </a:ext>
          </a:extLst>
        </xdr:cNvPr>
        <xdr:cNvSpPr txBox="1"/>
      </xdr:nvSpPr>
      <xdr:spPr>
        <a:xfrm>
          <a:off x="15820834" y="1123935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64</xdr:row>
      <xdr:rowOff>25400</xdr:rowOff>
    </xdr:from>
    <xdr:to>
      <xdr:col>10</xdr:col>
      <xdr:colOff>131573</xdr:colOff>
      <xdr:row>65</xdr:row>
      <xdr:rowOff>21590</xdr:rowOff>
    </xdr:to>
    <xdr:sp macro="_xll.PtreeEvent_ObjectClick" textlink="">
      <xdr:nvSpPr>
        <xdr:cNvPr id="149" name="PTObj_DNode_1_32">
          <a:extLst>
            <a:ext uri="{FF2B5EF4-FFF2-40B4-BE49-F238E27FC236}">
              <a16:creationId xmlns:a16="http://schemas.microsoft.com/office/drawing/2014/main" id="{0A3BE943-54C5-4CBA-90DA-21BDA8300B5D}"/>
            </a:ext>
          </a:extLst>
        </xdr:cNvPr>
        <xdr:cNvSpPr/>
      </xdr:nvSpPr>
      <xdr:spPr>
        <a:xfrm>
          <a:off x="18394807" y="116078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64</xdr:row>
      <xdr:rowOff>22716</xdr:rowOff>
    </xdr:from>
    <xdr:ext cx="514858" cy="180627"/>
    <xdr:sp macro="_xll.PtreeEvent_ObjectClick" textlink="">
      <xdr:nvSpPr>
        <xdr:cNvPr id="152" name="PTObj_DBranchName_1_32">
          <a:extLst>
            <a:ext uri="{FF2B5EF4-FFF2-40B4-BE49-F238E27FC236}">
              <a16:creationId xmlns:a16="http://schemas.microsoft.com/office/drawing/2014/main" id="{066C92A2-FA13-4634-BF44-C68467E73B71}"/>
            </a:ext>
          </a:extLst>
        </xdr:cNvPr>
        <xdr:cNvSpPr txBox="1"/>
      </xdr:nvSpPr>
      <xdr:spPr>
        <a:xfrm>
          <a:off x="17244820" y="116051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66</xdr:row>
      <xdr:rowOff>29210</xdr:rowOff>
    </xdr:from>
    <xdr:to>
      <xdr:col>11</xdr:col>
      <xdr:colOff>135382</xdr:colOff>
      <xdr:row>67</xdr:row>
      <xdr:rowOff>17780</xdr:rowOff>
    </xdr:to>
    <xdr:sp macro="_xll.PtreeEvent_ObjectClick" textlink="">
      <xdr:nvSpPr>
        <xdr:cNvPr id="153" name="PTObj_DNode_1_33">
          <a:extLst>
            <a:ext uri="{FF2B5EF4-FFF2-40B4-BE49-F238E27FC236}">
              <a16:creationId xmlns:a16="http://schemas.microsoft.com/office/drawing/2014/main" id="{499C20F9-E06E-4635-AE42-7F782E5F69ED}"/>
            </a:ext>
          </a:extLst>
        </xdr:cNvPr>
        <xdr:cNvSpPr/>
      </xdr:nvSpPr>
      <xdr:spPr>
        <a:xfrm>
          <a:off x="19819747" y="119735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66</xdr:row>
      <xdr:rowOff>28431</xdr:rowOff>
    </xdr:from>
    <xdr:ext cx="514858" cy="180627"/>
    <xdr:sp macro="_xll.PtreeEvent_ObjectClick" textlink="">
      <xdr:nvSpPr>
        <xdr:cNvPr id="156" name="PTObj_DBranchName_1_33">
          <a:extLst>
            <a:ext uri="{FF2B5EF4-FFF2-40B4-BE49-F238E27FC236}">
              <a16:creationId xmlns:a16="http://schemas.microsoft.com/office/drawing/2014/main" id="{5A16F030-8796-4A44-BEC7-E2E0DC4576E3}"/>
            </a:ext>
          </a:extLst>
        </xdr:cNvPr>
        <xdr:cNvSpPr txBox="1"/>
      </xdr:nvSpPr>
      <xdr:spPr>
        <a:xfrm>
          <a:off x="18666904" y="11972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1384110</xdr:colOff>
      <xdr:row>68</xdr:row>
      <xdr:rowOff>35878</xdr:rowOff>
    </xdr:from>
    <xdr:to>
      <xdr:col>12</xdr:col>
      <xdr:colOff>132525</xdr:colOff>
      <xdr:row>69</xdr:row>
      <xdr:rowOff>18733</xdr:rowOff>
    </xdr:to>
    <xdr:sp macro="_xll.PtreeEvent_ObjectClick" textlink="">
      <xdr:nvSpPr>
        <xdr:cNvPr id="157" name="PTObj_DNode_1_34">
          <a:extLst>
            <a:ext uri="{FF2B5EF4-FFF2-40B4-BE49-F238E27FC236}">
              <a16:creationId xmlns:a16="http://schemas.microsoft.com/office/drawing/2014/main" id="{9AE2B6E9-CC34-4352-888A-82E4C9C18187}"/>
            </a:ext>
          </a:extLst>
        </xdr:cNvPr>
        <xdr:cNvSpPr/>
      </xdr:nvSpPr>
      <xdr:spPr>
        <a:xfrm rot="-5400000">
          <a:off x="21248498" y="12337415"/>
          <a:ext cx="175260" cy="1847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68</xdr:row>
      <xdr:rowOff>32242</xdr:rowOff>
    </xdr:from>
    <xdr:ext cx="514858" cy="180627"/>
    <xdr:sp macro="_xll.PtreeEvent_ObjectClick" textlink="">
      <xdr:nvSpPr>
        <xdr:cNvPr id="160" name="PTObj_DBranchName_1_34">
          <a:extLst>
            <a:ext uri="{FF2B5EF4-FFF2-40B4-BE49-F238E27FC236}">
              <a16:creationId xmlns:a16="http://schemas.microsoft.com/office/drawing/2014/main" id="{6B8038C6-D91B-4DDA-832E-64EDFA2E010A}"/>
            </a:ext>
          </a:extLst>
        </xdr:cNvPr>
        <xdr:cNvSpPr txBox="1"/>
      </xdr:nvSpPr>
      <xdr:spPr>
        <a:xfrm>
          <a:off x="20094701" y="1233854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72</xdr:row>
      <xdr:rowOff>40639</xdr:rowOff>
    </xdr:from>
    <xdr:to>
      <xdr:col>9</xdr:col>
      <xdr:colOff>150622</xdr:colOff>
      <xdr:row>73</xdr:row>
      <xdr:rowOff>53975</xdr:rowOff>
    </xdr:to>
    <xdr:sp macro="_xll.PtreeEvent_ObjectClick" textlink="">
      <xdr:nvSpPr>
        <xdr:cNvPr id="161" name="PTObj_DNode_1_36">
          <a:extLst>
            <a:ext uri="{FF2B5EF4-FFF2-40B4-BE49-F238E27FC236}">
              <a16:creationId xmlns:a16="http://schemas.microsoft.com/office/drawing/2014/main" id="{70AC7541-2A5C-483D-A925-5C825D1B3554}"/>
            </a:ext>
          </a:extLst>
        </xdr:cNvPr>
        <xdr:cNvSpPr/>
      </xdr:nvSpPr>
      <xdr:spPr>
        <a:xfrm>
          <a:off x="16969867" y="130708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72</xdr:row>
      <xdr:rowOff>41766</xdr:rowOff>
    </xdr:from>
    <xdr:ext cx="568424" cy="180627"/>
    <xdr:sp macro="_xll.PtreeEvent_ObjectClick" textlink="">
      <xdr:nvSpPr>
        <xdr:cNvPr id="164" name="PTObj_DBranchName_1_36">
          <a:extLst>
            <a:ext uri="{FF2B5EF4-FFF2-40B4-BE49-F238E27FC236}">
              <a16:creationId xmlns:a16="http://schemas.microsoft.com/office/drawing/2014/main" id="{F83D3E2E-A6C4-4060-885C-1E0F47D570F1}"/>
            </a:ext>
          </a:extLst>
        </xdr:cNvPr>
        <xdr:cNvSpPr txBox="1"/>
      </xdr:nvSpPr>
      <xdr:spPr>
        <a:xfrm>
          <a:off x="15820834" y="130719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74</xdr:row>
      <xdr:rowOff>44450</xdr:rowOff>
    </xdr:from>
    <xdr:to>
      <xdr:col>10</xdr:col>
      <xdr:colOff>131573</xdr:colOff>
      <xdr:row>75</xdr:row>
      <xdr:rowOff>57785</xdr:rowOff>
    </xdr:to>
    <xdr:sp macro="_xll.PtreeEvent_ObjectClick" textlink="">
      <xdr:nvSpPr>
        <xdr:cNvPr id="165" name="PTObj_DNode_1_37">
          <a:extLst>
            <a:ext uri="{FF2B5EF4-FFF2-40B4-BE49-F238E27FC236}">
              <a16:creationId xmlns:a16="http://schemas.microsoft.com/office/drawing/2014/main" id="{C75F6C4B-787D-432E-96D4-2DD0168C03C4}"/>
            </a:ext>
          </a:extLst>
        </xdr:cNvPr>
        <xdr:cNvSpPr/>
      </xdr:nvSpPr>
      <xdr:spPr>
        <a:xfrm>
          <a:off x="18394807" y="134366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74</xdr:row>
      <xdr:rowOff>47482</xdr:rowOff>
    </xdr:from>
    <xdr:ext cx="514858" cy="180627"/>
    <xdr:sp macro="_xll.PtreeEvent_ObjectClick" textlink="">
      <xdr:nvSpPr>
        <xdr:cNvPr id="168" name="PTObj_DBranchName_1_37">
          <a:extLst>
            <a:ext uri="{FF2B5EF4-FFF2-40B4-BE49-F238E27FC236}">
              <a16:creationId xmlns:a16="http://schemas.microsoft.com/office/drawing/2014/main" id="{6BC277D6-3B0B-42FC-A29A-E63FDE5BE41F}"/>
            </a:ext>
          </a:extLst>
        </xdr:cNvPr>
        <xdr:cNvSpPr txBox="1"/>
      </xdr:nvSpPr>
      <xdr:spPr>
        <a:xfrm>
          <a:off x="17244820" y="1343963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76</xdr:row>
      <xdr:rowOff>48261</xdr:rowOff>
    </xdr:from>
    <xdr:to>
      <xdr:col>11</xdr:col>
      <xdr:colOff>135382</xdr:colOff>
      <xdr:row>77</xdr:row>
      <xdr:rowOff>53976</xdr:rowOff>
    </xdr:to>
    <xdr:sp macro="_xll.PtreeEvent_ObjectClick" textlink="">
      <xdr:nvSpPr>
        <xdr:cNvPr id="169" name="PTObj_DNode_1_38">
          <a:extLst>
            <a:ext uri="{FF2B5EF4-FFF2-40B4-BE49-F238E27FC236}">
              <a16:creationId xmlns:a16="http://schemas.microsoft.com/office/drawing/2014/main" id="{3FA258E9-E1D2-4A20-B350-EBC0364DEBBB}"/>
            </a:ext>
          </a:extLst>
        </xdr:cNvPr>
        <xdr:cNvSpPr/>
      </xdr:nvSpPr>
      <xdr:spPr>
        <a:xfrm>
          <a:off x="19819747" y="138023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76</xdr:row>
      <xdr:rowOff>51291</xdr:rowOff>
    </xdr:from>
    <xdr:ext cx="514858" cy="180627"/>
    <xdr:sp macro="_xll.PtreeEvent_ObjectClick" textlink="">
      <xdr:nvSpPr>
        <xdr:cNvPr id="172" name="PTObj_DBranchName_1_38">
          <a:extLst>
            <a:ext uri="{FF2B5EF4-FFF2-40B4-BE49-F238E27FC236}">
              <a16:creationId xmlns:a16="http://schemas.microsoft.com/office/drawing/2014/main" id="{2999AC68-AAFD-43C5-9933-D9C7B2533900}"/>
            </a:ext>
          </a:extLst>
        </xdr:cNvPr>
        <xdr:cNvSpPr txBox="1"/>
      </xdr:nvSpPr>
      <xdr:spPr>
        <a:xfrm>
          <a:off x="18666904" y="13805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78</xdr:row>
      <xdr:rowOff>59690</xdr:rowOff>
    </xdr:from>
    <xdr:to>
      <xdr:col>12</xdr:col>
      <xdr:colOff>131573</xdr:colOff>
      <xdr:row>79</xdr:row>
      <xdr:rowOff>53975</xdr:rowOff>
    </xdr:to>
    <xdr:sp macro="_xll.PtreeEvent_ObjectClick" textlink="">
      <xdr:nvSpPr>
        <xdr:cNvPr id="173" name="PTObj_DNode_1_39">
          <a:extLst>
            <a:ext uri="{FF2B5EF4-FFF2-40B4-BE49-F238E27FC236}">
              <a16:creationId xmlns:a16="http://schemas.microsoft.com/office/drawing/2014/main" id="{B328B71F-02BB-479A-827F-373840DE8EB9}"/>
            </a:ext>
          </a:extLst>
        </xdr:cNvPr>
        <xdr:cNvSpPr/>
      </xdr:nvSpPr>
      <xdr:spPr>
        <a:xfrm rot="-5400000">
          <a:off x="21248498" y="1417193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78</xdr:row>
      <xdr:rowOff>57007</xdr:rowOff>
    </xdr:from>
    <xdr:ext cx="514858" cy="180627"/>
    <xdr:sp macro="_xll.PtreeEvent_ObjectClick" textlink="">
      <xdr:nvSpPr>
        <xdr:cNvPr id="176" name="PTObj_DBranchName_1_39">
          <a:extLst>
            <a:ext uri="{FF2B5EF4-FFF2-40B4-BE49-F238E27FC236}">
              <a16:creationId xmlns:a16="http://schemas.microsoft.com/office/drawing/2014/main" id="{90FBE092-BE56-4DF8-8540-D2287AE7B531}"/>
            </a:ext>
          </a:extLst>
        </xdr:cNvPr>
        <xdr:cNvSpPr txBox="1"/>
      </xdr:nvSpPr>
      <xdr:spPr>
        <a:xfrm>
          <a:off x="20094701" y="141730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120</xdr:row>
      <xdr:rowOff>132080</xdr:rowOff>
    </xdr:from>
    <xdr:to>
      <xdr:col>6</xdr:col>
      <xdr:colOff>171577</xdr:colOff>
      <xdr:row>121</xdr:row>
      <xdr:rowOff>130176</xdr:rowOff>
    </xdr:to>
    <xdr:sp macro="_xll.PtreeEvent_ObjectClick" textlink="">
      <xdr:nvSpPr>
        <xdr:cNvPr id="177" name="PTObj_DNode_1_60">
          <a:extLst>
            <a:ext uri="{FF2B5EF4-FFF2-40B4-BE49-F238E27FC236}">
              <a16:creationId xmlns:a16="http://schemas.microsoft.com/office/drawing/2014/main" id="{8B1F45CC-8884-4555-ABE5-C5F91C09A8C1}"/>
            </a:ext>
          </a:extLst>
        </xdr:cNvPr>
        <xdr:cNvSpPr/>
      </xdr:nvSpPr>
      <xdr:spPr>
        <a:xfrm>
          <a:off x="12695047" y="218490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120</xdr:row>
      <xdr:rowOff>137016</xdr:rowOff>
    </xdr:from>
    <xdr:ext cx="566520" cy="180627"/>
    <xdr:sp macro="_xll.PtreeEvent_ObjectClick" textlink="">
      <xdr:nvSpPr>
        <xdr:cNvPr id="180" name="PTObj_DBranchName_1_60">
          <a:extLst>
            <a:ext uri="{FF2B5EF4-FFF2-40B4-BE49-F238E27FC236}">
              <a16:creationId xmlns:a16="http://schemas.microsoft.com/office/drawing/2014/main" id="{9A3A1230-C924-4E71-87FF-209C500A159F}"/>
            </a:ext>
          </a:extLst>
        </xdr:cNvPr>
        <xdr:cNvSpPr txBox="1"/>
      </xdr:nvSpPr>
      <xdr:spPr>
        <a:xfrm>
          <a:off x="11550776" y="2185401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100</xdr:row>
      <xdr:rowOff>93980</xdr:rowOff>
    </xdr:from>
    <xdr:to>
      <xdr:col>7</xdr:col>
      <xdr:colOff>167768</xdr:colOff>
      <xdr:row>101</xdr:row>
      <xdr:rowOff>95886</xdr:rowOff>
    </xdr:to>
    <xdr:sp macro="_xll.PtreeEvent_ObjectClick" textlink="">
      <xdr:nvSpPr>
        <xdr:cNvPr id="181" name="PTObj_DNode_1_50">
          <a:extLst>
            <a:ext uri="{FF2B5EF4-FFF2-40B4-BE49-F238E27FC236}">
              <a16:creationId xmlns:a16="http://schemas.microsoft.com/office/drawing/2014/main" id="{2291AAD7-B2EB-4C6E-91BD-34DFB84EB46F}"/>
            </a:ext>
          </a:extLst>
        </xdr:cNvPr>
        <xdr:cNvSpPr/>
      </xdr:nvSpPr>
      <xdr:spPr>
        <a:xfrm>
          <a:off x="14119988" y="181914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100</xdr:row>
      <xdr:rowOff>98916</xdr:rowOff>
    </xdr:from>
    <xdr:ext cx="566520" cy="180627"/>
    <xdr:sp macro="_xll.PtreeEvent_ObjectClick" textlink="">
      <xdr:nvSpPr>
        <xdr:cNvPr id="184" name="PTObj_DBranchName_1_50">
          <a:extLst>
            <a:ext uri="{FF2B5EF4-FFF2-40B4-BE49-F238E27FC236}">
              <a16:creationId xmlns:a16="http://schemas.microsoft.com/office/drawing/2014/main" id="{45F0704F-26AE-4718-B091-A3823912C3FE}"/>
            </a:ext>
          </a:extLst>
        </xdr:cNvPr>
        <xdr:cNvSpPr txBox="1"/>
      </xdr:nvSpPr>
      <xdr:spPr>
        <a:xfrm>
          <a:off x="12976669" y="1819641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90</xdr:row>
      <xdr:rowOff>74930</xdr:rowOff>
    </xdr:from>
    <xdr:to>
      <xdr:col>8</xdr:col>
      <xdr:colOff>154432</xdr:colOff>
      <xdr:row>91</xdr:row>
      <xdr:rowOff>76836</xdr:rowOff>
    </xdr:to>
    <xdr:sp macro="_xll.PtreeEvent_ObjectClick" textlink="">
      <xdr:nvSpPr>
        <xdr:cNvPr id="185" name="PTObj_DNode_1_45">
          <a:extLst>
            <a:ext uri="{FF2B5EF4-FFF2-40B4-BE49-F238E27FC236}">
              <a16:creationId xmlns:a16="http://schemas.microsoft.com/office/drawing/2014/main" id="{D19581E4-4C3B-4382-983F-E2654626ED95}"/>
            </a:ext>
          </a:extLst>
        </xdr:cNvPr>
        <xdr:cNvSpPr/>
      </xdr:nvSpPr>
      <xdr:spPr>
        <a:xfrm>
          <a:off x="15544927" y="163626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90</xdr:row>
      <xdr:rowOff>76056</xdr:rowOff>
    </xdr:from>
    <xdr:ext cx="566519" cy="180627"/>
    <xdr:sp macro="_xll.PtreeEvent_ObjectClick" textlink="">
      <xdr:nvSpPr>
        <xdr:cNvPr id="188" name="PTObj_DBranchName_1_45">
          <a:extLst>
            <a:ext uri="{FF2B5EF4-FFF2-40B4-BE49-F238E27FC236}">
              <a16:creationId xmlns:a16="http://schemas.microsoft.com/office/drawing/2014/main" id="{768F14D0-549B-4716-8704-861A589569FF}"/>
            </a:ext>
          </a:extLst>
        </xdr:cNvPr>
        <xdr:cNvSpPr txBox="1"/>
      </xdr:nvSpPr>
      <xdr:spPr>
        <a:xfrm>
          <a:off x="14398752" y="1636380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82</xdr:row>
      <xdr:rowOff>59689</xdr:rowOff>
    </xdr:from>
    <xdr:to>
      <xdr:col>9</xdr:col>
      <xdr:colOff>150622</xdr:colOff>
      <xdr:row>83</xdr:row>
      <xdr:rowOff>53975</xdr:rowOff>
    </xdr:to>
    <xdr:sp macro="_xll.PtreeEvent_ObjectClick" textlink="">
      <xdr:nvSpPr>
        <xdr:cNvPr id="189" name="PTObj_DNode_1_41">
          <a:extLst>
            <a:ext uri="{FF2B5EF4-FFF2-40B4-BE49-F238E27FC236}">
              <a16:creationId xmlns:a16="http://schemas.microsoft.com/office/drawing/2014/main" id="{426CA2BB-9807-4F4B-A84C-09EDAE186A36}"/>
            </a:ext>
          </a:extLst>
        </xdr:cNvPr>
        <xdr:cNvSpPr/>
      </xdr:nvSpPr>
      <xdr:spPr>
        <a:xfrm>
          <a:off x="16969867" y="148996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82</xdr:row>
      <xdr:rowOff>57006</xdr:rowOff>
    </xdr:from>
    <xdr:ext cx="568424" cy="180627"/>
    <xdr:sp macro="_xll.PtreeEvent_ObjectClick" textlink="">
      <xdr:nvSpPr>
        <xdr:cNvPr id="192" name="PTObj_DBranchName_1_41">
          <a:extLst>
            <a:ext uri="{FF2B5EF4-FFF2-40B4-BE49-F238E27FC236}">
              <a16:creationId xmlns:a16="http://schemas.microsoft.com/office/drawing/2014/main" id="{903F4C22-C6AB-45CB-BF92-8D3DC41A1A14}"/>
            </a:ext>
          </a:extLst>
        </xdr:cNvPr>
        <xdr:cNvSpPr txBox="1"/>
      </xdr:nvSpPr>
      <xdr:spPr>
        <a:xfrm>
          <a:off x="15820834" y="1489695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84</xdr:row>
      <xdr:rowOff>63500</xdr:rowOff>
    </xdr:from>
    <xdr:to>
      <xdr:col>10</xdr:col>
      <xdr:colOff>135383</xdr:colOff>
      <xdr:row>85</xdr:row>
      <xdr:rowOff>55880</xdr:rowOff>
    </xdr:to>
    <xdr:sp macro="_xll.PtreeEvent_ObjectClick" textlink="">
      <xdr:nvSpPr>
        <xdr:cNvPr id="193" name="PTObj_DNode_1_42">
          <a:extLst>
            <a:ext uri="{FF2B5EF4-FFF2-40B4-BE49-F238E27FC236}">
              <a16:creationId xmlns:a16="http://schemas.microsoft.com/office/drawing/2014/main" id="{3A01112C-7E9D-4D01-8EF9-35F824B8F156}"/>
            </a:ext>
          </a:extLst>
        </xdr:cNvPr>
        <xdr:cNvSpPr/>
      </xdr:nvSpPr>
      <xdr:spPr>
        <a:xfrm>
          <a:off x="18394807" y="152654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84</xdr:row>
      <xdr:rowOff>60817</xdr:rowOff>
    </xdr:from>
    <xdr:ext cx="514858" cy="180627"/>
    <xdr:sp macro="_xll.PtreeEvent_ObjectClick" textlink="">
      <xdr:nvSpPr>
        <xdr:cNvPr id="196" name="PTObj_DBranchName_1_42">
          <a:extLst>
            <a:ext uri="{FF2B5EF4-FFF2-40B4-BE49-F238E27FC236}">
              <a16:creationId xmlns:a16="http://schemas.microsoft.com/office/drawing/2014/main" id="{A2DEF643-706C-482F-A2D9-C970A62500E5}"/>
            </a:ext>
          </a:extLst>
        </xdr:cNvPr>
        <xdr:cNvSpPr txBox="1"/>
      </xdr:nvSpPr>
      <xdr:spPr>
        <a:xfrm>
          <a:off x="17244820" y="1526271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86</xdr:row>
      <xdr:rowOff>67311</xdr:rowOff>
    </xdr:from>
    <xdr:to>
      <xdr:col>11</xdr:col>
      <xdr:colOff>131572</xdr:colOff>
      <xdr:row>87</xdr:row>
      <xdr:rowOff>59691</xdr:rowOff>
    </xdr:to>
    <xdr:sp macro="_xll.PtreeEvent_ObjectClick" textlink="">
      <xdr:nvSpPr>
        <xdr:cNvPr id="197" name="PTObj_DNode_1_43">
          <a:extLst>
            <a:ext uri="{FF2B5EF4-FFF2-40B4-BE49-F238E27FC236}">
              <a16:creationId xmlns:a16="http://schemas.microsoft.com/office/drawing/2014/main" id="{B0422F74-7E95-48CF-947F-1667896F4F69}"/>
            </a:ext>
          </a:extLst>
        </xdr:cNvPr>
        <xdr:cNvSpPr/>
      </xdr:nvSpPr>
      <xdr:spPr>
        <a:xfrm>
          <a:off x="19819747" y="156311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86</xdr:row>
      <xdr:rowOff>66531</xdr:rowOff>
    </xdr:from>
    <xdr:ext cx="514858" cy="180627"/>
    <xdr:sp macro="_xll.PtreeEvent_ObjectClick" textlink="">
      <xdr:nvSpPr>
        <xdr:cNvPr id="200" name="PTObj_DBranchName_1_43">
          <a:extLst>
            <a:ext uri="{FF2B5EF4-FFF2-40B4-BE49-F238E27FC236}">
              <a16:creationId xmlns:a16="http://schemas.microsoft.com/office/drawing/2014/main" id="{5B17EAF5-0BD3-4035-BA1F-8E3893AF3C54}"/>
            </a:ext>
          </a:extLst>
        </xdr:cNvPr>
        <xdr:cNvSpPr txBox="1"/>
      </xdr:nvSpPr>
      <xdr:spPr>
        <a:xfrm>
          <a:off x="18666904" y="15630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1384110</xdr:colOff>
      <xdr:row>88</xdr:row>
      <xdr:rowOff>73978</xdr:rowOff>
    </xdr:from>
    <xdr:to>
      <xdr:col>12</xdr:col>
      <xdr:colOff>136335</xdr:colOff>
      <xdr:row>89</xdr:row>
      <xdr:rowOff>60643</xdr:rowOff>
    </xdr:to>
    <xdr:sp macro="_xll.PtreeEvent_ObjectClick" textlink="">
      <xdr:nvSpPr>
        <xdr:cNvPr id="201" name="PTObj_DNode_1_44">
          <a:extLst>
            <a:ext uri="{FF2B5EF4-FFF2-40B4-BE49-F238E27FC236}">
              <a16:creationId xmlns:a16="http://schemas.microsoft.com/office/drawing/2014/main" id="{045D1FE3-DCB2-424D-83E0-9A661DF35064}"/>
            </a:ext>
          </a:extLst>
        </xdr:cNvPr>
        <xdr:cNvSpPr/>
      </xdr:nvSpPr>
      <xdr:spPr>
        <a:xfrm rot="-5400000">
          <a:off x="21248498" y="15995015"/>
          <a:ext cx="175260" cy="1847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88</xdr:row>
      <xdr:rowOff>70342</xdr:rowOff>
    </xdr:from>
    <xdr:ext cx="514858" cy="180627"/>
    <xdr:sp macro="_xll.PtreeEvent_ObjectClick" textlink="">
      <xdr:nvSpPr>
        <xdr:cNvPr id="204" name="PTObj_DBranchName_1_44">
          <a:extLst>
            <a:ext uri="{FF2B5EF4-FFF2-40B4-BE49-F238E27FC236}">
              <a16:creationId xmlns:a16="http://schemas.microsoft.com/office/drawing/2014/main" id="{1FBF1DDB-94FE-4167-897B-CCE0916BF953}"/>
            </a:ext>
          </a:extLst>
        </xdr:cNvPr>
        <xdr:cNvSpPr txBox="1"/>
      </xdr:nvSpPr>
      <xdr:spPr>
        <a:xfrm>
          <a:off x="20094701" y="1599614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92</xdr:row>
      <xdr:rowOff>78739</xdr:rowOff>
    </xdr:from>
    <xdr:to>
      <xdr:col>9</xdr:col>
      <xdr:colOff>150622</xdr:colOff>
      <xdr:row>93</xdr:row>
      <xdr:rowOff>95885</xdr:rowOff>
    </xdr:to>
    <xdr:sp macro="_xll.PtreeEvent_ObjectClick" textlink="">
      <xdr:nvSpPr>
        <xdr:cNvPr id="205" name="PTObj_DNode_1_46">
          <a:extLst>
            <a:ext uri="{FF2B5EF4-FFF2-40B4-BE49-F238E27FC236}">
              <a16:creationId xmlns:a16="http://schemas.microsoft.com/office/drawing/2014/main" id="{57E01B3D-CFC9-477D-8738-456D70E6F385}"/>
            </a:ext>
          </a:extLst>
        </xdr:cNvPr>
        <xdr:cNvSpPr/>
      </xdr:nvSpPr>
      <xdr:spPr>
        <a:xfrm>
          <a:off x="16969867" y="167284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92</xdr:row>
      <xdr:rowOff>79866</xdr:rowOff>
    </xdr:from>
    <xdr:ext cx="568424" cy="180627"/>
    <xdr:sp macro="_xll.PtreeEvent_ObjectClick" textlink="">
      <xdr:nvSpPr>
        <xdr:cNvPr id="208" name="PTObj_DBranchName_1_46">
          <a:extLst>
            <a:ext uri="{FF2B5EF4-FFF2-40B4-BE49-F238E27FC236}">
              <a16:creationId xmlns:a16="http://schemas.microsoft.com/office/drawing/2014/main" id="{A30C15DB-1A1A-48F9-A5AA-ABFD681949CA}"/>
            </a:ext>
          </a:extLst>
        </xdr:cNvPr>
        <xdr:cNvSpPr txBox="1"/>
      </xdr:nvSpPr>
      <xdr:spPr>
        <a:xfrm>
          <a:off x="15820834" y="167295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94</xdr:row>
      <xdr:rowOff>82550</xdr:rowOff>
    </xdr:from>
    <xdr:to>
      <xdr:col>10</xdr:col>
      <xdr:colOff>135383</xdr:colOff>
      <xdr:row>95</xdr:row>
      <xdr:rowOff>92075</xdr:rowOff>
    </xdr:to>
    <xdr:sp macro="_xll.PtreeEvent_ObjectClick" textlink="">
      <xdr:nvSpPr>
        <xdr:cNvPr id="209" name="PTObj_DNode_1_47">
          <a:extLst>
            <a:ext uri="{FF2B5EF4-FFF2-40B4-BE49-F238E27FC236}">
              <a16:creationId xmlns:a16="http://schemas.microsoft.com/office/drawing/2014/main" id="{29C65A52-CD89-4DC0-BD80-792C7CA6075A}"/>
            </a:ext>
          </a:extLst>
        </xdr:cNvPr>
        <xdr:cNvSpPr/>
      </xdr:nvSpPr>
      <xdr:spPr>
        <a:xfrm>
          <a:off x="18394807" y="170942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94</xdr:row>
      <xdr:rowOff>85582</xdr:rowOff>
    </xdr:from>
    <xdr:ext cx="514858" cy="180627"/>
    <xdr:sp macro="_xll.PtreeEvent_ObjectClick" textlink="">
      <xdr:nvSpPr>
        <xdr:cNvPr id="212" name="PTObj_DBranchName_1_47">
          <a:extLst>
            <a:ext uri="{FF2B5EF4-FFF2-40B4-BE49-F238E27FC236}">
              <a16:creationId xmlns:a16="http://schemas.microsoft.com/office/drawing/2014/main" id="{30C138E9-3A85-4E70-83E0-40E60511DD42}"/>
            </a:ext>
          </a:extLst>
        </xdr:cNvPr>
        <xdr:cNvSpPr txBox="1"/>
      </xdr:nvSpPr>
      <xdr:spPr>
        <a:xfrm>
          <a:off x="17244820" y="1709723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96</xdr:row>
      <xdr:rowOff>86361</xdr:rowOff>
    </xdr:from>
    <xdr:to>
      <xdr:col>11</xdr:col>
      <xdr:colOff>131572</xdr:colOff>
      <xdr:row>97</xdr:row>
      <xdr:rowOff>95886</xdr:rowOff>
    </xdr:to>
    <xdr:sp macro="_xll.PtreeEvent_ObjectClick" textlink="">
      <xdr:nvSpPr>
        <xdr:cNvPr id="213" name="PTObj_DNode_1_48">
          <a:extLst>
            <a:ext uri="{FF2B5EF4-FFF2-40B4-BE49-F238E27FC236}">
              <a16:creationId xmlns:a16="http://schemas.microsoft.com/office/drawing/2014/main" id="{90B5A271-86E3-4B12-9B67-6E8E40BDDC2B}"/>
            </a:ext>
          </a:extLst>
        </xdr:cNvPr>
        <xdr:cNvSpPr/>
      </xdr:nvSpPr>
      <xdr:spPr>
        <a:xfrm>
          <a:off x="19819747" y="174599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96</xdr:row>
      <xdr:rowOff>89391</xdr:rowOff>
    </xdr:from>
    <xdr:ext cx="514858" cy="180627"/>
    <xdr:sp macro="_xll.PtreeEvent_ObjectClick" textlink="">
      <xdr:nvSpPr>
        <xdr:cNvPr id="216" name="PTObj_DBranchName_1_48">
          <a:extLst>
            <a:ext uri="{FF2B5EF4-FFF2-40B4-BE49-F238E27FC236}">
              <a16:creationId xmlns:a16="http://schemas.microsoft.com/office/drawing/2014/main" id="{9266B1E9-67B1-4450-ABA3-9AF15BA3F6DC}"/>
            </a:ext>
          </a:extLst>
        </xdr:cNvPr>
        <xdr:cNvSpPr txBox="1"/>
      </xdr:nvSpPr>
      <xdr:spPr>
        <a:xfrm>
          <a:off x="18666904" y="17462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98</xdr:row>
      <xdr:rowOff>97790</xdr:rowOff>
    </xdr:from>
    <xdr:to>
      <xdr:col>12</xdr:col>
      <xdr:colOff>135383</xdr:colOff>
      <xdr:row>99</xdr:row>
      <xdr:rowOff>95885</xdr:rowOff>
    </xdr:to>
    <xdr:sp macro="_xll.PtreeEvent_ObjectClick" textlink="">
      <xdr:nvSpPr>
        <xdr:cNvPr id="217" name="PTObj_DNode_1_49">
          <a:extLst>
            <a:ext uri="{FF2B5EF4-FFF2-40B4-BE49-F238E27FC236}">
              <a16:creationId xmlns:a16="http://schemas.microsoft.com/office/drawing/2014/main" id="{8608DDCB-40EE-4236-BEA9-DC0B7CD05E2A}"/>
            </a:ext>
          </a:extLst>
        </xdr:cNvPr>
        <xdr:cNvSpPr/>
      </xdr:nvSpPr>
      <xdr:spPr>
        <a:xfrm rot="-5400000">
          <a:off x="21248498" y="1782953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98</xdr:row>
      <xdr:rowOff>95107</xdr:rowOff>
    </xdr:from>
    <xdr:ext cx="514858" cy="180627"/>
    <xdr:sp macro="_xll.PtreeEvent_ObjectClick" textlink="">
      <xdr:nvSpPr>
        <xdr:cNvPr id="220" name="PTObj_DBranchName_1_49">
          <a:extLst>
            <a:ext uri="{FF2B5EF4-FFF2-40B4-BE49-F238E27FC236}">
              <a16:creationId xmlns:a16="http://schemas.microsoft.com/office/drawing/2014/main" id="{77F00E25-0D04-42DA-BE91-40C1C5387B06}"/>
            </a:ext>
          </a:extLst>
        </xdr:cNvPr>
        <xdr:cNvSpPr txBox="1"/>
      </xdr:nvSpPr>
      <xdr:spPr>
        <a:xfrm>
          <a:off x="20094701" y="178306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110</xdr:row>
      <xdr:rowOff>113030</xdr:rowOff>
    </xdr:from>
    <xdr:to>
      <xdr:col>8</xdr:col>
      <xdr:colOff>154432</xdr:colOff>
      <xdr:row>111</xdr:row>
      <xdr:rowOff>114936</xdr:rowOff>
    </xdr:to>
    <xdr:sp macro="_xll.PtreeEvent_ObjectClick" textlink="">
      <xdr:nvSpPr>
        <xdr:cNvPr id="221" name="PTObj_DNode_1_55">
          <a:extLst>
            <a:ext uri="{FF2B5EF4-FFF2-40B4-BE49-F238E27FC236}">
              <a16:creationId xmlns:a16="http://schemas.microsoft.com/office/drawing/2014/main" id="{D693D7FC-CFEA-47A2-962D-747D1479C1B0}"/>
            </a:ext>
          </a:extLst>
        </xdr:cNvPr>
        <xdr:cNvSpPr/>
      </xdr:nvSpPr>
      <xdr:spPr>
        <a:xfrm>
          <a:off x="15544927" y="200202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110</xdr:row>
      <xdr:rowOff>114156</xdr:rowOff>
    </xdr:from>
    <xdr:ext cx="568425" cy="180627"/>
    <xdr:sp macro="_xll.PtreeEvent_ObjectClick" textlink="">
      <xdr:nvSpPr>
        <xdr:cNvPr id="224" name="PTObj_DBranchName_1_55">
          <a:extLst>
            <a:ext uri="{FF2B5EF4-FFF2-40B4-BE49-F238E27FC236}">
              <a16:creationId xmlns:a16="http://schemas.microsoft.com/office/drawing/2014/main" id="{A8CEBF43-AAC0-4878-B3EC-878281E2D038}"/>
            </a:ext>
          </a:extLst>
        </xdr:cNvPr>
        <xdr:cNvSpPr txBox="1"/>
      </xdr:nvSpPr>
      <xdr:spPr>
        <a:xfrm>
          <a:off x="14400657" y="2002140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102</xdr:row>
      <xdr:rowOff>97789</xdr:rowOff>
    </xdr:from>
    <xdr:to>
      <xdr:col>9</xdr:col>
      <xdr:colOff>150622</xdr:colOff>
      <xdr:row>103</xdr:row>
      <xdr:rowOff>95885</xdr:rowOff>
    </xdr:to>
    <xdr:sp macro="_xll.PtreeEvent_ObjectClick" textlink="">
      <xdr:nvSpPr>
        <xdr:cNvPr id="225" name="PTObj_DNode_1_51">
          <a:extLst>
            <a:ext uri="{FF2B5EF4-FFF2-40B4-BE49-F238E27FC236}">
              <a16:creationId xmlns:a16="http://schemas.microsoft.com/office/drawing/2014/main" id="{D21C2533-5016-422B-BF7F-1197064EDC3C}"/>
            </a:ext>
          </a:extLst>
        </xdr:cNvPr>
        <xdr:cNvSpPr/>
      </xdr:nvSpPr>
      <xdr:spPr>
        <a:xfrm>
          <a:off x="16969867" y="185572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102</xdr:row>
      <xdr:rowOff>95106</xdr:rowOff>
    </xdr:from>
    <xdr:ext cx="568424" cy="180627"/>
    <xdr:sp macro="_xll.PtreeEvent_ObjectClick" textlink="">
      <xdr:nvSpPr>
        <xdr:cNvPr id="228" name="PTObj_DBranchName_1_51">
          <a:extLst>
            <a:ext uri="{FF2B5EF4-FFF2-40B4-BE49-F238E27FC236}">
              <a16:creationId xmlns:a16="http://schemas.microsoft.com/office/drawing/2014/main" id="{9F8C9298-DC5F-4DBA-B8DB-B41A9269BD4C}"/>
            </a:ext>
          </a:extLst>
        </xdr:cNvPr>
        <xdr:cNvSpPr txBox="1"/>
      </xdr:nvSpPr>
      <xdr:spPr>
        <a:xfrm>
          <a:off x="15820834" y="1855455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104</xdr:row>
      <xdr:rowOff>101600</xdr:rowOff>
    </xdr:from>
    <xdr:to>
      <xdr:col>10</xdr:col>
      <xdr:colOff>131573</xdr:colOff>
      <xdr:row>105</xdr:row>
      <xdr:rowOff>97790</xdr:rowOff>
    </xdr:to>
    <xdr:sp macro="_xll.PtreeEvent_ObjectClick" textlink="">
      <xdr:nvSpPr>
        <xdr:cNvPr id="229" name="PTObj_DNode_1_52">
          <a:extLst>
            <a:ext uri="{FF2B5EF4-FFF2-40B4-BE49-F238E27FC236}">
              <a16:creationId xmlns:a16="http://schemas.microsoft.com/office/drawing/2014/main" id="{7A7E117D-7F21-4C5A-B007-05AC26E111AD}"/>
            </a:ext>
          </a:extLst>
        </xdr:cNvPr>
        <xdr:cNvSpPr/>
      </xdr:nvSpPr>
      <xdr:spPr>
        <a:xfrm>
          <a:off x="18394807" y="189230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104</xdr:row>
      <xdr:rowOff>98917</xdr:rowOff>
    </xdr:from>
    <xdr:ext cx="514858" cy="180627"/>
    <xdr:sp macro="_xll.PtreeEvent_ObjectClick" textlink="">
      <xdr:nvSpPr>
        <xdr:cNvPr id="232" name="PTObj_DBranchName_1_52">
          <a:extLst>
            <a:ext uri="{FF2B5EF4-FFF2-40B4-BE49-F238E27FC236}">
              <a16:creationId xmlns:a16="http://schemas.microsoft.com/office/drawing/2014/main" id="{086D4A6E-DDF1-4744-9F03-F618678B5E93}"/>
            </a:ext>
          </a:extLst>
        </xdr:cNvPr>
        <xdr:cNvSpPr txBox="1"/>
      </xdr:nvSpPr>
      <xdr:spPr>
        <a:xfrm>
          <a:off x="17244820" y="1892031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106</xdr:row>
      <xdr:rowOff>105411</xdr:rowOff>
    </xdr:from>
    <xdr:to>
      <xdr:col>11</xdr:col>
      <xdr:colOff>135382</xdr:colOff>
      <xdr:row>107</xdr:row>
      <xdr:rowOff>93981</xdr:rowOff>
    </xdr:to>
    <xdr:sp macro="_xll.PtreeEvent_ObjectClick" textlink="">
      <xdr:nvSpPr>
        <xdr:cNvPr id="233" name="PTObj_DNode_1_53">
          <a:extLst>
            <a:ext uri="{FF2B5EF4-FFF2-40B4-BE49-F238E27FC236}">
              <a16:creationId xmlns:a16="http://schemas.microsoft.com/office/drawing/2014/main" id="{C287C9CC-775D-4B12-93E4-EF2626C16ED0}"/>
            </a:ext>
          </a:extLst>
        </xdr:cNvPr>
        <xdr:cNvSpPr/>
      </xdr:nvSpPr>
      <xdr:spPr>
        <a:xfrm>
          <a:off x="19819747" y="192887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106</xdr:row>
      <xdr:rowOff>104631</xdr:rowOff>
    </xdr:from>
    <xdr:ext cx="514858" cy="180627"/>
    <xdr:sp macro="_xll.PtreeEvent_ObjectClick" textlink="">
      <xdr:nvSpPr>
        <xdr:cNvPr id="236" name="PTObj_DBranchName_1_53">
          <a:extLst>
            <a:ext uri="{FF2B5EF4-FFF2-40B4-BE49-F238E27FC236}">
              <a16:creationId xmlns:a16="http://schemas.microsoft.com/office/drawing/2014/main" id="{6C1933C7-B75D-4BD9-86BD-F1DBC47D187A}"/>
            </a:ext>
          </a:extLst>
        </xdr:cNvPr>
        <xdr:cNvSpPr txBox="1"/>
      </xdr:nvSpPr>
      <xdr:spPr>
        <a:xfrm>
          <a:off x="18666904" y="19287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1384110</xdr:colOff>
      <xdr:row>108</xdr:row>
      <xdr:rowOff>112078</xdr:rowOff>
    </xdr:from>
    <xdr:to>
      <xdr:col>12</xdr:col>
      <xdr:colOff>132525</xdr:colOff>
      <xdr:row>109</xdr:row>
      <xdr:rowOff>94933</xdr:rowOff>
    </xdr:to>
    <xdr:sp macro="_xll.PtreeEvent_ObjectClick" textlink="">
      <xdr:nvSpPr>
        <xdr:cNvPr id="237" name="PTObj_DNode_1_54">
          <a:extLst>
            <a:ext uri="{FF2B5EF4-FFF2-40B4-BE49-F238E27FC236}">
              <a16:creationId xmlns:a16="http://schemas.microsoft.com/office/drawing/2014/main" id="{53C62FD9-C6B6-4ECD-83EB-D8A340B85EA2}"/>
            </a:ext>
          </a:extLst>
        </xdr:cNvPr>
        <xdr:cNvSpPr/>
      </xdr:nvSpPr>
      <xdr:spPr>
        <a:xfrm rot="-5400000">
          <a:off x="21248498" y="19652615"/>
          <a:ext cx="175260" cy="1847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108</xdr:row>
      <xdr:rowOff>108442</xdr:rowOff>
    </xdr:from>
    <xdr:ext cx="514858" cy="180627"/>
    <xdr:sp macro="_xll.PtreeEvent_ObjectClick" textlink="">
      <xdr:nvSpPr>
        <xdr:cNvPr id="240" name="PTObj_DBranchName_1_54">
          <a:extLst>
            <a:ext uri="{FF2B5EF4-FFF2-40B4-BE49-F238E27FC236}">
              <a16:creationId xmlns:a16="http://schemas.microsoft.com/office/drawing/2014/main" id="{3FE8DD3E-EF10-4225-A5D0-65A0E90FAF27}"/>
            </a:ext>
          </a:extLst>
        </xdr:cNvPr>
        <xdr:cNvSpPr txBox="1"/>
      </xdr:nvSpPr>
      <xdr:spPr>
        <a:xfrm>
          <a:off x="20094701" y="1965374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112</xdr:row>
      <xdr:rowOff>116839</xdr:rowOff>
    </xdr:from>
    <xdr:to>
      <xdr:col>9</xdr:col>
      <xdr:colOff>150622</xdr:colOff>
      <xdr:row>113</xdr:row>
      <xdr:rowOff>130175</xdr:rowOff>
    </xdr:to>
    <xdr:sp macro="_xll.PtreeEvent_ObjectClick" textlink="">
      <xdr:nvSpPr>
        <xdr:cNvPr id="241" name="PTObj_DNode_1_56">
          <a:extLst>
            <a:ext uri="{FF2B5EF4-FFF2-40B4-BE49-F238E27FC236}">
              <a16:creationId xmlns:a16="http://schemas.microsoft.com/office/drawing/2014/main" id="{B1DFD351-10C8-4AD7-A77F-2EDD2EC0E3D4}"/>
            </a:ext>
          </a:extLst>
        </xdr:cNvPr>
        <xdr:cNvSpPr/>
      </xdr:nvSpPr>
      <xdr:spPr>
        <a:xfrm>
          <a:off x="16969867" y="203860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112</xdr:row>
      <xdr:rowOff>117966</xdr:rowOff>
    </xdr:from>
    <xdr:ext cx="568424" cy="180627"/>
    <xdr:sp macro="_xll.PtreeEvent_ObjectClick" textlink="">
      <xdr:nvSpPr>
        <xdr:cNvPr id="244" name="PTObj_DBranchName_1_56">
          <a:extLst>
            <a:ext uri="{FF2B5EF4-FFF2-40B4-BE49-F238E27FC236}">
              <a16:creationId xmlns:a16="http://schemas.microsoft.com/office/drawing/2014/main" id="{D72539F3-0EFA-46A8-B2CC-78DB306FAF8F}"/>
            </a:ext>
          </a:extLst>
        </xdr:cNvPr>
        <xdr:cNvSpPr txBox="1"/>
      </xdr:nvSpPr>
      <xdr:spPr>
        <a:xfrm>
          <a:off x="15820834" y="203871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114</xdr:row>
      <xdr:rowOff>120650</xdr:rowOff>
    </xdr:from>
    <xdr:to>
      <xdr:col>10</xdr:col>
      <xdr:colOff>131573</xdr:colOff>
      <xdr:row>115</xdr:row>
      <xdr:rowOff>133985</xdr:rowOff>
    </xdr:to>
    <xdr:sp macro="_xll.PtreeEvent_ObjectClick" textlink="">
      <xdr:nvSpPr>
        <xdr:cNvPr id="245" name="PTObj_DNode_1_57">
          <a:extLst>
            <a:ext uri="{FF2B5EF4-FFF2-40B4-BE49-F238E27FC236}">
              <a16:creationId xmlns:a16="http://schemas.microsoft.com/office/drawing/2014/main" id="{DF339D3F-5F64-4587-9BA7-F5D82C6B4FA1}"/>
            </a:ext>
          </a:extLst>
        </xdr:cNvPr>
        <xdr:cNvSpPr/>
      </xdr:nvSpPr>
      <xdr:spPr>
        <a:xfrm>
          <a:off x="18394807" y="207518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114</xdr:row>
      <xdr:rowOff>123682</xdr:rowOff>
    </xdr:from>
    <xdr:ext cx="514858" cy="180627"/>
    <xdr:sp macro="_xll.PtreeEvent_ObjectClick" textlink="">
      <xdr:nvSpPr>
        <xdr:cNvPr id="248" name="PTObj_DBranchName_1_57">
          <a:extLst>
            <a:ext uri="{FF2B5EF4-FFF2-40B4-BE49-F238E27FC236}">
              <a16:creationId xmlns:a16="http://schemas.microsoft.com/office/drawing/2014/main" id="{FB212541-0371-4156-9BEF-BD5095553E1D}"/>
            </a:ext>
          </a:extLst>
        </xdr:cNvPr>
        <xdr:cNvSpPr txBox="1"/>
      </xdr:nvSpPr>
      <xdr:spPr>
        <a:xfrm>
          <a:off x="17244820" y="2075483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116</xdr:row>
      <xdr:rowOff>124461</xdr:rowOff>
    </xdr:from>
    <xdr:to>
      <xdr:col>11</xdr:col>
      <xdr:colOff>135382</xdr:colOff>
      <xdr:row>117</xdr:row>
      <xdr:rowOff>130176</xdr:rowOff>
    </xdr:to>
    <xdr:sp macro="_xll.PtreeEvent_ObjectClick" textlink="">
      <xdr:nvSpPr>
        <xdr:cNvPr id="249" name="PTObj_DNode_1_58">
          <a:extLst>
            <a:ext uri="{FF2B5EF4-FFF2-40B4-BE49-F238E27FC236}">
              <a16:creationId xmlns:a16="http://schemas.microsoft.com/office/drawing/2014/main" id="{408D18FF-8397-4120-B9A3-BE1113A62A8C}"/>
            </a:ext>
          </a:extLst>
        </xdr:cNvPr>
        <xdr:cNvSpPr/>
      </xdr:nvSpPr>
      <xdr:spPr>
        <a:xfrm>
          <a:off x="19819747" y="211175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116</xdr:row>
      <xdr:rowOff>127491</xdr:rowOff>
    </xdr:from>
    <xdr:ext cx="514858" cy="180627"/>
    <xdr:sp macro="_xll.PtreeEvent_ObjectClick" textlink="">
      <xdr:nvSpPr>
        <xdr:cNvPr id="252" name="PTObj_DBranchName_1_58">
          <a:extLst>
            <a:ext uri="{FF2B5EF4-FFF2-40B4-BE49-F238E27FC236}">
              <a16:creationId xmlns:a16="http://schemas.microsoft.com/office/drawing/2014/main" id="{6ECF09DF-0F22-46FD-8503-F68EF2313485}"/>
            </a:ext>
          </a:extLst>
        </xdr:cNvPr>
        <xdr:cNvSpPr txBox="1"/>
      </xdr:nvSpPr>
      <xdr:spPr>
        <a:xfrm>
          <a:off x="18666904" y="21120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118</xdr:row>
      <xdr:rowOff>135890</xdr:rowOff>
    </xdr:from>
    <xdr:to>
      <xdr:col>12</xdr:col>
      <xdr:colOff>131573</xdr:colOff>
      <xdr:row>119</xdr:row>
      <xdr:rowOff>130175</xdr:rowOff>
    </xdr:to>
    <xdr:sp macro="_xll.PtreeEvent_ObjectClick" textlink="">
      <xdr:nvSpPr>
        <xdr:cNvPr id="253" name="PTObj_DNode_1_59">
          <a:extLst>
            <a:ext uri="{FF2B5EF4-FFF2-40B4-BE49-F238E27FC236}">
              <a16:creationId xmlns:a16="http://schemas.microsoft.com/office/drawing/2014/main" id="{78C0E8BA-7D1C-4322-AB30-92CAA40B0CC8}"/>
            </a:ext>
          </a:extLst>
        </xdr:cNvPr>
        <xdr:cNvSpPr/>
      </xdr:nvSpPr>
      <xdr:spPr>
        <a:xfrm rot="-5400000">
          <a:off x="21248498" y="2148713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118</xdr:row>
      <xdr:rowOff>133207</xdr:rowOff>
    </xdr:from>
    <xdr:ext cx="514858" cy="180627"/>
    <xdr:sp macro="_xll.PtreeEvent_ObjectClick" textlink="">
      <xdr:nvSpPr>
        <xdr:cNvPr id="256" name="PTObj_DBranchName_1_59">
          <a:extLst>
            <a:ext uri="{FF2B5EF4-FFF2-40B4-BE49-F238E27FC236}">
              <a16:creationId xmlns:a16="http://schemas.microsoft.com/office/drawing/2014/main" id="{493A45EF-1F2D-413B-A410-630BB0066743}"/>
            </a:ext>
          </a:extLst>
        </xdr:cNvPr>
        <xdr:cNvSpPr txBox="1"/>
      </xdr:nvSpPr>
      <xdr:spPr>
        <a:xfrm>
          <a:off x="20094701" y="214882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140</xdr:row>
      <xdr:rowOff>170180</xdr:rowOff>
    </xdr:from>
    <xdr:to>
      <xdr:col>7</xdr:col>
      <xdr:colOff>171578</xdr:colOff>
      <xdr:row>141</xdr:row>
      <xdr:rowOff>168276</xdr:rowOff>
    </xdr:to>
    <xdr:sp macro="_xll.PtreeEvent_ObjectClick" textlink="">
      <xdr:nvSpPr>
        <xdr:cNvPr id="257" name="PTObj_DNode_1_70">
          <a:extLst>
            <a:ext uri="{FF2B5EF4-FFF2-40B4-BE49-F238E27FC236}">
              <a16:creationId xmlns:a16="http://schemas.microsoft.com/office/drawing/2014/main" id="{37AFC913-FF0F-4E4D-8FCB-D13A17262F0D}"/>
            </a:ext>
          </a:extLst>
        </xdr:cNvPr>
        <xdr:cNvSpPr/>
      </xdr:nvSpPr>
      <xdr:spPr>
        <a:xfrm>
          <a:off x="14119988" y="255066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140</xdr:row>
      <xdr:rowOff>175116</xdr:rowOff>
    </xdr:from>
    <xdr:ext cx="566520" cy="180627"/>
    <xdr:sp macro="_xll.PtreeEvent_ObjectClick" textlink="">
      <xdr:nvSpPr>
        <xdr:cNvPr id="260" name="PTObj_DBranchName_1_70">
          <a:extLst>
            <a:ext uri="{FF2B5EF4-FFF2-40B4-BE49-F238E27FC236}">
              <a16:creationId xmlns:a16="http://schemas.microsoft.com/office/drawing/2014/main" id="{D9AD3692-B2F1-49B2-A10A-E65E76F79BC6}"/>
            </a:ext>
          </a:extLst>
        </xdr:cNvPr>
        <xdr:cNvSpPr txBox="1"/>
      </xdr:nvSpPr>
      <xdr:spPr>
        <a:xfrm>
          <a:off x="12974765" y="2551161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130</xdr:row>
      <xdr:rowOff>151130</xdr:rowOff>
    </xdr:from>
    <xdr:to>
      <xdr:col>8</xdr:col>
      <xdr:colOff>154432</xdr:colOff>
      <xdr:row>131</xdr:row>
      <xdr:rowOff>153036</xdr:rowOff>
    </xdr:to>
    <xdr:sp macro="_xll.PtreeEvent_ObjectClick" textlink="">
      <xdr:nvSpPr>
        <xdr:cNvPr id="261" name="PTObj_DNode_1_65">
          <a:extLst>
            <a:ext uri="{FF2B5EF4-FFF2-40B4-BE49-F238E27FC236}">
              <a16:creationId xmlns:a16="http://schemas.microsoft.com/office/drawing/2014/main" id="{F1C2A101-5AB2-4348-A264-A1EAD738AD5A}"/>
            </a:ext>
          </a:extLst>
        </xdr:cNvPr>
        <xdr:cNvSpPr/>
      </xdr:nvSpPr>
      <xdr:spPr>
        <a:xfrm>
          <a:off x="15544927" y="236778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130</xdr:row>
      <xdr:rowOff>152256</xdr:rowOff>
    </xdr:from>
    <xdr:ext cx="566519" cy="180627"/>
    <xdr:sp macro="_xll.PtreeEvent_ObjectClick" textlink="">
      <xdr:nvSpPr>
        <xdr:cNvPr id="264" name="PTObj_DBranchName_1_65">
          <a:extLst>
            <a:ext uri="{FF2B5EF4-FFF2-40B4-BE49-F238E27FC236}">
              <a16:creationId xmlns:a16="http://schemas.microsoft.com/office/drawing/2014/main" id="{C86BE662-580E-499C-8234-6AC502153AF8}"/>
            </a:ext>
          </a:extLst>
        </xdr:cNvPr>
        <xdr:cNvSpPr txBox="1"/>
      </xdr:nvSpPr>
      <xdr:spPr>
        <a:xfrm>
          <a:off x="14398752" y="2367900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122</xdr:row>
      <xdr:rowOff>135889</xdr:rowOff>
    </xdr:from>
    <xdr:to>
      <xdr:col>9</xdr:col>
      <xdr:colOff>150622</xdr:colOff>
      <xdr:row>123</xdr:row>
      <xdr:rowOff>133985</xdr:rowOff>
    </xdr:to>
    <xdr:sp macro="_xll.PtreeEvent_ObjectClick" textlink="">
      <xdr:nvSpPr>
        <xdr:cNvPr id="265" name="PTObj_DNode_1_61">
          <a:extLst>
            <a:ext uri="{FF2B5EF4-FFF2-40B4-BE49-F238E27FC236}">
              <a16:creationId xmlns:a16="http://schemas.microsoft.com/office/drawing/2014/main" id="{96984491-840E-450E-95DF-D0C8D1082585}"/>
            </a:ext>
          </a:extLst>
        </xdr:cNvPr>
        <xdr:cNvSpPr/>
      </xdr:nvSpPr>
      <xdr:spPr>
        <a:xfrm>
          <a:off x="16969867" y="222148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122</xdr:row>
      <xdr:rowOff>133206</xdr:rowOff>
    </xdr:from>
    <xdr:ext cx="568424" cy="180627"/>
    <xdr:sp macro="_xll.PtreeEvent_ObjectClick" textlink="">
      <xdr:nvSpPr>
        <xdr:cNvPr id="268" name="PTObj_DBranchName_1_61">
          <a:extLst>
            <a:ext uri="{FF2B5EF4-FFF2-40B4-BE49-F238E27FC236}">
              <a16:creationId xmlns:a16="http://schemas.microsoft.com/office/drawing/2014/main" id="{F56D6C41-4266-4E9D-9BC2-650C1152E2D7}"/>
            </a:ext>
          </a:extLst>
        </xdr:cNvPr>
        <xdr:cNvSpPr txBox="1"/>
      </xdr:nvSpPr>
      <xdr:spPr>
        <a:xfrm>
          <a:off x="15820834" y="2221215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124</xdr:row>
      <xdr:rowOff>139700</xdr:rowOff>
    </xdr:from>
    <xdr:to>
      <xdr:col>10</xdr:col>
      <xdr:colOff>131573</xdr:colOff>
      <xdr:row>125</xdr:row>
      <xdr:rowOff>135890</xdr:rowOff>
    </xdr:to>
    <xdr:sp macro="_xll.PtreeEvent_ObjectClick" textlink="">
      <xdr:nvSpPr>
        <xdr:cNvPr id="269" name="PTObj_DNode_1_62">
          <a:extLst>
            <a:ext uri="{FF2B5EF4-FFF2-40B4-BE49-F238E27FC236}">
              <a16:creationId xmlns:a16="http://schemas.microsoft.com/office/drawing/2014/main" id="{475FB4C8-493A-4E79-80B1-666B4DDE4D2E}"/>
            </a:ext>
          </a:extLst>
        </xdr:cNvPr>
        <xdr:cNvSpPr/>
      </xdr:nvSpPr>
      <xdr:spPr>
        <a:xfrm>
          <a:off x="18394807" y="225806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124</xdr:row>
      <xdr:rowOff>137017</xdr:rowOff>
    </xdr:from>
    <xdr:ext cx="514858" cy="180627"/>
    <xdr:sp macro="_xll.PtreeEvent_ObjectClick" textlink="">
      <xdr:nvSpPr>
        <xdr:cNvPr id="272" name="PTObj_DBranchName_1_62">
          <a:extLst>
            <a:ext uri="{FF2B5EF4-FFF2-40B4-BE49-F238E27FC236}">
              <a16:creationId xmlns:a16="http://schemas.microsoft.com/office/drawing/2014/main" id="{BC939E97-4529-4A7C-A75C-63E2683B0D6E}"/>
            </a:ext>
          </a:extLst>
        </xdr:cNvPr>
        <xdr:cNvSpPr txBox="1"/>
      </xdr:nvSpPr>
      <xdr:spPr>
        <a:xfrm>
          <a:off x="17244820" y="2257791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126</xdr:row>
      <xdr:rowOff>143511</xdr:rowOff>
    </xdr:from>
    <xdr:to>
      <xdr:col>11</xdr:col>
      <xdr:colOff>135382</xdr:colOff>
      <xdr:row>127</xdr:row>
      <xdr:rowOff>132081</xdr:rowOff>
    </xdr:to>
    <xdr:sp macro="_xll.PtreeEvent_ObjectClick" textlink="">
      <xdr:nvSpPr>
        <xdr:cNvPr id="273" name="PTObj_DNode_1_63">
          <a:extLst>
            <a:ext uri="{FF2B5EF4-FFF2-40B4-BE49-F238E27FC236}">
              <a16:creationId xmlns:a16="http://schemas.microsoft.com/office/drawing/2014/main" id="{891341A7-DB59-40F4-9D0A-64C233509810}"/>
            </a:ext>
          </a:extLst>
        </xdr:cNvPr>
        <xdr:cNvSpPr/>
      </xdr:nvSpPr>
      <xdr:spPr>
        <a:xfrm>
          <a:off x="19819747" y="229463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126</xdr:row>
      <xdr:rowOff>142731</xdr:rowOff>
    </xdr:from>
    <xdr:ext cx="514858" cy="180627"/>
    <xdr:sp macro="_xll.PtreeEvent_ObjectClick" textlink="">
      <xdr:nvSpPr>
        <xdr:cNvPr id="276" name="PTObj_DBranchName_1_63">
          <a:extLst>
            <a:ext uri="{FF2B5EF4-FFF2-40B4-BE49-F238E27FC236}">
              <a16:creationId xmlns:a16="http://schemas.microsoft.com/office/drawing/2014/main" id="{80AA5177-CB8A-48A8-8873-84D0BDF6D61E}"/>
            </a:ext>
          </a:extLst>
        </xdr:cNvPr>
        <xdr:cNvSpPr txBox="1"/>
      </xdr:nvSpPr>
      <xdr:spPr>
        <a:xfrm>
          <a:off x="18666904" y="22945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1384110</xdr:colOff>
      <xdr:row>128</xdr:row>
      <xdr:rowOff>150178</xdr:rowOff>
    </xdr:from>
    <xdr:to>
      <xdr:col>12</xdr:col>
      <xdr:colOff>132525</xdr:colOff>
      <xdr:row>129</xdr:row>
      <xdr:rowOff>133033</xdr:rowOff>
    </xdr:to>
    <xdr:sp macro="_xll.PtreeEvent_ObjectClick" textlink="">
      <xdr:nvSpPr>
        <xdr:cNvPr id="277" name="PTObj_DNode_1_64">
          <a:extLst>
            <a:ext uri="{FF2B5EF4-FFF2-40B4-BE49-F238E27FC236}">
              <a16:creationId xmlns:a16="http://schemas.microsoft.com/office/drawing/2014/main" id="{D690AFDC-B3DE-4E4E-AA29-07D364D70FF1}"/>
            </a:ext>
          </a:extLst>
        </xdr:cNvPr>
        <xdr:cNvSpPr/>
      </xdr:nvSpPr>
      <xdr:spPr>
        <a:xfrm rot="-5400000">
          <a:off x="21248498" y="23310215"/>
          <a:ext cx="175260" cy="1847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128</xdr:row>
      <xdr:rowOff>146542</xdr:rowOff>
    </xdr:from>
    <xdr:ext cx="514858" cy="180627"/>
    <xdr:sp macro="_xll.PtreeEvent_ObjectClick" textlink="">
      <xdr:nvSpPr>
        <xdr:cNvPr id="280" name="PTObj_DBranchName_1_64">
          <a:extLst>
            <a:ext uri="{FF2B5EF4-FFF2-40B4-BE49-F238E27FC236}">
              <a16:creationId xmlns:a16="http://schemas.microsoft.com/office/drawing/2014/main" id="{F38FF712-2E5B-4C9D-A6AD-852776D28F81}"/>
            </a:ext>
          </a:extLst>
        </xdr:cNvPr>
        <xdr:cNvSpPr txBox="1"/>
      </xdr:nvSpPr>
      <xdr:spPr>
        <a:xfrm>
          <a:off x="20094701" y="2331134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132</xdr:row>
      <xdr:rowOff>154939</xdr:rowOff>
    </xdr:from>
    <xdr:to>
      <xdr:col>9</xdr:col>
      <xdr:colOff>150622</xdr:colOff>
      <xdr:row>133</xdr:row>
      <xdr:rowOff>168275</xdr:rowOff>
    </xdr:to>
    <xdr:sp macro="_xll.PtreeEvent_ObjectClick" textlink="">
      <xdr:nvSpPr>
        <xdr:cNvPr id="281" name="PTObj_DNode_1_66">
          <a:extLst>
            <a:ext uri="{FF2B5EF4-FFF2-40B4-BE49-F238E27FC236}">
              <a16:creationId xmlns:a16="http://schemas.microsoft.com/office/drawing/2014/main" id="{9B353D56-3105-469E-8E24-8899ABAC2B54}"/>
            </a:ext>
          </a:extLst>
        </xdr:cNvPr>
        <xdr:cNvSpPr/>
      </xdr:nvSpPr>
      <xdr:spPr>
        <a:xfrm>
          <a:off x="16969867" y="240436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132</xdr:row>
      <xdr:rowOff>156066</xdr:rowOff>
    </xdr:from>
    <xdr:ext cx="568424" cy="180627"/>
    <xdr:sp macro="_xll.PtreeEvent_ObjectClick" textlink="">
      <xdr:nvSpPr>
        <xdr:cNvPr id="284" name="PTObj_DBranchName_1_66">
          <a:extLst>
            <a:ext uri="{FF2B5EF4-FFF2-40B4-BE49-F238E27FC236}">
              <a16:creationId xmlns:a16="http://schemas.microsoft.com/office/drawing/2014/main" id="{9BED627C-8745-4402-856E-034338D837E6}"/>
            </a:ext>
          </a:extLst>
        </xdr:cNvPr>
        <xdr:cNvSpPr txBox="1"/>
      </xdr:nvSpPr>
      <xdr:spPr>
        <a:xfrm>
          <a:off x="15820834" y="240447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134</xdr:row>
      <xdr:rowOff>158750</xdr:rowOff>
    </xdr:from>
    <xdr:to>
      <xdr:col>10</xdr:col>
      <xdr:colOff>131573</xdr:colOff>
      <xdr:row>135</xdr:row>
      <xdr:rowOff>172085</xdr:rowOff>
    </xdr:to>
    <xdr:sp macro="_xll.PtreeEvent_ObjectClick" textlink="">
      <xdr:nvSpPr>
        <xdr:cNvPr id="285" name="PTObj_DNode_1_67">
          <a:extLst>
            <a:ext uri="{FF2B5EF4-FFF2-40B4-BE49-F238E27FC236}">
              <a16:creationId xmlns:a16="http://schemas.microsoft.com/office/drawing/2014/main" id="{A7615975-1F17-4F1B-85D8-8B9BD2F7AA02}"/>
            </a:ext>
          </a:extLst>
        </xdr:cNvPr>
        <xdr:cNvSpPr/>
      </xdr:nvSpPr>
      <xdr:spPr>
        <a:xfrm>
          <a:off x="18394807" y="244094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134</xdr:row>
      <xdr:rowOff>161782</xdr:rowOff>
    </xdr:from>
    <xdr:ext cx="514858" cy="180627"/>
    <xdr:sp macro="_xll.PtreeEvent_ObjectClick" textlink="">
      <xdr:nvSpPr>
        <xdr:cNvPr id="288" name="PTObj_DBranchName_1_67">
          <a:extLst>
            <a:ext uri="{FF2B5EF4-FFF2-40B4-BE49-F238E27FC236}">
              <a16:creationId xmlns:a16="http://schemas.microsoft.com/office/drawing/2014/main" id="{0B8B1E92-8675-4A4A-B956-9239EEE68F24}"/>
            </a:ext>
          </a:extLst>
        </xdr:cNvPr>
        <xdr:cNvSpPr txBox="1"/>
      </xdr:nvSpPr>
      <xdr:spPr>
        <a:xfrm>
          <a:off x="17244820" y="2441243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136</xdr:row>
      <xdr:rowOff>162561</xdr:rowOff>
    </xdr:from>
    <xdr:to>
      <xdr:col>11</xdr:col>
      <xdr:colOff>135382</xdr:colOff>
      <xdr:row>137</xdr:row>
      <xdr:rowOff>168276</xdr:rowOff>
    </xdr:to>
    <xdr:sp macro="_xll.PtreeEvent_ObjectClick" textlink="">
      <xdr:nvSpPr>
        <xdr:cNvPr id="289" name="PTObj_DNode_1_68">
          <a:extLst>
            <a:ext uri="{FF2B5EF4-FFF2-40B4-BE49-F238E27FC236}">
              <a16:creationId xmlns:a16="http://schemas.microsoft.com/office/drawing/2014/main" id="{FE4DFE1E-90AE-4B52-AEAD-B5E21BFB9362}"/>
            </a:ext>
          </a:extLst>
        </xdr:cNvPr>
        <xdr:cNvSpPr/>
      </xdr:nvSpPr>
      <xdr:spPr>
        <a:xfrm>
          <a:off x="19819747" y="24775161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136</xdr:row>
      <xdr:rowOff>165591</xdr:rowOff>
    </xdr:from>
    <xdr:ext cx="514858" cy="180627"/>
    <xdr:sp macro="_xll.PtreeEvent_ObjectClick" textlink="">
      <xdr:nvSpPr>
        <xdr:cNvPr id="292" name="PTObj_DBranchName_1_68">
          <a:extLst>
            <a:ext uri="{FF2B5EF4-FFF2-40B4-BE49-F238E27FC236}">
              <a16:creationId xmlns:a16="http://schemas.microsoft.com/office/drawing/2014/main" id="{5DD9C551-697A-493B-BD07-2CBBBB1EC065}"/>
            </a:ext>
          </a:extLst>
        </xdr:cNvPr>
        <xdr:cNvSpPr txBox="1"/>
      </xdr:nvSpPr>
      <xdr:spPr>
        <a:xfrm>
          <a:off x="18666904" y="24778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138</xdr:row>
      <xdr:rowOff>173990</xdr:rowOff>
    </xdr:from>
    <xdr:to>
      <xdr:col>12</xdr:col>
      <xdr:colOff>131573</xdr:colOff>
      <xdr:row>139</xdr:row>
      <xdr:rowOff>168275</xdr:rowOff>
    </xdr:to>
    <xdr:sp macro="_xll.PtreeEvent_ObjectClick" textlink="">
      <xdr:nvSpPr>
        <xdr:cNvPr id="293" name="PTObj_DNode_1_69">
          <a:extLst>
            <a:ext uri="{FF2B5EF4-FFF2-40B4-BE49-F238E27FC236}">
              <a16:creationId xmlns:a16="http://schemas.microsoft.com/office/drawing/2014/main" id="{8ED4050E-EAEC-45CE-B7E2-DB890DB4F9EC}"/>
            </a:ext>
          </a:extLst>
        </xdr:cNvPr>
        <xdr:cNvSpPr/>
      </xdr:nvSpPr>
      <xdr:spPr>
        <a:xfrm rot="-5400000">
          <a:off x="21248498" y="25144730"/>
          <a:ext cx="17526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138</xdr:row>
      <xdr:rowOff>171307</xdr:rowOff>
    </xdr:from>
    <xdr:ext cx="514858" cy="180627"/>
    <xdr:sp macro="_xll.PtreeEvent_ObjectClick" textlink="">
      <xdr:nvSpPr>
        <xdr:cNvPr id="296" name="PTObj_DBranchName_1_69">
          <a:extLst>
            <a:ext uri="{FF2B5EF4-FFF2-40B4-BE49-F238E27FC236}">
              <a16:creationId xmlns:a16="http://schemas.microsoft.com/office/drawing/2014/main" id="{96F89793-812B-4224-91F9-23CD6F93909A}"/>
            </a:ext>
          </a:extLst>
        </xdr:cNvPr>
        <xdr:cNvSpPr txBox="1"/>
      </xdr:nvSpPr>
      <xdr:spPr>
        <a:xfrm>
          <a:off x="20094701" y="251458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151</xdr:row>
      <xdr:rowOff>8254</xdr:rowOff>
    </xdr:from>
    <xdr:to>
      <xdr:col>8</xdr:col>
      <xdr:colOff>154432</xdr:colOff>
      <xdr:row>152</xdr:row>
      <xdr:rowOff>19683</xdr:rowOff>
    </xdr:to>
    <xdr:sp macro="_xll.PtreeEvent_ObjectClick" textlink="">
      <xdr:nvSpPr>
        <xdr:cNvPr id="297" name="PTObj_DNode_1_75">
          <a:extLst>
            <a:ext uri="{FF2B5EF4-FFF2-40B4-BE49-F238E27FC236}">
              <a16:creationId xmlns:a16="http://schemas.microsoft.com/office/drawing/2014/main" id="{E870F574-0014-464D-ADD6-C16C33A80916}"/>
            </a:ext>
          </a:extLst>
        </xdr:cNvPr>
        <xdr:cNvSpPr/>
      </xdr:nvSpPr>
      <xdr:spPr>
        <a:xfrm>
          <a:off x="15544927" y="27335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151</xdr:row>
      <xdr:rowOff>11287</xdr:rowOff>
    </xdr:from>
    <xdr:ext cx="568425" cy="180627"/>
    <xdr:sp macro="_xll.PtreeEvent_ObjectClick" textlink="">
      <xdr:nvSpPr>
        <xdr:cNvPr id="300" name="PTObj_DBranchName_1_75">
          <a:extLst>
            <a:ext uri="{FF2B5EF4-FFF2-40B4-BE49-F238E27FC236}">
              <a16:creationId xmlns:a16="http://schemas.microsoft.com/office/drawing/2014/main" id="{18BE4FFD-74F0-4CB8-BE89-6D4DB365D898}"/>
            </a:ext>
          </a:extLst>
        </xdr:cNvPr>
        <xdr:cNvSpPr txBox="1"/>
      </xdr:nvSpPr>
      <xdr:spPr>
        <a:xfrm>
          <a:off x="14400657" y="2733851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142</xdr:row>
      <xdr:rowOff>173989</xdr:rowOff>
    </xdr:from>
    <xdr:to>
      <xdr:col>9</xdr:col>
      <xdr:colOff>150622</xdr:colOff>
      <xdr:row>143</xdr:row>
      <xdr:rowOff>168273</xdr:rowOff>
    </xdr:to>
    <xdr:sp macro="_xll.PtreeEvent_ObjectClick" textlink="">
      <xdr:nvSpPr>
        <xdr:cNvPr id="301" name="PTObj_DNode_1_71">
          <a:extLst>
            <a:ext uri="{FF2B5EF4-FFF2-40B4-BE49-F238E27FC236}">
              <a16:creationId xmlns:a16="http://schemas.microsoft.com/office/drawing/2014/main" id="{37DF51FF-C939-4CCC-833B-8D1491895DEB}"/>
            </a:ext>
          </a:extLst>
        </xdr:cNvPr>
        <xdr:cNvSpPr/>
      </xdr:nvSpPr>
      <xdr:spPr>
        <a:xfrm>
          <a:off x="16969867" y="258724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142</xdr:row>
      <xdr:rowOff>171306</xdr:rowOff>
    </xdr:from>
    <xdr:ext cx="568424" cy="180627"/>
    <xdr:sp macro="_xll.PtreeEvent_ObjectClick" textlink="">
      <xdr:nvSpPr>
        <xdr:cNvPr id="304" name="PTObj_DBranchName_1_71">
          <a:extLst>
            <a:ext uri="{FF2B5EF4-FFF2-40B4-BE49-F238E27FC236}">
              <a16:creationId xmlns:a16="http://schemas.microsoft.com/office/drawing/2014/main" id="{8419B918-509D-49CD-8DD0-05B2AEC7EA15}"/>
            </a:ext>
          </a:extLst>
        </xdr:cNvPr>
        <xdr:cNvSpPr txBox="1"/>
      </xdr:nvSpPr>
      <xdr:spPr>
        <a:xfrm>
          <a:off x="15820834" y="2586975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144</xdr:row>
      <xdr:rowOff>177800</xdr:rowOff>
    </xdr:from>
    <xdr:to>
      <xdr:col>10</xdr:col>
      <xdr:colOff>135383</xdr:colOff>
      <xdr:row>145</xdr:row>
      <xdr:rowOff>170179</xdr:rowOff>
    </xdr:to>
    <xdr:sp macro="_xll.PtreeEvent_ObjectClick" textlink="">
      <xdr:nvSpPr>
        <xdr:cNvPr id="305" name="PTObj_DNode_1_72">
          <a:extLst>
            <a:ext uri="{FF2B5EF4-FFF2-40B4-BE49-F238E27FC236}">
              <a16:creationId xmlns:a16="http://schemas.microsoft.com/office/drawing/2014/main" id="{DEBD3F16-E7F1-44C9-9E90-3271E3617AB5}"/>
            </a:ext>
          </a:extLst>
        </xdr:cNvPr>
        <xdr:cNvSpPr/>
      </xdr:nvSpPr>
      <xdr:spPr>
        <a:xfrm>
          <a:off x="18394807" y="26238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144</xdr:row>
      <xdr:rowOff>175116</xdr:rowOff>
    </xdr:from>
    <xdr:ext cx="514858" cy="180627"/>
    <xdr:sp macro="_xll.PtreeEvent_ObjectClick" textlink="">
      <xdr:nvSpPr>
        <xdr:cNvPr id="308" name="PTObj_DBranchName_1_72">
          <a:extLst>
            <a:ext uri="{FF2B5EF4-FFF2-40B4-BE49-F238E27FC236}">
              <a16:creationId xmlns:a16="http://schemas.microsoft.com/office/drawing/2014/main" id="{1AF56606-88B1-411C-9743-9965DB0691C0}"/>
            </a:ext>
          </a:extLst>
        </xdr:cNvPr>
        <xdr:cNvSpPr txBox="1"/>
      </xdr:nvSpPr>
      <xdr:spPr>
        <a:xfrm>
          <a:off x="17244820" y="262355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147</xdr:row>
      <xdr:rowOff>636</xdr:rowOff>
    </xdr:from>
    <xdr:to>
      <xdr:col>11</xdr:col>
      <xdr:colOff>131572</xdr:colOff>
      <xdr:row>148</xdr:row>
      <xdr:rowOff>2539</xdr:rowOff>
    </xdr:to>
    <xdr:sp macro="_xll.PtreeEvent_ObjectClick" textlink="">
      <xdr:nvSpPr>
        <xdr:cNvPr id="309" name="PTObj_DNode_1_73">
          <a:extLst>
            <a:ext uri="{FF2B5EF4-FFF2-40B4-BE49-F238E27FC236}">
              <a16:creationId xmlns:a16="http://schemas.microsoft.com/office/drawing/2014/main" id="{47D8F4F8-7EE7-4225-A357-784F0B10D975}"/>
            </a:ext>
          </a:extLst>
        </xdr:cNvPr>
        <xdr:cNvSpPr/>
      </xdr:nvSpPr>
      <xdr:spPr>
        <a:xfrm>
          <a:off x="19819747" y="266039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147</xdr:row>
      <xdr:rowOff>1761</xdr:rowOff>
    </xdr:from>
    <xdr:ext cx="514858" cy="180627"/>
    <xdr:sp macro="_xll.PtreeEvent_ObjectClick" textlink="">
      <xdr:nvSpPr>
        <xdr:cNvPr id="312" name="PTObj_DBranchName_1_73">
          <a:extLst>
            <a:ext uri="{FF2B5EF4-FFF2-40B4-BE49-F238E27FC236}">
              <a16:creationId xmlns:a16="http://schemas.microsoft.com/office/drawing/2014/main" id="{681F7310-0418-468D-8D10-0D28C173A449}"/>
            </a:ext>
          </a:extLst>
        </xdr:cNvPr>
        <xdr:cNvSpPr txBox="1"/>
      </xdr:nvSpPr>
      <xdr:spPr>
        <a:xfrm>
          <a:off x="18666904" y="26605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149</xdr:row>
      <xdr:rowOff>10161</xdr:rowOff>
    </xdr:from>
    <xdr:to>
      <xdr:col>12</xdr:col>
      <xdr:colOff>135382</xdr:colOff>
      <xdr:row>150</xdr:row>
      <xdr:rowOff>15876</xdr:rowOff>
    </xdr:to>
    <xdr:sp macro="_xll.PtreeEvent_ObjectClick" textlink="">
      <xdr:nvSpPr>
        <xdr:cNvPr id="313" name="PTObj_DNode_1_74">
          <a:extLst>
            <a:ext uri="{FF2B5EF4-FFF2-40B4-BE49-F238E27FC236}">
              <a16:creationId xmlns:a16="http://schemas.microsoft.com/office/drawing/2014/main" id="{1DBFEE77-7B82-4309-9442-4EB7044C2CF6}"/>
            </a:ext>
          </a:extLst>
        </xdr:cNvPr>
        <xdr:cNvSpPr/>
      </xdr:nvSpPr>
      <xdr:spPr>
        <a:xfrm rot="-5400000">
          <a:off x="21248498" y="269716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149</xdr:row>
      <xdr:rowOff>7477</xdr:rowOff>
    </xdr:from>
    <xdr:ext cx="514858" cy="180627"/>
    <xdr:sp macro="_xll.PtreeEvent_ObjectClick" textlink="">
      <xdr:nvSpPr>
        <xdr:cNvPr id="316" name="PTObj_DBranchName_1_74">
          <a:extLst>
            <a:ext uri="{FF2B5EF4-FFF2-40B4-BE49-F238E27FC236}">
              <a16:creationId xmlns:a16="http://schemas.microsoft.com/office/drawing/2014/main" id="{ECE2DAC3-AB93-4F20-A84B-F2C4FEDD550A}"/>
            </a:ext>
          </a:extLst>
        </xdr:cNvPr>
        <xdr:cNvSpPr txBox="1"/>
      </xdr:nvSpPr>
      <xdr:spPr>
        <a:xfrm>
          <a:off x="20094701" y="269727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153</xdr:row>
      <xdr:rowOff>12064</xdr:rowOff>
    </xdr:from>
    <xdr:to>
      <xdr:col>9</xdr:col>
      <xdr:colOff>150622</xdr:colOff>
      <xdr:row>154</xdr:row>
      <xdr:rowOff>21588</xdr:rowOff>
    </xdr:to>
    <xdr:sp macro="_xll.PtreeEvent_ObjectClick" textlink="">
      <xdr:nvSpPr>
        <xdr:cNvPr id="317" name="PTObj_DNode_1_76">
          <a:extLst>
            <a:ext uri="{FF2B5EF4-FFF2-40B4-BE49-F238E27FC236}">
              <a16:creationId xmlns:a16="http://schemas.microsoft.com/office/drawing/2014/main" id="{E6B39DAF-1F9D-4B40-A823-409CA9B7E124}"/>
            </a:ext>
          </a:extLst>
        </xdr:cNvPr>
        <xdr:cNvSpPr/>
      </xdr:nvSpPr>
      <xdr:spPr>
        <a:xfrm>
          <a:off x="16969867" y="277012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153</xdr:row>
      <xdr:rowOff>17003</xdr:rowOff>
    </xdr:from>
    <xdr:ext cx="568424" cy="180627"/>
    <xdr:sp macro="_xll.PtreeEvent_ObjectClick" textlink="">
      <xdr:nvSpPr>
        <xdr:cNvPr id="320" name="PTObj_DBranchName_1_76">
          <a:extLst>
            <a:ext uri="{FF2B5EF4-FFF2-40B4-BE49-F238E27FC236}">
              <a16:creationId xmlns:a16="http://schemas.microsoft.com/office/drawing/2014/main" id="{40430575-5666-48F2-BD4C-F6DFB37933BF}"/>
            </a:ext>
          </a:extLst>
        </xdr:cNvPr>
        <xdr:cNvSpPr txBox="1"/>
      </xdr:nvSpPr>
      <xdr:spPr>
        <a:xfrm>
          <a:off x="15820834" y="2770617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155</xdr:row>
      <xdr:rowOff>15875</xdr:rowOff>
    </xdr:from>
    <xdr:to>
      <xdr:col>10</xdr:col>
      <xdr:colOff>135383</xdr:colOff>
      <xdr:row>156</xdr:row>
      <xdr:rowOff>21589</xdr:rowOff>
    </xdr:to>
    <xdr:sp macro="_xll.PtreeEvent_ObjectClick" textlink="">
      <xdr:nvSpPr>
        <xdr:cNvPr id="321" name="PTObj_DNode_1_77">
          <a:extLst>
            <a:ext uri="{FF2B5EF4-FFF2-40B4-BE49-F238E27FC236}">
              <a16:creationId xmlns:a16="http://schemas.microsoft.com/office/drawing/2014/main" id="{388BD1E0-0266-41B1-BB48-3F2C4C5C701A}"/>
            </a:ext>
          </a:extLst>
        </xdr:cNvPr>
        <xdr:cNvSpPr/>
      </xdr:nvSpPr>
      <xdr:spPr>
        <a:xfrm>
          <a:off x="18394807" y="28067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155</xdr:row>
      <xdr:rowOff>20811</xdr:rowOff>
    </xdr:from>
    <xdr:ext cx="514858" cy="180627"/>
    <xdr:sp macro="_xll.PtreeEvent_ObjectClick" textlink="">
      <xdr:nvSpPr>
        <xdr:cNvPr id="324" name="PTObj_DBranchName_1_77">
          <a:extLst>
            <a:ext uri="{FF2B5EF4-FFF2-40B4-BE49-F238E27FC236}">
              <a16:creationId xmlns:a16="http://schemas.microsoft.com/office/drawing/2014/main" id="{3B357993-3873-4970-AD13-E5FA1C170265}"/>
            </a:ext>
          </a:extLst>
        </xdr:cNvPr>
        <xdr:cNvSpPr txBox="1"/>
      </xdr:nvSpPr>
      <xdr:spPr>
        <a:xfrm>
          <a:off x="17244820" y="280719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157</xdr:row>
      <xdr:rowOff>19686</xdr:rowOff>
    </xdr:from>
    <xdr:to>
      <xdr:col>11</xdr:col>
      <xdr:colOff>131572</xdr:colOff>
      <xdr:row>158</xdr:row>
      <xdr:rowOff>21589</xdr:rowOff>
    </xdr:to>
    <xdr:sp macro="_xll.PtreeEvent_ObjectClick" textlink="">
      <xdr:nvSpPr>
        <xdr:cNvPr id="325" name="PTObj_DNode_1_78">
          <a:extLst>
            <a:ext uri="{FF2B5EF4-FFF2-40B4-BE49-F238E27FC236}">
              <a16:creationId xmlns:a16="http://schemas.microsoft.com/office/drawing/2014/main" id="{AB01D91D-17A7-4976-BF86-22B7B837754B}"/>
            </a:ext>
          </a:extLst>
        </xdr:cNvPr>
        <xdr:cNvSpPr/>
      </xdr:nvSpPr>
      <xdr:spPr>
        <a:xfrm>
          <a:off x="19819747" y="284327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157</xdr:row>
      <xdr:rowOff>17001</xdr:rowOff>
    </xdr:from>
    <xdr:ext cx="514858" cy="180627"/>
    <xdr:sp macro="_xll.PtreeEvent_ObjectClick" textlink="">
      <xdr:nvSpPr>
        <xdr:cNvPr id="328" name="PTObj_DBranchName_1_78">
          <a:extLst>
            <a:ext uri="{FF2B5EF4-FFF2-40B4-BE49-F238E27FC236}">
              <a16:creationId xmlns:a16="http://schemas.microsoft.com/office/drawing/2014/main" id="{41ECC32E-F419-462A-89C0-2D3030D3877F}"/>
            </a:ext>
          </a:extLst>
        </xdr:cNvPr>
        <xdr:cNvSpPr txBox="1"/>
      </xdr:nvSpPr>
      <xdr:spPr>
        <a:xfrm>
          <a:off x="18666904" y="28430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159</xdr:row>
      <xdr:rowOff>23496</xdr:rowOff>
    </xdr:from>
    <xdr:to>
      <xdr:col>12</xdr:col>
      <xdr:colOff>135382</xdr:colOff>
      <xdr:row>160</xdr:row>
      <xdr:rowOff>21591</xdr:rowOff>
    </xdr:to>
    <xdr:sp macro="_xll.PtreeEvent_ObjectClick" textlink="">
      <xdr:nvSpPr>
        <xdr:cNvPr id="329" name="PTObj_DNode_1_79">
          <a:extLst>
            <a:ext uri="{FF2B5EF4-FFF2-40B4-BE49-F238E27FC236}">
              <a16:creationId xmlns:a16="http://schemas.microsoft.com/office/drawing/2014/main" id="{F65A8872-94B1-4699-8C86-DA031607B8B9}"/>
            </a:ext>
          </a:extLst>
        </xdr:cNvPr>
        <xdr:cNvSpPr/>
      </xdr:nvSpPr>
      <xdr:spPr>
        <a:xfrm rot="-5400000">
          <a:off x="21248498" y="287947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159</xdr:row>
      <xdr:rowOff>20812</xdr:rowOff>
    </xdr:from>
    <xdr:ext cx="514858" cy="180627"/>
    <xdr:sp macro="_xll.PtreeEvent_ObjectClick" textlink="">
      <xdr:nvSpPr>
        <xdr:cNvPr id="332" name="PTObj_DBranchName_1_79">
          <a:extLst>
            <a:ext uri="{FF2B5EF4-FFF2-40B4-BE49-F238E27FC236}">
              <a16:creationId xmlns:a16="http://schemas.microsoft.com/office/drawing/2014/main" id="{74F98D59-2147-456E-860B-5D29BD7E377A}"/>
            </a:ext>
          </a:extLst>
        </xdr:cNvPr>
        <xdr:cNvSpPr txBox="1"/>
      </xdr:nvSpPr>
      <xdr:spPr>
        <a:xfrm>
          <a:off x="20094701" y="287958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1411732</xdr:colOff>
      <xdr:row>241</xdr:row>
      <xdr:rowOff>179704</xdr:rowOff>
    </xdr:from>
    <xdr:to>
      <xdr:col>5</xdr:col>
      <xdr:colOff>173482</xdr:colOff>
      <xdr:row>243</xdr:row>
      <xdr:rowOff>633</xdr:rowOff>
    </xdr:to>
    <xdr:sp macro="_xll.PtreeEvent_ObjectClick" textlink="">
      <xdr:nvSpPr>
        <xdr:cNvPr id="333" name="PTObj_DNode_1_120">
          <a:extLst>
            <a:ext uri="{FF2B5EF4-FFF2-40B4-BE49-F238E27FC236}">
              <a16:creationId xmlns:a16="http://schemas.microsoft.com/office/drawing/2014/main" id="{6596DFD7-11BD-4991-BCF2-F01A4D126522}"/>
            </a:ext>
          </a:extLst>
        </xdr:cNvPr>
        <xdr:cNvSpPr/>
      </xdr:nvSpPr>
      <xdr:spPr>
        <a:xfrm>
          <a:off x="11270107" y="43794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241</xdr:row>
      <xdr:rowOff>178927</xdr:rowOff>
    </xdr:from>
    <xdr:ext cx="566520" cy="180627"/>
    <xdr:sp macro="_xll.PtreeEvent_ObjectClick" textlink="">
      <xdr:nvSpPr>
        <xdr:cNvPr id="336" name="PTObj_DBranchName_1_120">
          <a:extLst>
            <a:ext uri="{FF2B5EF4-FFF2-40B4-BE49-F238E27FC236}">
              <a16:creationId xmlns:a16="http://schemas.microsoft.com/office/drawing/2014/main" id="{BC616B92-2196-464B-A804-17C9D6D78E45}"/>
            </a:ext>
          </a:extLst>
        </xdr:cNvPr>
        <xdr:cNvSpPr txBox="1"/>
      </xdr:nvSpPr>
      <xdr:spPr>
        <a:xfrm>
          <a:off x="10124885" y="4379390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1407922</xdr:colOff>
      <xdr:row>201</xdr:row>
      <xdr:rowOff>103504</xdr:rowOff>
    </xdr:from>
    <xdr:to>
      <xdr:col>6</xdr:col>
      <xdr:colOff>171577</xdr:colOff>
      <xdr:row>202</xdr:row>
      <xdr:rowOff>97788</xdr:rowOff>
    </xdr:to>
    <xdr:sp macro="_xll.PtreeEvent_ObjectClick" textlink="">
      <xdr:nvSpPr>
        <xdr:cNvPr id="337" name="PTObj_DNode_1_100">
          <a:extLst>
            <a:ext uri="{FF2B5EF4-FFF2-40B4-BE49-F238E27FC236}">
              <a16:creationId xmlns:a16="http://schemas.microsoft.com/office/drawing/2014/main" id="{4FED02B0-D087-4EFE-BC06-44681BE6C524}"/>
            </a:ext>
          </a:extLst>
        </xdr:cNvPr>
        <xdr:cNvSpPr/>
      </xdr:nvSpPr>
      <xdr:spPr>
        <a:xfrm>
          <a:off x="12695047" y="36479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201</xdr:row>
      <xdr:rowOff>102727</xdr:rowOff>
    </xdr:from>
    <xdr:ext cx="568424" cy="180627"/>
    <xdr:sp macro="_xll.PtreeEvent_ObjectClick" textlink="">
      <xdr:nvSpPr>
        <xdr:cNvPr id="340" name="PTObj_DBranchName_1_100">
          <a:extLst>
            <a:ext uri="{FF2B5EF4-FFF2-40B4-BE49-F238E27FC236}">
              <a16:creationId xmlns:a16="http://schemas.microsoft.com/office/drawing/2014/main" id="{CF157279-BA31-4E14-A4CF-4105ED702142}"/>
            </a:ext>
          </a:extLst>
        </xdr:cNvPr>
        <xdr:cNvSpPr txBox="1"/>
      </xdr:nvSpPr>
      <xdr:spPr>
        <a:xfrm>
          <a:off x="11548872" y="36478702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181</xdr:row>
      <xdr:rowOff>65404</xdr:rowOff>
    </xdr:from>
    <xdr:to>
      <xdr:col>7</xdr:col>
      <xdr:colOff>167768</xdr:colOff>
      <xdr:row>182</xdr:row>
      <xdr:rowOff>55878</xdr:rowOff>
    </xdr:to>
    <xdr:sp macro="_xll.PtreeEvent_ObjectClick" textlink="">
      <xdr:nvSpPr>
        <xdr:cNvPr id="341" name="PTObj_DNode_1_90">
          <a:extLst>
            <a:ext uri="{FF2B5EF4-FFF2-40B4-BE49-F238E27FC236}">
              <a16:creationId xmlns:a16="http://schemas.microsoft.com/office/drawing/2014/main" id="{F89E8BA8-7A75-49ED-BFB6-589CA21E2C1C}"/>
            </a:ext>
          </a:extLst>
        </xdr:cNvPr>
        <xdr:cNvSpPr/>
      </xdr:nvSpPr>
      <xdr:spPr>
        <a:xfrm>
          <a:off x="14119988" y="32821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181</xdr:row>
      <xdr:rowOff>64627</xdr:rowOff>
    </xdr:from>
    <xdr:ext cx="566520" cy="180627"/>
    <xdr:sp macro="_xll.PtreeEvent_ObjectClick" textlink="">
      <xdr:nvSpPr>
        <xdr:cNvPr id="344" name="PTObj_DBranchName_1_90">
          <a:extLst>
            <a:ext uri="{FF2B5EF4-FFF2-40B4-BE49-F238E27FC236}">
              <a16:creationId xmlns:a16="http://schemas.microsoft.com/office/drawing/2014/main" id="{F869F4AE-D31B-4AFB-AAFF-DD530FDCB0BD}"/>
            </a:ext>
          </a:extLst>
        </xdr:cNvPr>
        <xdr:cNvSpPr txBox="1"/>
      </xdr:nvSpPr>
      <xdr:spPr>
        <a:xfrm>
          <a:off x="12976669" y="3282110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171</xdr:row>
      <xdr:rowOff>46354</xdr:rowOff>
    </xdr:from>
    <xdr:to>
      <xdr:col>8</xdr:col>
      <xdr:colOff>154432</xdr:colOff>
      <xdr:row>172</xdr:row>
      <xdr:rowOff>57783</xdr:rowOff>
    </xdr:to>
    <xdr:sp macro="_xll.PtreeEvent_ObjectClick" textlink="">
      <xdr:nvSpPr>
        <xdr:cNvPr id="345" name="PTObj_DNode_1_85">
          <a:extLst>
            <a:ext uri="{FF2B5EF4-FFF2-40B4-BE49-F238E27FC236}">
              <a16:creationId xmlns:a16="http://schemas.microsoft.com/office/drawing/2014/main" id="{8E6EBBC8-E009-4CC7-A035-406005276D00}"/>
            </a:ext>
          </a:extLst>
        </xdr:cNvPr>
        <xdr:cNvSpPr/>
      </xdr:nvSpPr>
      <xdr:spPr>
        <a:xfrm>
          <a:off x="15544927" y="30993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171</xdr:row>
      <xdr:rowOff>49387</xdr:rowOff>
    </xdr:from>
    <xdr:ext cx="566519" cy="180627"/>
    <xdr:sp macro="_xll.PtreeEvent_ObjectClick" textlink="">
      <xdr:nvSpPr>
        <xdr:cNvPr id="348" name="PTObj_DBranchName_1_85">
          <a:extLst>
            <a:ext uri="{FF2B5EF4-FFF2-40B4-BE49-F238E27FC236}">
              <a16:creationId xmlns:a16="http://schemas.microsoft.com/office/drawing/2014/main" id="{0266D236-E217-422B-A3D2-ADD79E29A030}"/>
            </a:ext>
          </a:extLst>
        </xdr:cNvPr>
        <xdr:cNvSpPr txBox="1"/>
      </xdr:nvSpPr>
      <xdr:spPr>
        <a:xfrm>
          <a:off x="14398752" y="3099611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163</xdr:row>
      <xdr:rowOff>31114</xdr:rowOff>
    </xdr:from>
    <xdr:to>
      <xdr:col>9</xdr:col>
      <xdr:colOff>150622</xdr:colOff>
      <xdr:row>164</xdr:row>
      <xdr:rowOff>17778</xdr:rowOff>
    </xdr:to>
    <xdr:sp macro="_xll.PtreeEvent_ObjectClick" textlink="">
      <xdr:nvSpPr>
        <xdr:cNvPr id="349" name="PTObj_DNode_1_81">
          <a:extLst>
            <a:ext uri="{FF2B5EF4-FFF2-40B4-BE49-F238E27FC236}">
              <a16:creationId xmlns:a16="http://schemas.microsoft.com/office/drawing/2014/main" id="{EBFFAF07-3AB2-47F7-9872-0D00758E3E59}"/>
            </a:ext>
          </a:extLst>
        </xdr:cNvPr>
        <xdr:cNvSpPr/>
      </xdr:nvSpPr>
      <xdr:spPr>
        <a:xfrm>
          <a:off x="16969867" y="295300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163</xdr:row>
      <xdr:rowOff>30338</xdr:rowOff>
    </xdr:from>
    <xdr:ext cx="568424" cy="180627"/>
    <xdr:sp macro="_xll.PtreeEvent_ObjectClick" textlink="">
      <xdr:nvSpPr>
        <xdr:cNvPr id="352" name="PTObj_DBranchName_1_81">
          <a:extLst>
            <a:ext uri="{FF2B5EF4-FFF2-40B4-BE49-F238E27FC236}">
              <a16:creationId xmlns:a16="http://schemas.microsoft.com/office/drawing/2014/main" id="{AB2DC837-BA20-4A2D-8077-8730D6AEEC2C}"/>
            </a:ext>
          </a:extLst>
        </xdr:cNvPr>
        <xdr:cNvSpPr txBox="1"/>
      </xdr:nvSpPr>
      <xdr:spPr>
        <a:xfrm>
          <a:off x="15820834" y="29529263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165</xdr:row>
      <xdr:rowOff>34925</xdr:rowOff>
    </xdr:from>
    <xdr:to>
      <xdr:col>10</xdr:col>
      <xdr:colOff>135383</xdr:colOff>
      <xdr:row>166</xdr:row>
      <xdr:rowOff>36829</xdr:rowOff>
    </xdr:to>
    <xdr:sp macro="_xll.PtreeEvent_ObjectClick" textlink="">
      <xdr:nvSpPr>
        <xdr:cNvPr id="353" name="PTObj_DNode_1_82">
          <a:extLst>
            <a:ext uri="{FF2B5EF4-FFF2-40B4-BE49-F238E27FC236}">
              <a16:creationId xmlns:a16="http://schemas.microsoft.com/office/drawing/2014/main" id="{DF87E6DB-A4BB-4E23-A255-EE3DF8AEB4FD}"/>
            </a:ext>
          </a:extLst>
        </xdr:cNvPr>
        <xdr:cNvSpPr/>
      </xdr:nvSpPr>
      <xdr:spPr>
        <a:xfrm>
          <a:off x="18394807" y="29895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165</xdr:row>
      <xdr:rowOff>36051</xdr:rowOff>
    </xdr:from>
    <xdr:ext cx="514858" cy="180627"/>
    <xdr:sp macro="_xll.PtreeEvent_ObjectClick" textlink="">
      <xdr:nvSpPr>
        <xdr:cNvPr id="356" name="PTObj_DBranchName_1_82">
          <a:extLst>
            <a:ext uri="{FF2B5EF4-FFF2-40B4-BE49-F238E27FC236}">
              <a16:creationId xmlns:a16="http://schemas.microsoft.com/office/drawing/2014/main" id="{1992AD9E-74B3-48D4-AC88-D753FD9F66E5}"/>
            </a:ext>
          </a:extLst>
        </xdr:cNvPr>
        <xdr:cNvSpPr txBox="1"/>
      </xdr:nvSpPr>
      <xdr:spPr>
        <a:xfrm>
          <a:off x="17244820" y="298969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167</xdr:row>
      <xdr:rowOff>38736</xdr:rowOff>
    </xdr:from>
    <xdr:to>
      <xdr:col>11</xdr:col>
      <xdr:colOff>131572</xdr:colOff>
      <xdr:row>168</xdr:row>
      <xdr:rowOff>40639</xdr:rowOff>
    </xdr:to>
    <xdr:sp macro="_xll.PtreeEvent_ObjectClick" textlink="">
      <xdr:nvSpPr>
        <xdr:cNvPr id="357" name="PTObj_DNode_1_83">
          <a:extLst>
            <a:ext uri="{FF2B5EF4-FFF2-40B4-BE49-F238E27FC236}">
              <a16:creationId xmlns:a16="http://schemas.microsoft.com/office/drawing/2014/main" id="{C8E75DC9-D86E-4699-8428-3B7992557D82}"/>
            </a:ext>
          </a:extLst>
        </xdr:cNvPr>
        <xdr:cNvSpPr/>
      </xdr:nvSpPr>
      <xdr:spPr>
        <a:xfrm>
          <a:off x="19819747" y="302615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167</xdr:row>
      <xdr:rowOff>39861</xdr:rowOff>
    </xdr:from>
    <xdr:ext cx="514858" cy="180627"/>
    <xdr:sp macro="_xll.PtreeEvent_ObjectClick" textlink="">
      <xdr:nvSpPr>
        <xdr:cNvPr id="360" name="PTObj_DBranchName_1_83">
          <a:extLst>
            <a:ext uri="{FF2B5EF4-FFF2-40B4-BE49-F238E27FC236}">
              <a16:creationId xmlns:a16="http://schemas.microsoft.com/office/drawing/2014/main" id="{4B4F5B7A-349F-4077-902F-AD6F043AE445}"/>
            </a:ext>
          </a:extLst>
        </xdr:cNvPr>
        <xdr:cNvSpPr txBox="1"/>
      </xdr:nvSpPr>
      <xdr:spPr>
        <a:xfrm>
          <a:off x="18666904" y="30262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169</xdr:row>
      <xdr:rowOff>48261</xdr:rowOff>
    </xdr:from>
    <xdr:to>
      <xdr:col>12</xdr:col>
      <xdr:colOff>135382</xdr:colOff>
      <xdr:row>170</xdr:row>
      <xdr:rowOff>53976</xdr:rowOff>
    </xdr:to>
    <xdr:sp macro="_xll.PtreeEvent_ObjectClick" textlink="">
      <xdr:nvSpPr>
        <xdr:cNvPr id="361" name="PTObj_DNode_1_84">
          <a:extLst>
            <a:ext uri="{FF2B5EF4-FFF2-40B4-BE49-F238E27FC236}">
              <a16:creationId xmlns:a16="http://schemas.microsoft.com/office/drawing/2014/main" id="{1EAA6814-CD41-4944-BE93-0B981F52C9AD}"/>
            </a:ext>
          </a:extLst>
        </xdr:cNvPr>
        <xdr:cNvSpPr/>
      </xdr:nvSpPr>
      <xdr:spPr>
        <a:xfrm rot="-5400000">
          <a:off x="21248498" y="306292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169</xdr:row>
      <xdr:rowOff>45577</xdr:rowOff>
    </xdr:from>
    <xdr:ext cx="514858" cy="180627"/>
    <xdr:sp macro="_xll.PtreeEvent_ObjectClick" textlink="">
      <xdr:nvSpPr>
        <xdr:cNvPr id="364" name="PTObj_DBranchName_1_84">
          <a:extLst>
            <a:ext uri="{FF2B5EF4-FFF2-40B4-BE49-F238E27FC236}">
              <a16:creationId xmlns:a16="http://schemas.microsoft.com/office/drawing/2014/main" id="{23EF9742-8425-4721-B7F6-20641457CE83}"/>
            </a:ext>
          </a:extLst>
        </xdr:cNvPr>
        <xdr:cNvSpPr txBox="1"/>
      </xdr:nvSpPr>
      <xdr:spPr>
        <a:xfrm>
          <a:off x="20094701" y="306303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173</xdr:row>
      <xdr:rowOff>50164</xdr:rowOff>
    </xdr:from>
    <xdr:to>
      <xdr:col>9</xdr:col>
      <xdr:colOff>150622</xdr:colOff>
      <xdr:row>174</xdr:row>
      <xdr:rowOff>59688</xdr:rowOff>
    </xdr:to>
    <xdr:sp macro="_xll.PtreeEvent_ObjectClick" textlink="">
      <xdr:nvSpPr>
        <xdr:cNvPr id="365" name="PTObj_DNode_1_86">
          <a:extLst>
            <a:ext uri="{FF2B5EF4-FFF2-40B4-BE49-F238E27FC236}">
              <a16:creationId xmlns:a16="http://schemas.microsoft.com/office/drawing/2014/main" id="{9ED822E5-34AC-488F-A1B9-E7DB640B16C3}"/>
            </a:ext>
          </a:extLst>
        </xdr:cNvPr>
        <xdr:cNvSpPr/>
      </xdr:nvSpPr>
      <xdr:spPr>
        <a:xfrm>
          <a:off x="16969867" y="313588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173</xdr:row>
      <xdr:rowOff>55103</xdr:rowOff>
    </xdr:from>
    <xdr:ext cx="568424" cy="180627"/>
    <xdr:sp macro="_xll.PtreeEvent_ObjectClick" textlink="">
      <xdr:nvSpPr>
        <xdr:cNvPr id="368" name="PTObj_DBranchName_1_86">
          <a:extLst>
            <a:ext uri="{FF2B5EF4-FFF2-40B4-BE49-F238E27FC236}">
              <a16:creationId xmlns:a16="http://schemas.microsoft.com/office/drawing/2014/main" id="{CB803007-2488-491A-9736-10485CED164A}"/>
            </a:ext>
          </a:extLst>
        </xdr:cNvPr>
        <xdr:cNvSpPr txBox="1"/>
      </xdr:nvSpPr>
      <xdr:spPr>
        <a:xfrm>
          <a:off x="15820834" y="3136377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175</xdr:row>
      <xdr:rowOff>53975</xdr:rowOff>
    </xdr:from>
    <xdr:to>
      <xdr:col>10</xdr:col>
      <xdr:colOff>135383</xdr:colOff>
      <xdr:row>176</xdr:row>
      <xdr:rowOff>59689</xdr:rowOff>
    </xdr:to>
    <xdr:sp macro="_xll.PtreeEvent_ObjectClick" textlink="">
      <xdr:nvSpPr>
        <xdr:cNvPr id="369" name="PTObj_DNode_1_87">
          <a:extLst>
            <a:ext uri="{FF2B5EF4-FFF2-40B4-BE49-F238E27FC236}">
              <a16:creationId xmlns:a16="http://schemas.microsoft.com/office/drawing/2014/main" id="{34BF1A1B-6260-4B30-9C1D-AA3D2CE1260A}"/>
            </a:ext>
          </a:extLst>
        </xdr:cNvPr>
        <xdr:cNvSpPr/>
      </xdr:nvSpPr>
      <xdr:spPr>
        <a:xfrm>
          <a:off x="18394807" y="31724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175</xdr:row>
      <xdr:rowOff>58911</xdr:rowOff>
    </xdr:from>
    <xdr:ext cx="514858" cy="180627"/>
    <xdr:sp macro="_xll.PtreeEvent_ObjectClick" textlink="">
      <xdr:nvSpPr>
        <xdr:cNvPr id="372" name="PTObj_DBranchName_1_87">
          <a:extLst>
            <a:ext uri="{FF2B5EF4-FFF2-40B4-BE49-F238E27FC236}">
              <a16:creationId xmlns:a16="http://schemas.microsoft.com/office/drawing/2014/main" id="{BBDC8A6D-2153-441B-A0B9-D758C1E1B0C2}"/>
            </a:ext>
          </a:extLst>
        </xdr:cNvPr>
        <xdr:cNvSpPr txBox="1"/>
      </xdr:nvSpPr>
      <xdr:spPr>
        <a:xfrm>
          <a:off x="17244820" y="317295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177</xdr:row>
      <xdr:rowOff>57786</xdr:rowOff>
    </xdr:from>
    <xdr:to>
      <xdr:col>11</xdr:col>
      <xdr:colOff>131572</xdr:colOff>
      <xdr:row>178</xdr:row>
      <xdr:rowOff>59689</xdr:rowOff>
    </xdr:to>
    <xdr:sp macro="_xll.PtreeEvent_ObjectClick" textlink="">
      <xdr:nvSpPr>
        <xdr:cNvPr id="373" name="PTObj_DNode_1_88">
          <a:extLst>
            <a:ext uri="{FF2B5EF4-FFF2-40B4-BE49-F238E27FC236}">
              <a16:creationId xmlns:a16="http://schemas.microsoft.com/office/drawing/2014/main" id="{CD3FEE16-F4D3-4246-8A9A-16942BC32974}"/>
            </a:ext>
          </a:extLst>
        </xdr:cNvPr>
        <xdr:cNvSpPr/>
      </xdr:nvSpPr>
      <xdr:spPr>
        <a:xfrm>
          <a:off x="19819747" y="320903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177</xdr:row>
      <xdr:rowOff>55101</xdr:rowOff>
    </xdr:from>
    <xdr:ext cx="514858" cy="180627"/>
    <xdr:sp macro="_xll.PtreeEvent_ObjectClick" textlink="">
      <xdr:nvSpPr>
        <xdr:cNvPr id="376" name="PTObj_DBranchName_1_88">
          <a:extLst>
            <a:ext uri="{FF2B5EF4-FFF2-40B4-BE49-F238E27FC236}">
              <a16:creationId xmlns:a16="http://schemas.microsoft.com/office/drawing/2014/main" id="{5B4E1BFF-C7C8-4849-8AD3-276C61441CFB}"/>
            </a:ext>
          </a:extLst>
        </xdr:cNvPr>
        <xdr:cNvSpPr txBox="1"/>
      </xdr:nvSpPr>
      <xdr:spPr>
        <a:xfrm>
          <a:off x="18666904" y="32087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179</xdr:row>
      <xdr:rowOff>61596</xdr:rowOff>
    </xdr:from>
    <xdr:to>
      <xdr:col>12</xdr:col>
      <xdr:colOff>135382</xdr:colOff>
      <xdr:row>180</xdr:row>
      <xdr:rowOff>59691</xdr:rowOff>
    </xdr:to>
    <xdr:sp macro="_xll.PtreeEvent_ObjectClick" textlink="">
      <xdr:nvSpPr>
        <xdr:cNvPr id="377" name="PTObj_DNode_1_89">
          <a:extLst>
            <a:ext uri="{FF2B5EF4-FFF2-40B4-BE49-F238E27FC236}">
              <a16:creationId xmlns:a16="http://schemas.microsoft.com/office/drawing/2014/main" id="{3D77C579-0C92-4128-B25F-8B4525A97CC8}"/>
            </a:ext>
          </a:extLst>
        </xdr:cNvPr>
        <xdr:cNvSpPr/>
      </xdr:nvSpPr>
      <xdr:spPr>
        <a:xfrm rot="-5400000">
          <a:off x="21248498" y="324523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179</xdr:row>
      <xdr:rowOff>58912</xdr:rowOff>
    </xdr:from>
    <xdr:ext cx="514858" cy="180627"/>
    <xdr:sp macro="_xll.PtreeEvent_ObjectClick" textlink="">
      <xdr:nvSpPr>
        <xdr:cNvPr id="380" name="PTObj_DBranchName_1_89">
          <a:extLst>
            <a:ext uri="{FF2B5EF4-FFF2-40B4-BE49-F238E27FC236}">
              <a16:creationId xmlns:a16="http://schemas.microsoft.com/office/drawing/2014/main" id="{BED0763E-DD9A-4FD5-BA5C-0F99FD5DFEBF}"/>
            </a:ext>
          </a:extLst>
        </xdr:cNvPr>
        <xdr:cNvSpPr txBox="1"/>
      </xdr:nvSpPr>
      <xdr:spPr>
        <a:xfrm>
          <a:off x="20094701" y="324534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191</xdr:row>
      <xdr:rowOff>84454</xdr:rowOff>
    </xdr:from>
    <xdr:to>
      <xdr:col>8</xdr:col>
      <xdr:colOff>154432</xdr:colOff>
      <xdr:row>192</xdr:row>
      <xdr:rowOff>92073</xdr:rowOff>
    </xdr:to>
    <xdr:sp macro="_xll.PtreeEvent_ObjectClick" textlink="">
      <xdr:nvSpPr>
        <xdr:cNvPr id="381" name="PTObj_DNode_1_95">
          <a:extLst>
            <a:ext uri="{FF2B5EF4-FFF2-40B4-BE49-F238E27FC236}">
              <a16:creationId xmlns:a16="http://schemas.microsoft.com/office/drawing/2014/main" id="{EDBE37BD-C0D1-4DB6-8F72-B61D9045F8CB}"/>
            </a:ext>
          </a:extLst>
        </xdr:cNvPr>
        <xdr:cNvSpPr/>
      </xdr:nvSpPr>
      <xdr:spPr>
        <a:xfrm>
          <a:off x="15544927" y="34650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191</xdr:row>
      <xdr:rowOff>87487</xdr:rowOff>
    </xdr:from>
    <xdr:ext cx="568425" cy="180627"/>
    <xdr:sp macro="_xll.PtreeEvent_ObjectClick" textlink="">
      <xdr:nvSpPr>
        <xdr:cNvPr id="384" name="PTObj_DBranchName_1_95">
          <a:extLst>
            <a:ext uri="{FF2B5EF4-FFF2-40B4-BE49-F238E27FC236}">
              <a16:creationId xmlns:a16="http://schemas.microsoft.com/office/drawing/2014/main" id="{561B0CAE-F90B-47A8-83AF-9A35F59F3BB5}"/>
            </a:ext>
          </a:extLst>
        </xdr:cNvPr>
        <xdr:cNvSpPr txBox="1"/>
      </xdr:nvSpPr>
      <xdr:spPr>
        <a:xfrm>
          <a:off x="14400657" y="3465371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183</xdr:row>
      <xdr:rowOff>69214</xdr:rowOff>
    </xdr:from>
    <xdr:to>
      <xdr:col>9</xdr:col>
      <xdr:colOff>150622</xdr:colOff>
      <xdr:row>184</xdr:row>
      <xdr:rowOff>59688</xdr:rowOff>
    </xdr:to>
    <xdr:sp macro="_xll.PtreeEvent_ObjectClick" textlink="">
      <xdr:nvSpPr>
        <xdr:cNvPr id="385" name="PTObj_DNode_1_91">
          <a:extLst>
            <a:ext uri="{FF2B5EF4-FFF2-40B4-BE49-F238E27FC236}">
              <a16:creationId xmlns:a16="http://schemas.microsoft.com/office/drawing/2014/main" id="{E096288A-67DD-46AB-AA1C-E98DBFCA2612}"/>
            </a:ext>
          </a:extLst>
        </xdr:cNvPr>
        <xdr:cNvSpPr/>
      </xdr:nvSpPr>
      <xdr:spPr>
        <a:xfrm>
          <a:off x="16969867" y="331876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183</xdr:row>
      <xdr:rowOff>68438</xdr:rowOff>
    </xdr:from>
    <xdr:ext cx="568424" cy="180627"/>
    <xdr:sp macro="_xll.PtreeEvent_ObjectClick" textlink="">
      <xdr:nvSpPr>
        <xdr:cNvPr id="388" name="PTObj_DBranchName_1_91">
          <a:extLst>
            <a:ext uri="{FF2B5EF4-FFF2-40B4-BE49-F238E27FC236}">
              <a16:creationId xmlns:a16="http://schemas.microsoft.com/office/drawing/2014/main" id="{ABA6AD9A-E318-4B5E-8E40-05689A287CC1}"/>
            </a:ext>
          </a:extLst>
        </xdr:cNvPr>
        <xdr:cNvSpPr txBox="1"/>
      </xdr:nvSpPr>
      <xdr:spPr>
        <a:xfrm>
          <a:off x="15820834" y="33186863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185</xdr:row>
      <xdr:rowOff>73025</xdr:rowOff>
    </xdr:from>
    <xdr:to>
      <xdr:col>10</xdr:col>
      <xdr:colOff>131573</xdr:colOff>
      <xdr:row>186</xdr:row>
      <xdr:rowOff>74929</xdr:rowOff>
    </xdr:to>
    <xdr:sp macro="_xll.PtreeEvent_ObjectClick" textlink="">
      <xdr:nvSpPr>
        <xdr:cNvPr id="389" name="PTObj_DNode_1_92">
          <a:extLst>
            <a:ext uri="{FF2B5EF4-FFF2-40B4-BE49-F238E27FC236}">
              <a16:creationId xmlns:a16="http://schemas.microsoft.com/office/drawing/2014/main" id="{AE9FCCFE-BB43-4F5B-887E-3B3E29B178BA}"/>
            </a:ext>
          </a:extLst>
        </xdr:cNvPr>
        <xdr:cNvSpPr/>
      </xdr:nvSpPr>
      <xdr:spPr>
        <a:xfrm>
          <a:off x="18394807" y="33553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185</xdr:row>
      <xdr:rowOff>74151</xdr:rowOff>
    </xdr:from>
    <xdr:ext cx="514858" cy="180627"/>
    <xdr:sp macro="_xll.PtreeEvent_ObjectClick" textlink="">
      <xdr:nvSpPr>
        <xdr:cNvPr id="392" name="PTObj_DBranchName_1_92">
          <a:extLst>
            <a:ext uri="{FF2B5EF4-FFF2-40B4-BE49-F238E27FC236}">
              <a16:creationId xmlns:a16="http://schemas.microsoft.com/office/drawing/2014/main" id="{06A786E0-E34A-4E60-92B0-2A5FB6ED8DDF}"/>
            </a:ext>
          </a:extLst>
        </xdr:cNvPr>
        <xdr:cNvSpPr txBox="1"/>
      </xdr:nvSpPr>
      <xdr:spPr>
        <a:xfrm>
          <a:off x="17244820" y="335545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187</xdr:row>
      <xdr:rowOff>76836</xdr:rowOff>
    </xdr:from>
    <xdr:to>
      <xdr:col>11</xdr:col>
      <xdr:colOff>135382</xdr:colOff>
      <xdr:row>188</xdr:row>
      <xdr:rowOff>78739</xdr:rowOff>
    </xdr:to>
    <xdr:sp macro="_xll.PtreeEvent_ObjectClick" textlink="">
      <xdr:nvSpPr>
        <xdr:cNvPr id="393" name="PTObj_DNode_1_93">
          <a:extLst>
            <a:ext uri="{FF2B5EF4-FFF2-40B4-BE49-F238E27FC236}">
              <a16:creationId xmlns:a16="http://schemas.microsoft.com/office/drawing/2014/main" id="{D85D9F09-E14E-4D0B-8F75-32C8E1956AC7}"/>
            </a:ext>
          </a:extLst>
        </xdr:cNvPr>
        <xdr:cNvSpPr/>
      </xdr:nvSpPr>
      <xdr:spPr>
        <a:xfrm>
          <a:off x="19819747" y="339191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187</xdr:row>
      <xdr:rowOff>77961</xdr:rowOff>
    </xdr:from>
    <xdr:ext cx="514858" cy="180627"/>
    <xdr:sp macro="_xll.PtreeEvent_ObjectClick" textlink="">
      <xdr:nvSpPr>
        <xdr:cNvPr id="396" name="PTObj_DBranchName_1_93">
          <a:extLst>
            <a:ext uri="{FF2B5EF4-FFF2-40B4-BE49-F238E27FC236}">
              <a16:creationId xmlns:a16="http://schemas.microsoft.com/office/drawing/2014/main" id="{6B1E1734-458B-41C5-81BC-F8E3C86EA672}"/>
            </a:ext>
          </a:extLst>
        </xdr:cNvPr>
        <xdr:cNvSpPr txBox="1"/>
      </xdr:nvSpPr>
      <xdr:spPr>
        <a:xfrm>
          <a:off x="18666904" y="33920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189</xdr:row>
      <xdr:rowOff>86361</xdr:rowOff>
    </xdr:from>
    <xdr:to>
      <xdr:col>12</xdr:col>
      <xdr:colOff>131572</xdr:colOff>
      <xdr:row>190</xdr:row>
      <xdr:rowOff>95886</xdr:rowOff>
    </xdr:to>
    <xdr:sp macro="_xll.PtreeEvent_ObjectClick" textlink="">
      <xdr:nvSpPr>
        <xdr:cNvPr id="397" name="PTObj_DNode_1_94">
          <a:extLst>
            <a:ext uri="{FF2B5EF4-FFF2-40B4-BE49-F238E27FC236}">
              <a16:creationId xmlns:a16="http://schemas.microsoft.com/office/drawing/2014/main" id="{B7CF7E8E-80D2-4BBC-A606-AAC29D5790B7}"/>
            </a:ext>
          </a:extLst>
        </xdr:cNvPr>
        <xdr:cNvSpPr/>
      </xdr:nvSpPr>
      <xdr:spPr>
        <a:xfrm rot="-5400000">
          <a:off x="21248498" y="342868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189</xdr:row>
      <xdr:rowOff>83677</xdr:rowOff>
    </xdr:from>
    <xdr:ext cx="514858" cy="180627"/>
    <xdr:sp macro="_xll.PtreeEvent_ObjectClick" textlink="">
      <xdr:nvSpPr>
        <xdr:cNvPr id="400" name="PTObj_DBranchName_1_94">
          <a:extLst>
            <a:ext uri="{FF2B5EF4-FFF2-40B4-BE49-F238E27FC236}">
              <a16:creationId xmlns:a16="http://schemas.microsoft.com/office/drawing/2014/main" id="{52E1D187-E81C-4189-A9C6-9A29309A3B4E}"/>
            </a:ext>
          </a:extLst>
        </xdr:cNvPr>
        <xdr:cNvSpPr txBox="1"/>
      </xdr:nvSpPr>
      <xdr:spPr>
        <a:xfrm>
          <a:off x="20094701" y="342879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193</xdr:row>
      <xdr:rowOff>88264</xdr:rowOff>
    </xdr:from>
    <xdr:to>
      <xdr:col>9</xdr:col>
      <xdr:colOff>150622</xdr:colOff>
      <xdr:row>194</xdr:row>
      <xdr:rowOff>93978</xdr:rowOff>
    </xdr:to>
    <xdr:sp macro="_xll.PtreeEvent_ObjectClick" textlink="">
      <xdr:nvSpPr>
        <xdr:cNvPr id="401" name="PTObj_DNode_1_96">
          <a:extLst>
            <a:ext uri="{FF2B5EF4-FFF2-40B4-BE49-F238E27FC236}">
              <a16:creationId xmlns:a16="http://schemas.microsoft.com/office/drawing/2014/main" id="{502EBF17-53C4-4B25-BBD0-5E0482C9483A}"/>
            </a:ext>
          </a:extLst>
        </xdr:cNvPr>
        <xdr:cNvSpPr/>
      </xdr:nvSpPr>
      <xdr:spPr>
        <a:xfrm>
          <a:off x="16969867" y="350164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193</xdr:row>
      <xdr:rowOff>93203</xdr:rowOff>
    </xdr:from>
    <xdr:ext cx="568424" cy="180627"/>
    <xdr:sp macro="_xll.PtreeEvent_ObjectClick" textlink="">
      <xdr:nvSpPr>
        <xdr:cNvPr id="404" name="PTObj_DBranchName_1_96">
          <a:extLst>
            <a:ext uri="{FF2B5EF4-FFF2-40B4-BE49-F238E27FC236}">
              <a16:creationId xmlns:a16="http://schemas.microsoft.com/office/drawing/2014/main" id="{D38980B1-CDC6-4DD1-BCE3-40747EA1C10C}"/>
            </a:ext>
          </a:extLst>
        </xdr:cNvPr>
        <xdr:cNvSpPr txBox="1"/>
      </xdr:nvSpPr>
      <xdr:spPr>
        <a:xfrm>
          <a:off x="15820834" y="3502137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195</xdr:row>
      <xdr:rowOff>92075</xdr:rowOff>
    </xdr:from>
    <xdr:to>
      <xdr:col>10</xdr:col>
      <xdr:colOff>131573</xdr:colOff>
      <xdr:row>196</xdr:row>
      <xdr:rowOff>93979</xdr:rowOff>
    </xdr:to>
    <xdr:sp macro="_xll.PtreeEvent_ObjectClick" textlink="">
      <xdr:nvSpPr>
        <xdr:cNvPr id="405" name="PTObj_DNode_1_97">
          <a:extLst>
            <a:ext uri="{FF2B5EF4-FFF2-40B4-BE49-F238E27FC236}">
              <a16:creationId xmlns:a16="http://schemas.microsoft.com/office/drawing/2014/main" id="{D61BFA6A-9A1C-4BD6-ADAF-2F96217E5CB3}"/>
            </a:ext>
          </a:extLst>
        </xdr:cNvPr>
        <xdr:cNvSpPr/>
      </xdr:nvSpPr>
      <xdr:spPr>
        <a:xfrm>
          <a:off x="18394807" y="35382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195</xdr:row>
      <xdr:rowOff>97011</xdr:rowOff>
    </xdr:from>
    <xdr:ext cx="514858" cy="180627"/>
    <xdr:sp macro="_xll.PtreeEvent_ObjectClick" textlink="">
      <xdr:nvSpPr>
        <xdr:cNvPr id="408" name="PTObj_DBranchName_1_97">
          <a:extLst>
            <a:ext uri="{FF2B5EF4-FFF2-40B4-BE49-F238E27FC236}">
              <a16:creationId xmlns:a16="http://schemas.microsoft.com/office/drawing/2014/main" id="{F653BD23-3420-40FF-AB6C-1D05E35131AD}"/>
            </a:ext>
          </a:extLst>
        </xdr:cNvPr>
        <xdr:cNvSpPr txBox="1"/>
      </xdr:nvSpPr>
      <xdr:spPr>
        <a:xfrm>
          <a:off x="17244820" y="353871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197</xdr:row>
      <xdr:rowOff>95886</xdr:rowOff>
    </xdr:from>
    <xdr:to>
      <xdr:col>11</xdr:col>
      <xdr:colOff>135382</xdr:colOff>
      <xdr:row>198</xdr:row>
      <xdr:rowOff>93979</xdr:rowOff>
    </xdr:to>
    <xdr:sp macro="_xll.PtreeEvent_ObjectClick" textlink="">
      <xdr:nvSpPr>
        <xdr:cNvPr id="409" name="PTObj_DNode_1_98">
          <a:extLst>
            <a:ext uri="{FF2B5EF4-FFF2-40B4-BE49-F238E27FC236}">
              <a16:creationId xmlns:a16="http://schemas.microsoft.com/office/drawing/2014/main" id="{30F8D0DF-9F2D-4E45-BDCF-F7A75DC0B1C7}"/>
            </a:ext>
          </a:extLst>
        </xdr:cNvPr>
        <xdr:cNvSpPr/>
      </xdr:nvSpPr>
      <xdr:spPr>
        <a:xfrm>
          <a:off x="19819747" y="357479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197</xdr:row>
      <xdr:rowOff>93201</xdr:rowOff>
    </xdr:from>
    <xdr:ext cx="514858" cy="180627"/>
    <xdr:sp macro="_xll.PtreeEvent_ObjectClick" textlink="">
      <xdr:nvSpPr>
        <xdr:cNvPr id="412" name="PTObj_DBranchName_1_98">
          <a:extLst>
            <a:ext uri="{FF2B5EF4-FFF2-40B4-BE49-F238E27FC236}">
              <a16:creationId xmlns:a16="http://schemas.microsoft.com/office/drawing/2014/main" id="{2DEE1305-50E4-4D5B-B6EF-DF59C0E92FC4}"/>
            </a:ext>
          </a:extLst>
        </xdr:cNvPr>
        <xdr:cNvSpPr txBox="1"/>
      </xdr:nvSpPr>
      <xdr:spPr>
        <a:xfrm>
          <a:off x="18666904" y="35745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199</xdr:row>
      <xdr:rowOff>99696</xdr:rowOff>
    </xdr:from>
    <xdr:to>
      <xdr:col>12</xdr:col>
      <xdr:colOff>131572</xdr:colOff>
      <xdr:row>200</xdr:row>
      <xdr:rowOff>93981</xdr:rowOff>
    </xdr:to>
    <xdr:sp macro="_xll.PtreeEvent_ObjectClick" textlink="">
      <xdr:nvSpPr>
        <xdr:cNvPr id="413" name="PTObj_DNode_1_99">
          <a:extLst>
            <a:ext uri="{FF2B5EF4-FFF2-40B4-BE49-F238E27FC236}">
              <a16:creationId xmlns:a16="http://schemas.microsoft.com/office/drawing/2014/main" id="{B16C5439-C7C8-47D1-9FAE-99DB00577E68}"/>
            </a:ext>
          </a:extLst>
        </xdr:cNvPr>
        <xdr:cNvSpPr/>
      </xdr:nvSpPr>
      <xdr:spPr>
        <a:xfrm rot="-5400000">
          <a:off x="21248498" y="361099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199</xdr:row>
      <xdr:rowOff>97012</xdr:rowOff>
    </xdr:from>
    <xdr:ext cx="514858" cy="180627"/>
    <xdr:sp macro="_xll.PtreeEvent_ObjectClick" textlink="">
      <xdr:nvSpPr>
        <xdr:cNvPr id="416" name="PTObj_DBranchName_1_99">
          <a:extLst>
            <a:ext uri="{FF2B5EF4-FFF2-40B4-BE49-F238E27FC236}">
              <a16:creationId xmlns:a16="http://schemas.microsoft.com/office/drawing/2014/main" id="{18FE9A4F-46EE-4820-98E0-ABA1AD05B885}"/>
            </a:ext>
          </a:extLst>
        </xdr:cNvPr>
        <xdr:cNvSpPr txBox="1"/>
      </xdr:nvSpPr>
      <xdr:spPr>
        <a:xfrm>
          <a:off x="20094701" y="361110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221</xdr:row>
      <xdr:rowOff>141604</xdr:rowOff>
    </xdr:from>
    <xdr:to>
      <xdr:col>7</xdr:col>
      <xdr:colOff>171578</xdr:colOff>
      <xdr:row>222</xdr:row>
      <xdr:rowOff>135888</xdr:rowOff>
    </xdr:to>
    <xdr:sp macro="_xll.PtreeEvent_ObjectClick" textlink="">
      <xdr:nvSpPr>
        <xdr:cNvPr id="417" name="PTObj_DNode_1_110">
          <a:extLst>
            <a:ext uri="{FF2B5EF4-FFF2-40B4-BE49-F238E27FC236}">
              <a16:creationId xmlns:a16="http://schemas.microsoft.com/office/drawing/2014/main" id="{AEDD612E-35CC-4826-B225-BE359A3D49DA}"/>
            </a:ext>
          </a:extLst>
        </xdr:cNvPr>
        <xdr:cNvSpPr/>
      </xdr:nvSpPr>
      <xdr:spPr>
        <a:xfrm>
          <a:off x="14119988" y="40137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221</xdr:row>
      <xdr:rowOff>140827</xdr:rowOff>
    </xdr:from>
    <xdr:ext cx="566520" cy="180627"/>
    <xdr:sp macro="_xll.PtreeEvent_ObjectClick" textlink="">
      <xdr:nvSpPr>
        <xdr:cNvPr id="420" name="PTObj_DBranchName_1_110">
          <a:extLst>
            <a:ext uri="{FF2B5EF4-FFF2-40B4-BE49-F238E27FC236}">
              <a16:creationId xmlns:a16="http://schemas.microsoft.com/office/drawing/2014/main" id="{FA88E9D4-AC88-472D-BF18-13AB92E5221D}"/>
            </a:ext>
          </a:extLst>
        </xdr:cNvPr>
        <xdr:cNvSpPr txBox="1"/>
      </xdr:nvSpPr>
      <xdr:spPr>
        <a:xfrm>
          <a:off x="12974765" y="4013630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211</xdr:row>
      <xdr:rowOff>122554</xdr:rowOff>
    </xdr:from>
    <xdr:to>
      <xdr:col>8</xdr:col>
      <xdr:colOff>154432</xdr:colOff>
      <xdr:row>212</xdr:row>
      <xdr:rowOff>130173</xdr:rowOff>
    </xdr:to>
    <xdr:sp macro="_xll.PtreeEvent_ObjectClick" textlink="">
      <xdr:nvSpPr>
        <xdr:cNvPr id="421" name="PTObj_DNode_1_105">
          <a:extLst>
            <a:ext uri="{FF2B5EF4-FFF2-40B4-BE49-F238E27FC236}">
              <a16:creationId xmlns:a16="http://schemas.microsoft.com/office/drawing/2014/main" id="{32D588D0-E441-49D5-8E2A-BBCB3721688F}"/>
            </a:ext>
          </a:extLst>
        </xdr:cNvPr>
        <xdr:cNvSpPr/>
      </xdr:nvSpPr>
      <xdr:spPr>
        <a:xfrm>
          <a:off x="15544927" y="38308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211</xdr:row>
      <xdr:rowOff>125587</xdr:rowOff>
    </xdr:from>
    <xdr:ext cx="566519" cy="180627"/>
    <xdr:sp macro="_xll.PtreeEvent_ObjectClick" textlink="">
      <xdr:nvSpPr>
        <xdr:cNvPr id="424" name="PTObj_DBranchName_1_105">
          <a:extLst>
            <a:ext uri="{FF2B5EF4-FFF2-40B4-BE49-F238E27FC236}">
              <a16:creationId xmlns:a16="http://schemas.microsoft.com/office/drawing/2014/main" id="{85D888EC-B19A-48EF-9B73-E4C24190D5D2}"/>
            </a:ext>
          </a:extLst>
        </xdr:cNvPr>
        <xdr:cNvSpPr txBox="1"/>
      </xdr:nvSpPr>
      <xdr:spPr>
        <a:xfrm>
          <a:off x="14398752" y="3831131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203</xdr:row>
      <xdr:rowOff>107314</xdr:rowOff>
    </xdr:from>
    <xdr:to>
      <xdr:col>9</xdr:col>
      <xdr:colOff>150622</xdr:colOff>
      <xdr:row>204</xdr:row>
      <xdr:rowOff>97788</xdr:rowOff>
    </xdr:to>
    <xdr:sp macro="_xll.PtreeEvent_ObjectClick" textlink="">
      <xdr:nvSpPr>
        <xdr:cNvPr id="425" name="PTObj_DNode_1_101">
          <a:extLst>
            <a:ext uri="{FF2B5EF4-FFF2-40B4-BE49-F238E27FC236}">
              <a16:creationId xmlns:a16="http://schemas.microsoft.com/office/drawing/2014/main" id="{879013EC-F55B-4CAD-B8AC-76F27C09D75D}"/>
            </a:ext>
          </a:extLst>
        </xdr:cNvPr>
        <xdr:cNvSpPr/>
      </xdr:nvSpPr>
      <xdr:spPr>
        <a:xfrm>
          <a:off x="16969867" y="368452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203</xdr:row>
      <xdr:rowOff>106538</xdr:rowOff>
    </xdr:from>
    <xdr:ext cx="568424" cy="180627"/>
    <xdr:sp macro="_xll.PtreeEvent_ObjectClick" textlink="">
      <xdr:nvSpPr>
        <xdr:cNvPr id="428" name="PTObj_DBranchName_1_101">
          <a:extLst>
            <a:ext uri="{FF2B5EF4-FFF2-40B4-BE49-F238E27FC236}">
              <a16:creationId xmlns:a16="http://schemas.microsoft.com/office/drawing/2014/main" id="{AA3A02AE-8147-4559-96F5-3A69E0C5561B}"/>
            </a:ext>
          </a:extLst>
        </xdr:cNvPr>
        <xdr:cNvSpPr txBox="1"/>
      </xdr:nvSpPr>
      <xdr:spPr>
        <a:xfrm>
          <a:off x="15820834" y="36844463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205</xdr:row>
      <xdr:rowOff>111125</xdr:rowOff>
    </xdr:from>
    <xdr:to>
      <xdr:col>10</xdr:col>
      <xdr:colOff>131573</xdr:colOff>
      <xdr:row>206</xdr:row>
      <xdr:rowOff>113029</xdr:rowOff>
    </xdr:to>
    <xdr:sp macro="_xll.PtreeEvent_ObjectClick" textlink="">
      <xdr:nvSpPr>
        <xdr:cNvPr id="429" name="PTObj_DNode_1_102">
          <a:extLst>
            <a:ext uri="{FF2B5EF4-FFF2-40B4-BE49-F238E27FC236}">
              <a16:creationId xmlns:a16="http://schemas.microsoft.com/office/drawing/2014/main" id="{92BDFB2A-38C5-4EF5-B32C-965F1CFD9333}"/>
            </a:ext>
          </a:extLst>
        </xdr:cNvPr>
        <xdr:cNvSpPr/>
      </xdr:nvSpPr>
      <xdr:spPr>
        <a:xfrm>
          <a:off x="18394807" y="37211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205</xdr:row>
      <xdr:rowOff>112251</xdr:rowOff>
    </xdr:from>
    <xdr:ext cx="514858" cy="180627"/>
    <xdr:sp macro="_xll.PtreeEvent_ObjectClick" textlink="">
      <xdr:nvSpPr>
        <xdr:cNvPr id="432" name="PTObj_DBranchName_1_102">
          <a:extLst>
            <a:ext uri="{FF2B5EF4-FFF2-40B4-BE49-F238E27FC236}">
              <a16:creationId xmlns:a16="http://schemas.microsoft.com/office/drawing/2014/main" id="{7D1E5C50-3711-4D5E-98DD-BF1FEE5CCB46}"/>
            </a:ext>
          </a:extLst>
        </xdr:cNvPr>
        <xdr:cNvSpPr txBox="1"/>
      </xdr:nvSpPr>
      <xdr:spPr>
        <a:xfrm>
          <a:off x="17244820" y="372121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207</xdr:row>
      <xdr:rowOff>114936</xdr:rowOff>
    </xdr:from>
    <xdr:to>
      <xdr:col>11</xdr:col>
      <xdr:colOff>135382</xdr:colOff>
      <xdr:row>208</xdr:row>
      <xdr:rowOff>116839</xdr:rowOff>
    </xdr:to>
    <xdr:sp macro="_xll.PtreeEvent_ObjectClick" textlink="">
      <xdr:nvSpPr>
        <xdr:cNvPr id="433" name="PTObj_DNode_1_103">
          <a:extLst>
            <a:ext uri="{FF2B5EF4-FFF2-40B4-BE49-F238E27FC236}">
              <a16:creationId xmlns:a16="http://schemas.microsoft.com/office/drawing/2014/main" id="{25DB9736-F25E-46BB-9C98-C65F0BE43B26}"/>
            </a:ext>
          </a:extLst>
        </xdr:cNvPr>
        <xdr:cNvSpPr/>
      </xdr:nvSpPr>
      <xdr:spPr>
        <a:xfrm>
          <a:off x="19819747" y="375767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207</xdr:row>
      <xdr:rowOff>116061</xdr:rowOff>
    </xdr:from>
    <xdr:ext cx="514858" cy="180627"/>
    <xdr:sp macro="_xll.PtreeEvent_ObjectClick" textlink="">
      <xdr:nvSpPr>
        <xdr:cNvPr id="436" name="PTObj_DBranchName_1_103">
          <a:extLst>
            <a:ext uri="{FF2B5EF4-FFF2-40B4-BE49-F238E27FC236}">
              <a16:creationId xmlns:a16="http://schemas.microsoft.com/office/drawing/2014/main" id="{09066D04-CF98-4C84-843B-5AEB1D821C45}"/>
            </a:ext>
          </a:extLst>
        </xdr:cNvPr>
        <xdr:cNvSpPr txBox="1"/>
      </xdr:nvSpPr>
      <xdr:spPr>
        <a:xfrm>
          <a:off x="18666904" y="37577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209</xdr:row>
      <xdr:rowOff>124461</xdr:rowOff>
    </xdr:from>
    <xdr:to>
      <xdr:col>12</xdr:col>
      <xdr:colOff>131572</xdr:colOff>
      <xdr:row>210</xdr:row>
      <xdr:rowOff>133986</xdr:rowOff>
    </xdr:to>
    <xdr:sp macro="_xll.PtreeEvent_ObjectClick" textlink="">
      <xdr:nvSpPr>
        <xdr:cNvPr id="437" name="PTObj_DNode_1_104">
          <a:extLst>
            <a:ext uri="{FF2B5EF4-FFF2-40B4-BE49-F238E27FC236}">
              <a16:creationId xmlns:a16="http://schemas.microsoft.com/office/drawing/2014/main" id="{E04DF16A-46D5-4E37-B05E-038872DFC1D9}"/>
            </a:ext>
          </a:extLst>
        </xdr:cNvPr>
        <xdr:cNvSpPr/>
      </xdr:nvSpPr>
      <xdr:spPr>
        <a:xfrm rot="-5400000">
          <a:off x="21248498" y="379444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209</xdr:row>
      <xdr:rowOff>121777</xdr:rowOff>
    </xdr:from>
    <xdr:ext cx="514858" cy="180627"/>
    <xdr:sp macro="_xll.PtreeEvent_ObjectClick" textlink="">
      <xdr:nvSpPr>
        <xdr:cNvPr id="440" name="PTObj_DBranchName_1_104">
          <a:extLst>
            <a:ext uri="{FF2B5EF4-FFF2-40B4-BE49-F238E27FC236}">
              <a16:creationId xmlns:a16="http://schemas.microsoft.com/office/drawing/2014/main" id="{8AFD0AEE-6814-4EB3-B95F-F3CC87CC19E2}"/>
            </a:ext>
          </a:extLst>
        </xdr:cNvPr>
        <xdr:cNvSpPr txBox="1"/>
      </xdr:nvSpPr>
      <xdr:spPr>
        <a:xfrm>
          <a:off x="20094701" y="379455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213</xdr:row>
      <xdr:rowOff>126364</xdr:rowOff>
    </xdr:from>
    <xdr:to>
      <xdr:col>9</xdr:col>
      <xdr:colOff>150622</xdr:colOff>
      <xdr:row>214</xdr:row>
      <xdr:rowOff>132078</xdr:rowOff>
    </xdr:to>
    <xdr:sp macro="_xll.PtreeEvent_ObjectClick" textlink="">
      <xdr:nvSpPr>
        <xdr:cNvPr id="441" name="PTObj_DNode_1_106">
          <a:extLst>
            <a:ext uri="{FF2B5EF4-FFF2-40B4-BE49-F238E27FC236}">
              <a16:creationId xmlns:a16="http://schemas.microsoft.com/office/drawing/2014/main" id="{109A6067-C417-4D78-A73F-8BF4C094B291}"/>
            </a:ext>
          </a:extLst>
        </xdr:cNvPr>
        <xdr:cNvSpPr/>
      </xdr:nvSpPr>
      <xdr:spPr>
        <a:xfrm>
          <a:off x="16969867" y="386740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213</xdr:row>
      <xdr:rowOff>131303</xdr:rowOff>
    </xdr:from>
    <xdr:ext cx="568424" cy="180627"/>
    <xdr:sp macro="_xll.PtreeEvent_ObjectClick" textlink="">
      <xdr:nvSpPr>
        <xdr:cNvPr id="444" name="PTObj_DBranchName_1_106">
          <a:extLst>
            <a:ext uri="{FF2B5EF4-FFF2-40B4-BE49-F238E27FC236}">
              <a16:creationId xmlns:a16="http://schemas.microsoft.com/office/drawing/2014/main" id="{B39867D4-DAC3-4814-9E18-3EA38020D989}"/>
            </a:ext>
          </a:extLst>
        </xdr:cNvPr>
        <xdr:cNvSpPr txBox="1"/>
      </xdr:nvSpPr>
      <xdr:spPr>
        <a:xfrm>
          <a:off x="15820834" y="3867897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215</xdr:row>
      <xdr:rowOff>130175</xdr:rowOff>
    </xdr:from>
    <xdr:to>
      <xdr:col>10</xdr:col>
      <xdr:colOff>131573</xdr:colOff>
      <xdr:row>216</xdr:row>
      <xdr:rowOff>132079</xdr:rowOff>
    </xdr:to>
    <xdr:sp macro="_xll.PtreeEvent_ObjectClick" textlink="">
      <xdr:nvSpPr>
        <xdr:cNvPr id="445" name="PTObj_DNode_1_107">
          <a:extLst>
            <a:ext uri="{FF2B5EF4-FFF2-40B4-BE49-F238E27FC236}">
              <a16:creationId xmlns:a16="http://schemas.microsoft.com/office/drawing/2014/main" id="{FC34F2B8-31FA-41BA-B096-922004AC1DD2}"/>
            </a:ext>
          </a:extLst>
        </xdr:cNvPr>
        <xdr:cNvSpPr/>
      </xdr:nvSpPr>
      <xdr:spPr>
        <a:xfrm>
          <a:off x="18394807" y="39039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215</xdr:row>
      <xdr:rowOff>135111</xdr:rowOff>
    </xdr:from>
    <xdr:ext cx="514858" cy="180627"/>
    <xdr:sp macro="_xll.PtreeEvent_ObjectClick" textlink="">
      <xdr:nvSpPr>
        <xdr:cNvPr id="448" name="PTObj_DBranchName_1_107">
          <a:extLst>
            <a:ext uri="{FF2B5EF4-FFF2-40B4-BE49-F238E27FC236}">
              <a16:creationId xmlns:a16="http://schemas.microsoft.com/office/drawing/2014/main" id="{A509B81F-2A26-4EAD-BA60-8B85BA538897}"/>
            </a:ext>
          </a:extLst>
        </xdr:cNvPr>
        <xdr:cNvSpPr txBox="1"/>
      </xdr:nvSpPr>
      <xdr:spPr>
        <a:xfrm>
          <a:off x="17244820" y="390447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217</xdr:row>
      <xdr:rowOff>133986</xdr:rowOff>
    </xdr:from>
    <xdr:to>
      <xdr:col>11</xdr:col>
      <xdr:colOff>135382</xdr:colOff>
      <xdr:row>218</xdr:row>
      <xdr:rowOff>132079</xdr:rowOff>
    </xdr:to>
    <xdr:sp macro="_xll.PtreeEvent_ObjectClick" textlink="">
      <xdr:nvSpPr>
        <xdr:cNvPr id="449" name="PTObj_DNode_1_108">
          <a:extLst>
            <a:ext uri="{FF2B5EF4-FFF2-40B4-BE49-F238E27FC236}">
              <a16:creationId xmlns:a16="http://schemas.microsoft.com/office/drawing/2014/main" id="{112655FF-A385-4013-ACB8-13E9262C62B0}"/>
            </a:ext>
          </a:extLst>
        </xdr:cNvPr>
        <xdr:cNvSpPr/>
      </xdr:nvSpPr>
      <xdr:spPr>
        <a:xfrm>
          <a:off x="19819747" y="394055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217</xdr:row>
      <xdr:rowOff>131301</xdr:rowOff>
    </xdr:from>
    <xdr:ext cx="514858" cy="180627"/>
    <xdr:sp macro="_xll.PtreeEvent_ObjectClick" textlink="">
      <xdr:nvSpPr>
        <xdr:cNvPr id="452" name="PTObj_DBranchName_1_108">
          <a:extLst>
            <a:ext uri="{FF2B5EF4-FFF2-40B4-BE49-F238E27FC236}">
              <a16:creationId xmlns:a16="http://schemas.microsoft.com/office/drawing/2014/main" id="{73E455FD-E889-45C5-9E45-52C327FB12BA}"/>
            </a:ext>
          </a:extLst>
        </xdr:cNvPr>
        <xdr:cNvSpPr txBox="1"/>
      </xdr:nvSpPr>
      <xdr:spPr>
        <a:xfrm>
          <a:off x="18666904" y="39402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219</xdr:row>
      <xdr:rowOff>137796</xdr:rowOff>
    </xdr:from>
    <xdr:to>
      <xdr:col>12</xdr:col>
      <xdr:colOff>131572</xdr:colOff>
      <xdr:row>220</xdr:row>
      <xdr:rowOff>132081</xdr:rowOff>
    </xdr:to>
    <xdr:sp macro="_xll.PtreeEvent_ObjectClick" textlink="">
      <xdr:nvSpPr>
        <xdr:cNvPr id="453" name="PTObj_DNode_1_109">
          <a:extLst>
            <a:ext uri="{FF2B5EF4-FFF2-40B4-BE49-F238E27FC236}">
              <a16:creationId xmlns:a16="http://schemas.microsoft.com/office/drawing/2014/main" id="{A012343E-DF53-48D4-A67A-6220E09788F7}"/>
            </a:ext>
          </a:extLst>
        </xdr:cNvPr>
        <xdr:cNvSpPr/>
      </xdr:nvSpPr>
      <xdr:spPr>
        <a:xfrm rot="-5400000">
          <a:off x="21248498" y="397675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219</xdr:row>
      <xdr:rowOff>135112</xdr:rowOff>
    </xdr:from>
    <xdr:ext cx="514858" cy="180627"/>
    <xdr:sp macro="_xll.PtreeEvent_ObjectClick" textlink="">
      <xdr:nvSpPr>
        <xdr:cNvPr id="456" name="PTObj_DBranchName_1_109">
          <a:extLst>
            <a:ext uri="{FF2B5EF4-FFF2-40B4-BE49-F238E27FC236}">
              <a16:creationId xmlns:a16="http://schemas.microsoft.com/office/drawing/2014/main" id="{B73D4047-B8A1-4570-B6E3-D4E6C44F4FB4}"/>
            </a:ext>
          </a:extLst>
        </xdr:cNvPr>
        <xdr:cNvSpPr txBox="1"/>
      </xdr:nvSpPr>
      <xdr:spPr>
        <a:xfrm>
          <a:off x="20094701" y="397686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231</xdr:row>
      <xdr:rowOff>160654</xdr:rowOff>
    </xdr:from>
    <xdr:to>
      <xdr:col>8</xdr:col>
      <xdr:colOff>154432</xdr:colOff>
      <xdr:row>232</xdr:row>
      <xdr:rowOff>172083</xdr:rowOff>
    </xdr:to>
    <xdr:sp macro="_xll.PtreeEvent_ObjectClick" textlink="">
      <xdr:nvSpPr>
        <xdr:cNvPr id="457" name="PTObj_DNode_1_115">
          <a:extLst>
            <a:ext uri="{FF2B5EF4-FFF2-40B4-BE49-F238E27FC236}">
              <a16:creationId xmlns:a16="http://schemas.microsoft.com/office/drawing/2014/main" id="{A3213ACC-1C3A-4488-BCD3-C612A4042B62}"/>
            </a:ext>
          </a:extLst>
        </xdr:cNvPr>
        <xdr:cNvSpPr/>
      </xdr:nvSpPr>
      <xdr:spPr>
        <a:xfrm>
          <a:off x="15544927" y="41965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231</xdr:row>
      <xdr:rowOff>163687</xdr:rowOff>
    </xdr:from>
    <xdr:ext cx="568425" cy="180627"/>
    <xdr:sp macro="_xll.PtreeEvent_ObjectClick" textlink="">
      <xdr:nvSpPr>
        <xdr:cNvPr id="460" name="PTObj_DBranchName_1_115">
          <a:extLst>
            <a:ext uri="{FF2B5EF4-FFF2-40B4-BE49-F238E27FC236}">
              <a16:creationId xmlns:a16="http://schemas.microsoft.com/office/drawing/2014/main" id="{AE68040E-CAC8-44FD-A16F-6FF788189D72}"/>
            </a:ext>
          </a:extLst>
        </xdr:cNvPr>
        <xdr:cNvSpPr txBox="1"/>
      </xdr:nvSpPr>
      <xdr:spPr>
        <a:xfrm>
          <a:off x="14400657" y="4196891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223</xdr:row>
      <xdr:rowOff>145414</xdr:rowOff>
    </xdr:from>
    <xdr:to>
      <xdr:col>9</xdr:col>
      <xdr:colOff>150622</xdr:colOff>
      <xdr:row>224</xdr:row>
      <xdr:rowOff>132078</xdr:rowOff>
    </xdr:to>
    <xdr:sp macro="_xll.PtreeEvent_ObjectClick" textlink="">
      <xdr:nvSpPr>
        <xdr:cNvPr id="461" name="PTObj_DNode_1_111">
          <a:extLst>
            <a:ext uri="{FF2B5EF4-FFF2-40B4-BE49-F238E27FC236}">
              <a16:creationId xmlns:a16="http://schemas.microsoft.com/office/drawing/2014/main" id="{FC8B68A5-ACDA-49B1-A9D3-A2DDE2950D7A}"/>
            </a:ext>
          </a:extLst>
        </xdr:cNvPr>
        <xdr:cNvSpPr/>
      </xdr:nvSpPr>
      <xdr:spPr>
        <a:xfrm>
          <a:off x="16969867" y="405028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223</xdr:row>
      <xdr:rowOff>144638</xdr:rowOff>
    </xdr:from>
    <xdr:ext cx="568424" cy="180627"/>
    <xdr:sp macro="_xll.PtreeEvent_ObjectClick" textlink="">
      <xdr:nvSpPr>
        <xdr:cNvPr id="464" name="PTObj_DBranchName_1_111">
          <a:extLst>
            <a:ext uri="{FF2B5EF4-FFF2-40B4-BE49-F238E27FC236}">
              <a16:creationId xmlns:a16="http://schemas.microsoft.com/office/drawing/2014/main" id="{15551B90-AA48-496C-940A-3DEBE34E3184}"/>
            </a:ext>
          </a:extLst>
        </xdr:cNvPr>
        <xdr:cNvSpPr txBox="1"/>
      </xdr:nvSpPr>
      <xdr:spPr>
        <a:xfrm>
          <a:off x="15820834" y="40502063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225</xdr:row>
      <xdr:rowOff>149225</xdr:rowOff>
    </xdr:from>
    <xdr:to>
      <xdr:col>10</xdr:col>
      <xdr:colOff>135383</xdr:colOff>
      <xdr:row>226</xdr:row>
      <xdr:rowOff>151129</xdr:rowOff>
    </xdr:to>
    <xdr:sp macro="_xll.PtreeEvent_ObjectClick" textlink="">
      <xdr:nvSpPr>
        <xdr:cNvPr id="465" name="PTObj_DNode_1_112">
          <a:extLst>
            <a:ext uri="{FF2B5EF4-FFF2-40B4-BE49-F238E27FC236}">
              <a16:creationId xmlns:a16="http://schemas.microsoft.com/office/drawing/2014/main" id="{0A97A01E-4026-4BB2-B720-AF0A080A856C}"/>
            </a:ext>
          </a:extLst>
        </xdr:cNvPr>
        <xdr:cNvSpPr/>
      </xdr:nvSpPr>
      <xdr:spPr>
        <a:xfrm>
          <a:off x="18394807" y="40868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225</xdr:row>
      <xdr:rowOff>150351</xdr:rowOff>
    </xdr:from>
    <xdr:ext cx="514858" cy="180627"/>
    <xdr:sp macro="_xll.PtreeEvent_ObjectClick" textlink="">
      <xdr:nvSpPr>
        <xdr:cNvPr id="468" name="PTObj_DBranchName_1_112">
          <a:extLst>
            <a:ext uri="{FF2B5EF4-FFF2-40B4-BE49-F238E27FC236}">
              <a16:creationId xmlns:a16="http://schemas.microsoft.com/office/drawing/2014/main" id="{89612611-18AC-4EDC-A1FF-3CADF0150CCA}"/>
            </a:ext>
          </a:extLst>
        </xdr:cNvPr>
        <xdr:cNvSpPr txBox="1"/>
      </xdr:nvSpPr>
      <xdr:spPr>
        <a:xfrm>
          <a:off x="17244820" y="408697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227</xdr:row>
      <xdr:rowOff>153036</xdr:rowOff>
    </xdr:from>
    <xdr:to>
      <xdr:col>11</xdr:col>
      <xdr:colOff>131572</xdr:colOff>
      <xdr:row>228</xdr:row>
      <xdr:rowOff>154939</xdr:rowOff>
    </xdr:to>
    <xdr:sp macro="_xll.PtreeEvent_ObjectClick" textlink="">
      <xdr:nvSpPr>
        <xdr:cNvPr id="469" name="PTObj_DNode_1_113">
          <a:extLst>
            <a:ext uri="{FF2B5EF4-FFF2-40B4-BE49-F238E27FC236}">
              <a16:creationId xmlns:a16="http://schemas.microsoft.com/office/drawing/2014/main" id="{C01D91BE-2DBF-4F68-9B23-D3EF4ED71059}"/>
            </a:ext>
          </a:extLst>
        </xdr:cNvPr>
        <xdr:cNvSpPr/>
      </xdr:nvSpPr>
      <xdr:spPr>
        <a:xfrm>
          <a:off x="19819747" y="412343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227</xdr:row>
      <xdr:rowOff>154161</xdr:rowOff>
    </xdr:from>
    <xdr:ext cx="514858" cy="180627"/>
    <xdr:sp macro="_xll.PtreeEvent_ObjectClick" textlink="">
      <xdr:nvSpPr>
        <xdr:cNvPr id="472" name="PTObj_DBranchName_1_113">
          <a:extLst>
            <a:ext uri="{FF2B5EF4-FFF2-40B4-BE49-F238E27FC236}">
              <a16:creationId xmlns:a16="http://schemas.microsoft.com/office/drawing/2014/main" id="{0A1BB92B-F022-4374-94BF-7606519CB4D3}"/>
            </a:ext>
          </a:extLst>
        </xdr:cNvPr>
        <xdr:cNvSpPr txBox="1"/>
      </xdr:nvSpPr>
      <xdr:spPr>
        <a:xfrm>
          <a:off x="18666904" y="41235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229</xdr:row>
      <xdr:rowOff>162561</xdr:rowOff>
    </xdr:from>
    <xdr:to>
      <xdr:col>12</xdr:col>
      <xdr:colOff>135382</xdr:colOff>
      <xdr:row>230</xdr:row>
      <xdr:rowOff>168276</xdr:rowOff>
    </xdr:to>
    <xdr:sp macro="_xll.PtreeEvent_ObjectClick" textlink="">
      <xdr:nvSpPr>
        <xdr:cNvPr id="473" name="PTObj_DNode_1_114">
          <a:extLst>
            <a:ext uri="{FF2B5EF4-FFF2-40B4-BE49-F238E27FC236}">
              <a16:creationId xmlns:a16="http://schemas.microsoft.com/office/drawing/2014/main" id="{B3930272-7AE2-4FFF-9901-AF3E16E0A286}"/>
            </a:ext>
          </a:extLst>
        </xdr:cNvPr>
        <xdr:cNvSpPr/>
      </xdr:nvSpPr>
      <xdr:spPr>
        <a:xfrm rot="-5400000">
          <a:off x="21248498" y="416020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229</xdr:row>
      <xdr:rowOff>159877</xdr:rowOff>
    </xdr:from>
    <xdr:ext cx="514858" cy="180627"/>
    <xdr:sp macro="_xll.PtreeEvent_ObjectClick" textlink="">
      <xdr:nvSpPr>
        <xdr:cNvPr id="476" name="PTObj_DBranchName_1_114">
          <a:extLst>
            <a:ext uri="{FF2B5EF4-FFF2-40B4-BE49-F238E27FC236}">
              <a16:creationId xmlns:a16="http://schemas.microsoft.com/office/drawing/2014/main" id="{C68810BD-4F50-48BC-A561-CE64D9860E80}"/>
            </a:ext>
          </a:extLst>
        </xdr:cNvPr>
        <xdr:cNvSpPr txBox="1"/>
      </xdr:nvSpPr>
      <xdr:spPr>
        <a:xfrm>
          <a:off x="20094701" y="4160315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233</xdr:row>
      <xdr:rowOff>164464</xdr:rowOff>
    </xdr:from>
    <xdr:to>
      <xdr:col>9</xdr:col>
      <xdr:colOff>150622</xdr:colOff>
      <xdr:row>234</xdr:row>
      <xdr:rowOff>173988</xdr:rowOff>
    </xdr:to>
    <xdr:sp macro="_xll.PtreeEvent_ObjectClick" textlink="">
      <xdr:nvSpPr>
        <xdr:cNvPr id="477" name="PTObj_DNode_1_116">
          <a:extLst>
            <a:ext uri="{FF2B5EF4-FFF2-40B4-BE49-F238E27FC236}">
              <a16:creationId xmlns:a16="http://schemas.microsoft.com/office/drawing/2014/main" id="{498889E2-89F3-4708-91D9-9A5D52B5AD0F}"/>
            </a:ext>
          </a:extLst>
        </xdr:cNvPr>
        <xdr:cNvSpPr/>
      </xdr:nvSpPr>
      <xdr:spPr>
        <a:xfrm>
          <a:off x="16969867" y="423316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233</xdr:row>
      <xdr:rowOff>169403</xdr:rowOff>
    </xdr:from>
    <xdr:ext cx="568424" cy="180627"/>
    <xdr:sp macro="_xll.PtreeEvent_ObjectClick" textlink="">
      <xdr:nvSpPr>
        <xdr:cNvPr id="480" name="PTObj_DBranchName_1_116">
          <a:extLst>
            <a:ext uri="{FF2B5EF4-FFF2-40B4-BE49-F238E27FC236}">
              <a16:creationId xmlns:a16="http://schemas.microsoft.com/office/drawing/2014/main" id="{81234847-94D8-47B6-B12C-C5FF28DFC483}"/>
            </a:ext>
          </a:extLst>
        </xdr:cNvPr>
        <xdr:cNvSpPr txBox="1"/>
      </xdr:nvSpPr>
      <xdr:spPr>
        <a:xfrm>
          <a:off x="15820834" y="4233657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235</xdr:row>
      <xdr:rowOff>168275</xdr:rowOff>
    </xdr:from>
    <xdr:to>
      <xdr:col>10</xdr:col>
      <xdr:colOff>135383</xdr:colOff>
      <xdr:row>236</xdr:row>
      <xdr:rowOff>173989</xdr:rowOff>
    </xdr:to>
    <xdr:sp macro="_xll.PtreeEvent_ObjectClick" textlink="">
      <xdr:nvSpPr>
        <xdr:cNvPr id="481" name="PTObj_DNode_1_117">
          <a:extLst>
            <a:ext uri="{FF2B5EF4-FFF2-40B4-BE49-F238E27FC236}">
              <a16:creationId xmlns:a16="http://schemas.microsoft.com/office/drawing/2014/main" id="{B7634842-8ABE-497D-97ED-FDBDD0F7948C}"/>
            </a:ext>
          </a:extLst>
        </xdr:cNvPr>
        <xdr:cNvSpPr/>
      </xdr:nvSpPr>
      <xdr:spPr>
        <a:xfrm>
          <a:off x="18394807" y="42697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235</xdr:row>
      <xdr:rowOff>173211</xdr:rowOff>
    </xdr:from>
    <xdr:ext cx="514858" cy="180627"/>
    <xdr:sp macro="_xll.PtreeEvent_ObjectClick" textlink="">
      <xdr:nvSpPr>
        <xdr:cNvPr id="484" name="PTObj_DBranchName_1_117">
          <a:extLst>
            <a:ext uri="{FF2B5EF4-FFF2-40B4-BE49-F238E27FC236}">
              <a16:creationId xmlns:a16="http://schemas.microsoft.com/office/drawing/2014/main" id="{8E69582F-D40B-4D7C-B43B-D9767194D022}"/>
            </a:ext>
          </a:extLst>
        </xdr:cNvPr>
        <xdr:cNvSpPr txBox="1"/>
      </xdr:nvSpPr>
      <xdr:spPr>
        <a:xfrm>
          <a:off x="17244820" y="427023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237</xdr:row>
      <xdr:rowOff>172086</xdr:rowOff>
    </xdr:from>
    <xdr:to>
      <xdr:col>11</xdr:col>
      <xdr:colOff>131572</xdr:colOff>
      <xdr:row>238</xdr:row>
      <xdr:rowOff>173989</xdr:rowOff>
    </xdr:to>
    <xdr:sp macro="_xll.PtreeEvent_ObjectClick" textlink="">
      <xdr:nvSpPr>
        <xdr:cNvPr id="485" name="PTObj_DNode_1_118">
          <a:extLst>
            <a:ext uri="{FF2B5EF4-FFF2-40B4-BE49-F238E27FC236}">
              <a16:creationId xmlns:a16="http://schemas.microsoft.com/office/drawing/2014/main" id="{70CEBBD0-4B64-4B69-A723-3C0FF5F8F225}"/>
            </a:ext>
          </a:extLst>
        </xdr:cNvPr>
        <xdr:cNvSpPr/>
      </xdr:nvSpPr>
      <xdr:spPr>
        <a:xfrm>
          <a:off x="19819747" y="430631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237</xdr:row>
      <xdr:rowOff>169401</xdr:rowOff>
    </xdr:from>
    <xdr:ext cx="514858" cy="180627"/>
    <xdr:sp macro="_xll.PtreeEvent_ObjectClick" textlink="">
      <xdr:nvSpPr>
        <xdr:cNvPr id="488" name="PTObj_DBranchName_1_118">
          <a:extLst>
            <a:ext uri="{FF2B5EF4-FFF2-40B4-BE49-F238E27FC236}">
              <a16:creationId xmlns:a16="http://schemas.microsoft.com/office/drawing/2014/main" id="{3F575D25-4D38-491D-B3EE-C78DA0BFB837}"/>
            </a:ext>
          </a:extLst>
        </xdr:cNvPr>
        <xdr:cNvSpPr txBox="1"/>
      </xdr:nvSpPr>
      <xdr:spPr>
        <a:xfrm>
          <a:off x="18666904" y="43060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239</xdr:row>
      <xdr:rowOff>175896</xdr:rowOff>
    </xdr:from>
    <xdr:to>
      <xdr:col>12</xdr:col>
      <xdr:colOff>135382</xdr:colOff>
      <xdr:row>240</xdr:row>
      <xdr:rowOff>173991</xdr:rowOff>
    </xdr:to>
    <xdr:sp macro="_xll.PtreeEvent_ObjectClick" textlink="">
      <xdr:nvSpPr>
        <xdr:cNvPr id="489" name="PTObj_DNode_1_119">
          <a:extLst>
            <a:ext uri="{FF2B5EF4-FFF2-40B4-BE49-F238E27FC236}">
              <a16:creationId xmlns:a16="http://schemas.microsoft.com/office/drawing/2014/main" id="{AC652DEA-8235-4908-9BB9-2E32984948E1}"/>
            </a:ext>
          </a:extLst>
        </xdr:cNvPr>
        <xdr:cNvSpPr/>
      </xdr:nvSpPr>
      <xdr:spPr>
        <a:xfrm rot="-5400000">
          <a:off x="21248498" y="434251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239</xdr:row>
      <xdr:rowOff>173212</xdr:rowOff>
    </xdr:from>
    <xdr:ext cx="514858" cy="180627"/>
    <xdr:sp macro="_xll.PtreeEvent_ObjectClick" textlink="">
      <xdr:nvSpPr>
        <xdr:cNvPr id="492" name="PTObj_DBranchName_1_119">
          <a:extLst>
            <a:ext uri="{FF2B5EF4-FFF2-40B4-BE49-F238E27FC236}">
              <a16:creationId xmlns:a16="http://schemas.microsoft.com/office/drawing/2014/main" id="{8F081B70-0F4F-4964-9E0C-6E4E39FB5A60}"/>
            </a:ext>
          </a:extLst>
        </xdr:cNvPr>
        <xdr:cNvSpPr txBox="1"/>
      </xdr:nvSpPr>
      <xdr:spPr>
        <a:xfrm>
          <a:off x="20094701" y="4342623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282</xdr:row>
      <xdr:rowOff>74929</xdr:rowOff>
    </xdr:from>
    <xdr:to>
      <xdr:col>6</xdr:col>
      <xdr:colOff>167767</xdr:colOff>
      <xdr:row>283</xdr:row>
      <xdr:rowOff>76833</xdr:rowOff>
    </xdr:to>
    <xdr:sp macro="_xll.PtreeEvent_ObjectClick" textlink="">
      <xdr:nvSpPr>
        <xdr:cNvPr id="493" name="PTObj_DNode_1_140">
          <a:extLst>
            <a:ext uri="{FF2B5EF4-FFF2-40B4-BE49-F238E27FC236}">
              <a16:creationId xmlns:a16="http://schemas.microsoft.com/office/drawing/2014/main" id="{C4C2C823-4FEE-4A56-864E-4E8199753198}"/>
            </a:ext>
          </a:extLst>
        </xdr:cNvPr>
        <xdr:cNvSpPr/>
      </xdr:nvSpPr>
      <xdr:spPr>
        <a:xfrm>
          <a:off x="12695047" y="51109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282</xdr:row>
      <xdr:rowOff>76057</xdr:rowOff>
    </xdr:from>
    <xdr:ext cx="566520" cy="180627"/>
    <xdr:sp macro="_xll.PtreeEvent_ObjectClick" textlink="">
      <xdr:nvSpPr>
        <xdr:cNvPr id="496" name="PTObj_DBranchName_1_140">
          <a:extLst>
            <a:ext uri="{FF2B5EF4-FFF2-40B4-BE49-F238E27FC236}">
              <a16:creationId xmlns:a16="http://schemas.microsoft.com/office/drawing/2014/main" id="{3D3CE50A-4132-4964-B3F4-98284B903BFC}"/>
            </a:ext>
          </a:extLst>
        </xdr:cNvPr>
        <xdr:cNvSpPr txBox="1"/>
      </xdr:nvSpPr>
      <xdr:spPr>
        <a:xfrm>
          <a:off x="11550776" y="5111100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262</xdr:row>
      <xdr:rowOff>36829</xdr:rowOff>
    </xdr:from>
    <xdr:to>
      <xdr:col>7</xdr:col>
      <xdr:colOff>171578</xdr:colOff>
      <xdr:row>263</xdr:row>
      <xdr:rowOff>38733</xdr:rowOff>
    </xdr:to>
    <xdr:sp macro="_xll.PtreeEvent_ObjectClick" textlink="">
      <xdr:nvSpPr>
        <xdr:cNvPr id="497" name="PTObj_DNode_1_130">
          <a:extLst>
            <a:ext uri="{FF2B5EF4-FFF2-40B4-BE49-F238E27FC236}">
              <a16:creationId xmlns:a16="http://schemas.microsoft.com/office/drawing/2014/main" id="{804E54C6-A5EC-411A-BA16-7305ED5727A3}"/>
            </a:ext>
          </a:extLst>
        </xdr:cNvPr>
        <xdr:cNvSpPr/>
      </xdr:nvSpPr>
      <xdr:spPr>
        <a:xfrm>
          <a:off x="14119988" y="47452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262</xdr:row>
      <xdr:rowOff>37957</xdr:rowOff>
    </xdr:from>
    <xdr:ext cx="566520" cy="180627"/>
    <xdr:sp macro="_xll.PtreeEvent_ObjectClick" textlink="">
      <xdr:nvSpPr>
        <xdr:cNvPr id="500" name="PTObj_DBranchName_1_130">
          <a:extLst>
            <a:ext uri="{FF2B5EF4-FFF2-40B4-BE49-F238E27FC236}">
              <a16:creationId xmlns:a16="http://schemas.microsoft.com/office/drawing/2014/main" id="{A28DCBF3-8CE4-4E1F-AFEA-154400CEF467}"/>
            </a:ext>
          </a:extLst>
        </xdr:cNvPr>
        <xdr:cNvSpPr txBox="1"/>
      </xdr:nvSpPr>
      <xdr:spPr>
        <a:xfrm>
          <a:off x="12976669" y="4745340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252</xdr:row>
      <xdr:rowOff>17779</xdr:rowOff>
    </xdr:from>
    <xdr:to>
      <xdr:col>8</xdr:col>
      <xdr:colOff>154432</xdr:colOff>
      <xdr:row>253</xdr:row>
      <xdr:rowOff>19683</xdr:rowOff>
    </xdr:to>
    <xdr:sp macro="_xll.PtreeEvent_ObjectClick" textlink="">
      <xdr:nvSpPr>
        <xdr:cNvPr id="501" name="PTObj_DNode_1_125">
          <a:extLst>
            <a:ext uri="{FF2B5EF4-FFF2-40B4-BE49-F238E27FC236}">
              <a16:creationId xmlns:a16="http://schemas.microsoft.com/office/drawing/2014/main" id="{56E0DF09-3504-4BB3-A17F-4250F453FA1D}"/>
            </a:ext>
          </a:extLst>
        </xdr:cNvPr>
        <xdr:cNvSpPr/>
      </xdr:nvSpPr>
      <xdr:spPr>
        <a:xfrm>
          <a:off x="15544927" y="45623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252</xdr:row>
      <xdr:rowOff>22717</xdr:rowOff>
    </xdr:from>
    <xdr:ext cx="566519" cy="180627"/>
    <xdr:sp macro="_xll.PtreeEvent_ObjectClick" textlink="">
      <xdr:nvSpPr>
        <xdr:cNvPr id="504" name="PTObj_DBranchName_1_125">
          <a:extLst>
            <a:ext uri="{FF2B5EF4-FFF2-40B4-BE49-F238E27FC236}">
              <a16:creationId xmlns:a16="http://schemas.microsoft.com/office/drawing/2014/main" id="{6F51BE7D-A4C9-47C4-BC4E-4BCC33DA06C9}"/>
            </a:ext>
          </a:extLst>
        </xdr:cNvPr>
        <xdr:cNvSpPr txBox="1"/>
      </xdr:nvSpPr>
      <xdr:spPr>
        <a:xfrm>
          <a:off x="14398752" y="45628417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244</xdr:row>
      <xdr:rowOff>2539</xdr:rowOff>
    </xdr:from>
    <xdr:to>
      <xdr:col>9</xdr:col>
      <xdr:colOff>150622</xdr:colOff>
      <xdr:row>245</xdr:row>
      <xdr:rowOff>15873</xdr:rowOff>
    </xdr:to>
    <xdr:sp macro="_xll.PtreeEvent_ObjectClick" textlink="">
      <xdr:nvSpPr>
        <xdr:cNvPr id="505" name="PTObj_DNode_1_121">
          <a:extLst>
            <a:ext uri="{FF2B5EF4-FFF2-40B4-BE49-F238E27FC236}">
              <a16:creationId xmlns:a16="http://schemas.microsoft.com/office/drawing/2014/main" id="{6E3BE917-9DB8-46D6-BBF7-433C8F986E5B}"/>
            </a:ext>
          </a:extLst>
        </xdr:cNvPr>
        <xdr:cNvSpPr/>
      </xdr:nvSpPr>
      <xdr:spPr>
        <a:xfrm>
          <a:off x="16969867" y="441604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244</xdr:row>
      <xdr:rowOff>3668</xdr:rowOff>
    </xdr:from>
    <xdr:ext cx="568424" cy="180627"/>
    <xdr:sp macro="_xll.PtreeEvent_ObjectClick" textlink="">
      <xdr:nvSpPr>
        <xdr:cNvPr id="508" name="PTObj_DBranchName_1_121">
          <a:extLst>
            <a:ext uri="{FF2B5EF4-FFF2-40B4-BE49-F238E27FC236}">
              <a16:creationId xmlns:a16="http://schemas.microsoft.com/office/drawing/2014/main" id="{7501FB6A-7718-4FD5-9496-5A49A8D2C605}"/>
            </a:ext>
          </a:extLst>
        </xdr:cNvPr>
        <xdr:cNvSpPr txBox="1"/>
      </xdr:nvSpPr>
      <xdr:spPr>
        <a:xfrm>
          <a:off x="15820834" y="4416156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246</xdr:row>
      <xdr:rowOff>6350</xdr:rowOff>
    </xdr:from>
    <xdr:to>
      <xdr:col>10</xdr:col>
      <xdr:colOff>131573</xdr:colOff>
      <xdr:row>247</xdr:row>
      <xdr:rowOff>19684</xdr:rowOff>
    </xdr:to>
    <xdr:sp macro="_xll.PtreeEvent_ObjectClick" textlink="">
      <xdr:nvSpPr>
        <xdr:cNvPr id="509" name="PTObj_DNode_1_122">
          <a:extLst>
            <a:ext uri="{FF2B5EF4-FFF2-40B4-BE49-F238E27FC236}">
              <a16:creationId xmlns:a16="http://schemas.microsoft.com/office/drawing/2014/main" id="{377A11BB-2C37-470F-ACA5-D7E89D93AB31}"/>
            </a:ext>
          </a:extLst>
        </xdr:cNvPr>
        <xdr:cNvSpPr/>
      </xdr:nvSpPr>
      <xdr:spPr>
        <a:xfrm>
          <a:off x="18394807" y="44526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246</xdr:row>
      <xdr:rowOff>9381</xdr:rowOff>
    </xdr:from>
    <xdr:ext cx="514858" cy="180627"/>
    <xdr:sp macro="_xll.PtreeEvent_ObjectClick" textlink="">
      <xdr:nvSpPr>
        <xdr:cNvPr id="512" name="PTObj_DBranchName_1_122">
          <a:extLst>
            <a:ext uri="{FF2B5EF4-FFF2-40B4-BE49-F238E27FC236}">
              <a16:creationId xmlns:a16="http://schemas.microsoft.com/office/drawing/2014/main" id="{ABE16892-3834-4D86-A78D-AFBA779CCFEB}"/>
            </a:ext>
          </a:extLst>
        </xdr:cNvPr>
        <xdr:cNvSpPr txBox="1"/>
      </xdr:nvSpPr>
      <xdr:spPr>
        <a:xfrm>
          <a:off x="17244820" y="4452923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248</xdr:row>
      <xdr:rowOff>10161</xdr:rowOff>
    </xdr:from>
    <xdr:to>
      <xdr:col>11</xdr:col>
      <xdr:colOff>135382</xdr:colOff>
      <xdr:row>249</xdr:row>
      <xdr:rowOff>15874</xdr:rowOff>
    </xdr:to>
    <xdr:sp macro="_xll.PtreeEvent_ObjectClick" textlink="">
      <xdr:nvSpPr>
        <xdr:cNvPr id="513" name="PTObj_DNode_1_123">
          <a:extLst>
            <a:ext uri="{FF2B5EF4-FFF2-40B4-BE49-F238E27FC236}">
              <a16:creationId xmlns:a16="http://schemas.microsoft.com/office/drawing/2014/main" id="{9B7BA7B6-5EBD-4707-9C36-C2D484502CC4}"/>
            </a:ext>
          </a:extLst>
        </xdr:cNvPr>
        <xdr:cNvSpPr/>
      </xdr:nvSpPr>
      <xdr:spPr>
        <a:xfrm>
          <a:off x="19819747" y="448919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248</xdr:row>
      <xdr:rowOff>13191</xdr:rowOff>
    </xdr:from>
    <xdr:ext cx="514858" cy="180627"/>
    <xdr:sp macro="_xll.PtreeEvent_ObjectClick" textlink="">
      <xdr:nvSpPr>
        <xdr:cNvPr id="516" name="PTObj_DBranchName_1_123">
          <a:extLst>
            <a:ext uri="{FF2B5EF4-FFF2-40B4-BE49-F238E27FC236}">
              <a16:creationId xmlns:a16="http://schemas.microsoft.com/office/drawing/2014/main" id="{7BA29CB4-0C49-4ACC-ADB5-E791CDFE0D21}"/>
            </a:ext>
          </a:extLst>
        </xdr:cNvPr>
        <xdr:cNvSpPr txBox="1"/>
      </xdr:nvSpPr>
      <xdr:spPr>
        <a:xfrm>
          <a:off x="18666904" y="44894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250</xdr:row>
      <xdr:rowOff>21591</xdr:rowOff>
    </xdr:from>
    <xdr:to>
      <xdr:col>12</xdr:col>
      <xdr:colOff>131572</xdr:colOff>
      <xdr:row>251</xdr:row>
      <xdr:rowOff>15876</xdr:rowOff>
    </xdr:to>
    <xdr:sp macro="_xll.PtreeEvent_ObjectClick" textlink="">
      <xdr:nvSpPr>
        <xdr:cNvPr id="517" name="PTObj_DNode_1_124">
          <a:extLst>
            <a:ext uri="{FF2B5EF4-FFF2-40B4-BE49-F238E27FC236}">
              <a16:creationId xmlns:a16="http://schemas.microsoft.com/office/drawing/2014/main" id="{7BE72B07-F945-488F-8A81-6D4850E282EB}"/>
            </a:ext>
          </a:extLst>
        </xdr:cNvPr>
        <xdr:cNvSpPr/>
      </xdr:nvSpPr>
      <xdr:spPr>
        <a:xfrm rot="-5400000">
          <a:off x="21248498" y="452615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250</xdr:row>
      <xdr:rowOff>18907</xdr:rowOff>
    </xdr:from>
    <xdr:ext cx="514858" cy="180627"/>
    <xdr:sp macro="_xll.PtreeEvent_ObjectClick" textlink="">
      <xdr:nvSpPr>
        <xdr:cNvPr id="520" name="PTObj_DBranchName_1_124">
          <a:extLst>
            <a:ext uri="{FF2B5EF4-FFF2-40B4-BE49-F238E27FC236}">
              <a16:creationId xmlns:a16="http://schemas.microsoft.com/office/drawing/2014/main" id="{7095B731-BA92-4A21-A989-D370D21962AE}"/>
            </a:ext>
          </a:extLst>
        </xdr:cNvPr>
        <xdr:cNvSpPr txBox="1"/>
      </xdr:nvSpPr>
      <xdr:spPr>
        <a:xfrm>
          <a:off x="20094701" y="452626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254</xdr:row>
      <xdr:rowOff>21589</xdr:rowOff>
    </xdr:from>
    <xdr:to>
      <xdr:col>9</xdr:col>
      <xdr:colOff>150622</xdr:colOff>
      <xdr:row>255</xdr:row>
      <xdr:rowOff>19683</xdr:rowOff>
    </xdr:to>
    <xdr:sp macro="_xll.PtreeEvent_ObjectClick" textlink="">
      <xdr:nvSpPr>
        <xdr:cNvPr id="521" name="PTObj_DNode_1_126">
          <a:extLst>
            <a:ext uri="{FF2B5EF4-FFF2-40B4-BE49-F238E27FC236}">
              <a16:creationId xmlns:a16="http://schemas.microsoft.com/office/drawing/2014/main" id="{6B4EAFB8-A190-49B6-9DB9-8376469D7B1C}"/>
            </a:ext>
          </a:extLst>
        </xdr:cNvPr>
        <xdr:cNvSpPr/>
      </xdr:nvSpPr>
      <xdr:spPr>
        <a:xfrm>
          <a:off x="16969867" y="459892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254</xdr:row>
      <xdr:rowOff>18908</xdr:rowOff>
    </xdr:from>
    <xdr:ext cx="568424" cy="180627"/>
    <xdr:sp macro="_xll.PtreeEvent_ObjectClick" textlink="">
      <xdr:nvSpPr>
        <xdr:cNvPr id="524" name="PTObj_DBranchName_1_126">
          <a:extLst>
            <a:ext uri="{FF2B5EF4-FFF2-40B4-BE49-F238E27FC236}">
              <a16:creationId xmlns:a16="http://schemas.microsoft.com/office/drawing/2014/main" id="{6F678076-5315-47A9-B652-F93F8EE514C3}"/>
            </a:ext>
          </a:extLst>
        </xdr:cNvPr>
        <xdr:cNvSpPr txBox="1"/>
      </xdr:nvSpPr>
      <xdr:spPr>
        <a:xfrm>
          <a:off x="15820834" y="4598655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256</xdr:row>
      <xdr:rowOff>25400</xdr:rowOff>
    </xdr:from>
    <xdr:to>
      <xdr:col>10</xdr:col>
      <xdr:colOff>131573</xdr:colOff>
      <xdr:row>257</xdr:row>
      <xdr:rowOff>21589</xdr:rowOff>
    </xdr:to>
    <xdr:sp macro="_xll.PtreeEvent_ObjectClick" textlink="">
      <xdr:nvSpPr>
        <xdr:cNvPr id="525" name="PTObj_DNode_1_127">
          <a:extLst>
            <a:ext uri="{FF2B5EF4-FFF2-40B4-BE49-F238E27FC236}">
              <a16:creationId xmlns:a16="http://schemas.microsoft.com/office/drawing/2014/main" id="{D2E54F81-CDDC-42B2-911B-E2049BD6C8EA}"/>
            </a:ext>
          </a:extLst>
        </xdr:cNvPr>
        <xdr:cNvSpPr/>
      </xdr:nvSpPr>
      <xdr:spPr>
        <a:xfrm>
          <a:off x="18394807" y="46355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256</xdr:row>
      <xdr:rowOff>22716</xdr:rowOff>
    </xdr:from>
    <xdr:ext cx="514858" cy="180627"/>
    <xdr:sp macro="_xll.PtreeEvent_ObjectClick" textlink="">
      <xdr:nvSpPr>
        <xdr:cNvPr id="528" name="PTObj_DBranchName_1_127">
          <a:extLst>
            <a:ext uri="{FF2B5EF4-FFF2-40B4-BE49-F238E27FC236}">
              <a16:creationId xmlns:a16="http://schemas.microsoft.com/office/drawing/2014/main" id="{2E5C30FC-7BF1-44DE-A69A-0E93E341EBAB}"/>
            </a:ext>
          </a:extLst>
        </xdr:cNvPr>
        <xdr:cNvSpPr txBox="1"/>
      </xdr:nvSpPr>
      <xdr:spPr>
        <a:xfrm>
          <a:off x="17244820" y="463523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258</xdr:row>
      <xdr:rowOff>29211</xdr:rowOff>
    </xdr:from>
    <xdr:to>
      <xdr:col>11</xdr:col>
      <xdr:colOff>135382</xdr:colOff>
      <xdr:row>259</xdr:row>
      <xdr:rowOff>17779</xdr:rowOff>
    </xdr:to>
    <xdr:sp macro="_xll.PtreeEvent_ObjectClick" textlink="">
      <xdr:nvSpPr>
        <xdr:cNvPr id="529" name="PTObj_DNode_1_128">
          <a:extLst>
            <a:ext uri="{FF2B5EF4-FFF2-40B4-BE49-F238E27FC236}">
              <a16:creationId xmlns:a16="http://schemas.microsoft.com/office/drawing/2014/main" id="{88CD42AD-88CB-4E69-BA02-FB2342D15472}"/>
            </a:ext>
          </a:extLst>
        </xdr:cNvPr>
        <xdr:cNvSpPr/>
      </xdr:nvSpPr>
      <xdr:spPr>
        <a:xfrm>
          <a:off x="19819747" y="467207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258</xdr:row>
      <xdr:rowOff>28431</xdr:rowOff>
    </xdr:from>
    <xdr:ext cx="514858" cy="180627"/>
    <xdr:sp macro="_xll.PtreeEvent_ObjectClick" textlink="">
      <xdr:nvSpPr>
        <xdr:cNvPr id="532" name="PTObj_DBranchName_1_128">
          <a:extLst>
            <a:ext uri="{FF2B5EF4-FFF2-40B4-BE49-F238E27FC236}">
              <a16:creationId xmlns:a16="http://schemas.microsoft.com/office/drawing/2014/main" id="{941D7895-167A-4292-8C03-0816C5BDA4BC}"/>
            </a:ext>
          </a:extLst>
        </xdr:cNvPr>
        <xdr:cNvSpPr txBox="1"/>
      </xdr:nvSpPr>
      <xdr:spPr>
        <a:xfrm>
          <a:off x="18666904" y="46719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260</xdr:row>
      <xdr:rowOff>35878</xdr:rowOff>
    </xdr:from>
    <xdr:to>
      <xdr:col>12</xdr:col>
      <xdr:colOff>132525</xdr:colOff>
      <xdr:row>261</xdr:row>
      <xdr:rowOff>18733</xdr:rowOff>
    </xdr:to>
    <xdr:sp macro="_xll.PtreeEvent_ObjectClick" textlink="">
      <xdr:nvSpPr>
        <xdr:cNvPr id="533" name="PTObj_DNode_1_129">
          <a:extLst>
            <a:ext uri="{FF2B5EF4-FFF2-40B4-BE49-F238E27FC236}">
              <a16:creationId xmlns:a16="http://schemas.microsoft.com/office/drawing/2014/main" id="{FB522382-E231-4D40-B883-D31E8E132FD9}"/>
            </a:ext>
          </a:extLst>
        </xdr:cNvPr>
        <xdr:cNvSpPr/>
      </xdr:nvSpPr>
      <xdr:spPr>
        <a:xfrm rot="-5400000">
          <a:off x="21248498" y="470846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260</xdr:row>
      <xdr:rowOff>32242</xdr:rowOff>
    </xdr:from>
    <xdr:ext cx="514858" cy="180627"/>
    <xdr:sp macro="_xll.PtreeEvent_ObjectClick" textlink="">
      <xdr:nvSpPr>
        <xdr:cNvPr id="536" name="PTObj_DBranchName_1_129">
          <a:extLst>
            <a:ext uri="{FF2B5EF4-FFF2-40B4-BE49-F238E27FC236}">
              <a16:creationId xmlns:a16="http://schemas.microsoft.com/office/drawing/2014/main" id="{FC1D06D6-3D8A-4212-BD4E-46F22DF513B9}"/>
            </a:ext>
          </a:extLst>
        </xdr:cNvPr>
        <xdr:cNvSpPr txBox="1"/>
      </xdr:nvSpPr>
      <xdr:spPr>
        <a:xfrm>
          <a:off x="20094701" y="4708574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272</xdr:row>
      <xdr:rowOff>55879</xdr:rowOff>
    </xdr:from>
    <xdr:to>
      <xdr:col>8</xdr:col>
      <xdr:colOff>154432</xdr:colOff>
      <xdr:row>273</xdr:row>
      <xdr:rowOff>53973</xdr:rowOff>
    </xdr:to>
    <xdr:sp macro="_xll.PtreeEvent_ObjectClick" textlink="">
      <xdr:nvSpPr>
        <xdr:cNvPr id="537" name="PTObj_DNode_1_135">
          <a:extLst>
            <a:ext uri="{FF2B5EF4-FFF2-40B4-BE49-F238E27FC236}">
              <a16:creationId xmlns:a16="http://schemas.microsoft.com/office/drawing/2014/main" id="{AD9EF921-92EE-42CF-AF91-72BEEC88EC15}"/>
            </a:ext>
          </a:extLst>
        </xdr:cNvPr>
        <xdr:cNvSpPr/>
      </xdr:nvSpPr>
      <xdr:spPr>
        <a:xfrm>
          <a:off x="15544927" y="49281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272</xdr:row>
      <xdr:rowOff>60817</xdr:rowOff>
    </xdr:from>
    <xdr:ext cx="568425" cy="180627"/>
    <xdr:sp macro="_xll.PtreeEvent_ObjectClick" textlink="">
      <xdr:nvSpPr>
        <xdr:cNvPr id="540" name="PTObj_DBranchName_1_135">
          <a:extLst>
            <a:ext uri="{FF2B5EF4-FFF2-40B4-BE49-F238E27FC236}">
              <a16:creationId xmlns:a16="http://schemas.microsoft.com/office/drawing/2014/main" id="{0D63967E-D076-420E-9E79-51F6CB33A129}"/>
            </a:ext>
          </a:extLst>
        </xdr:cNvPr>
        <xdr:cNvSpPr txBox="1"/>
      </xdr:nvSpPr>
      <xdr:spPr>
        <a:xfrm>
          <a:off x="14400657" y="49286017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264</xdr:row>
      <xdr:rowOff>40639</xdr:rowOff>
    </xdr:from>
    <xdr:to>
      <xdr:col>9</xdr:col>
      <xdr:colOff>150622</xdr:colOff>
      <xdr:row>265</xdr:row>
      <xdr:rowOff>57783</xdr:rowOff>
    </xdr:to>
    <xdr:sp macro="_xll.PtreeEvent_ObjectClick" textlink="">
      <xdr:nvSpPr>
        <xdr:cNvPr id="541" name="PTObj_DNode_1_131">
          <a:extLst>
            <a:ext uri="{FF2B5EF4-FFF2-40B4-BE49-F238E27FC236}">
              <a16:creationId xmlns:a16="http://schemas.microsoft.com/office/drawing/2014/main" id="{B3E05442-B94D-4583-8548-08AEBC1DFE2D}"/>
            </a:ext>
          </a:extLst>
        </xdr:cNvPr>
        <xdr:cNvSpPr/>
      </xdr:nvSpPr>
      <xdr:spPr>
        <a:xfrm>
          <a:off x="16969867" y="478180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264</xdr:row>
      <xdr:rowOff>41768</xdr:rowOff>
    </xdr:from>
    <xdr:ext cx="568424" cy="180627"/>
    <xdr:sp macro="_xll.PtreeEvent_ObjectClick" textlink="">
      <xdr:nvSpPr>
        <xdr:cNvPr id="544" name="PTObj_DBranchName_1_131">
          <a:extLst>
            <a:ext uri="{FF2B5EF4-FFF2-40B4-BE49-F238E27FC236}">
              <a16:creationId xmlns:a16="http://schemas.microsoft.com/office/drawing/2014/main" id="{C01C8353-0855-421D-BF48-285C37AFECD4}"/>
            </a:ext>
          </a:extLst>
        </xdr:cNvPr>
        <xdr:cNvSpPr txBox="1"/>
      </xdr:nvSpPr>
      <xdr:spPr>
        <a:xfrm>
          <a:off x="15820834" y="4781916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266</xdr:row>
      <xdr:rowOff>44450</xdr:rowOff>
    </xdr:from>
    <xdr:to>
      <xdr:col>10</xdr:col>
      <xdr:colOff>135383</xdr:colOff>
      <xdr:row>267</xdr:row>
      <xdr:rowOff>53974</xdr:rowOff>
    </xdr:to>
    <xdr:sp macro="_xll.PtreeEvent_ObjectClick" textlink="">
      <xdr:nvSpPr>
        <xdr:cNvPr id="545" name="PTObj_DNode_1_132">
          <a:extLst>
            <a:ext uri="{FF2B5EF4-FFF2-40B4-BE49-F238E27FC236}">
              <a16:creationId xmlns:a16="http://schemas.microsoft.com/office/drawing/2014/main" id="{83E36784-C045-40C8-99CC-62BBF80A5381}"/>
            </a:ext>
          </a:extLst>
        </xdr:cNvPr>
        <xdr:cNvSpPr/>
      </xdr:nvSpPr>
      <xdr:spPr>
        <a:xfrm>
          <a:off x="18394807" y="48183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266</xdr:row>
      <xdr:rowOff>47481</xdr:rowOff>
    </xdr:from>
    <xdr:ext cx="514858" cy="180627"/>
    <xdr:sp macro="_xll.PtreeEvent_ObjectClick" textlink="">
      <xdr:nvSpPr>
        <xdr:cNvPr id="548" name="PTObj_DBranchName_1_132">
          <a:extLst>
            <a:ext uri="{FF2B5EF4-FFF2-40B4-BE49-F238E27FC236}">
              <a16:creationId xmlns:a16="http://schemas.microsoft.com/office/drawing/2014/main" id="{8873990B-3172-45D5-8E46-ACFCFF928AFE}"/>
            </a:ext>
          </a:extLst>
        </xdr:cNvPr>
        <xdr:cNvSpPr txBox="1"/>
      </xdr:nvSpPr>
      <xdr:spPr>
        <a:xfrm>
          <a:off x="17244820" y="4818683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268</xdr:row>
      <xdr:rowOff>48261</xdr:rowOff>
    </xdr:from>
    <xdr:to>
      <xdr:col>11</xdr:col>
      <xdr:colOff>131572</xdr:colOff>
      <xdr:row>269</xdr:row>
      <xdr:rowOff>57784</xdr:rowOff>
    </xdr:to>
    <xdr:sp macro="_xll.PtreeEvent_ObjectClick" textlink="">
      <xdr:nvSpPr>
        <xdr:cNvPr id="549" name="PTObj_DNode_1_133">
          <a:extLst>
            <a:ext uri="{FF2B5EF4-FFF2-40B4-BE49-F238E27FC236}">
              <a16:creationId xmlns:a16="http://schemas.microsoft.com/office/drawing/2014/main" id="{5D2AE16D-B528-48CF-9D7B-7314B58B4915}"/>
            </a:ext>
          </a:extLst>
        </xdr:cNvPr>
        <xdr:cNvSpPr/>
      </xdr:nvSpPr>
      <xdr:spPr>
        <a:xfrm>
          <a:off x="19819747" y="485495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268</xdr:row>
      <xdr:rowOff>51291</xdr:rowOff>
    </xdr:from>
    <xdr:ext cx="514858" cy="180627"/>
    <xdr:sp macro="_xll.PtreeEvent_ObjectClick" textlink="">
      <xdr:nvSpPr>
        <xdr:cNvPr id="552" name="PTObj_DBranchName_1_133">
          <a:extLst>
            <a:ext uri="{FF2B5EF4-FFF2-40B4-BE49-F238E27FC236}">
              <a16:creationId xmlns:a16="http://schemas.microsoft.com/office/drawing/2014/main" id="{AA6DC062-91B3-455D-8C00-6EE151BBD0F5}"/>
            </a:ext>
          </a:extLst>
        </xdr:cNvPr>
        <xdr:cNvSpPr txBox="1"/>
      </xdr:nvSpPr>
      <xdr:spPr>
        <a:xfrm>
          <a:off x="18666904" y="48552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270</xdr:row>
      <xdr:rowOff>59691</xdr:rowOff>
    </xdr:from>
    <xdr:to>
      <xdr:col>12</xdr:col>
      <xdr:colOff>135382</xdr:colOff>
      <xdr:row>271</xdr:row>
      <xdr:rowOff>57786</xdr:rowOff>
    </xdr:to>
    <xdr:sp macro="_xll.PtreeEvent_ObjectClick" textlink="">
      <xdr:nvSpPr>
        <xdr:cNvPr id="553" name="PTObj_DNode_1_134">
          <a:extLst>
            <a:ext uri="{FF2B5EF4-FFF2-40B4-BE49-F238E27FC236}">
              <a16:creationId xmlns:a16="http://schemas.microsoft.com/office/drawing/2014/main" id="{86EAE0E2-E81B-445B-AB12-70A1F4B4C485}"/>
            </a:ext>
          </a:extLst>
        </xdr:cNvPr>
        <xdr:cNvSpPr/>
      </xdr:nvSpPr>
      <xdr:spPr>
        <a:xfrm rot="-5400000">
          <a:off x="21248498" y="489191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270</xdr:row>
      <xdr:rowOff>57007</xdr:rowOff>
    </xdr:from>
    <xdr:ext cx="514858" cy="180627"/>
    <xdr:sp macro="_xll.PtreeEvent_ObjectClick" textlink="">
      <xdr:nvSpPr>
        <xdr:cNvPr id="556" name="PTObj_DBranchName_1_134">
          <a:extLst>
            <a:ext uri="{FF2B5EF4-FFF2-40B4-BE49-F238E27FC236}">
              <a16:creationId xmlns:a16="http://schemas.microsoft.com/office/drawing/2014/main" id="{07ABEA17-84ED-4CB2-A407-95600CDD254A}"/>
            </a:ext>
          </a:extLst>
        </xdr:cNvPr>
        <xdr:cNvSpPr txBox="1"/>
      </xdr:nvSpPr>
      <xdr:spPr>
        <a:xfrm>
          <a:off x="20094701" y="48920257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274</xdr:row>
      <xdr:rowOff>59689</xdr:rowOff>
    </xdr:from>
    <xdr:to>
      <xdr:col>9</xdr:col>
      <xdr:colOff>150622</xdr:colOff>
      <xdr:row>275</xdr:row>
      <xdr:rowOff>53973</xdr:rowOff>
    </xdr:to>
    <xdr:sp macro="_xll.PtreeEvent_ObjectClick" textlink="">
      <xdr:nvSpPr>
        <xdr:cNvPr id="557" name="PTObj_DNode_1_136">
          <a:extLst>
            <a:ext uri="{FF2B5EF4-FFF2-40B4-BE49-F238E27FC236}">
              <a16:creationId xmlns:a16="http://schemas.microsoft.com/office/drawing/2014/main" id="{7BFA66C6-DACD-487A-91A3-F4C8DD3C6F02}"/>
            </a:ext>
          </a:extLst>
        </xdr:cNvPr>
        <xdr:cNvSpPr/>
      </xdr:nvSpPr>
      <xdr:spPr>
        <a:xfrm>
          <a:off x="16969867" y="496468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274</xdr:row>
      <xdr:rowOff>57008</xdr:rowOff>
    </xdr:from>
    <xdr:ext cx="568424" cy="180627"/>
    <xdr:sp macro="_xll.PtreeEvent_ObjectClick" textlink="">
      <xdr:nvSpPr>
        <xdr:cNvPr id="560" name="PTObj_DBranchName_1_136">
          <a:extLst>
            <a:ext uri="{FF2B5EF4-FFF2-40B4-BE49-F238E27FC236}">
              <a16:creationId xmlns:a16="http://schemas.microsoft.com/office/drawing/2014/main" id="{711E6470-99B1-43E9-81FE-B4022BB90792}"/>
            </a:ext>
          </a:extLst>
        </xdr:cNvPr>
        <xdr:cNvSpPr txBox="1"/>
      </xdr:nvSpPr>
      <xdr:spPr>
        <a:xfrm>
          <a:off x="15820834" y="4964415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276</xdr:row>
      <xdr:rowOff>63500</xdr:rowOff>
    </xdr:from>
    <xdr:to>
      <xdr:col>10</xdr:col>
      <xdr:colOff>135383</xdr:colOff>
      <xdr:row>277</xdr:row>
      <xdr:rowOff>55879</xdr:rowOff>
    </xdr:to>
    <xdr:sp macro="_xll.PtreeEvent_ObjectClick" textlink="">
      <xdr:nvSpPr>
        <xdr:cNvPr id="561" name="PTObj_DNode_1_137">
          <a:extLst>
            <a:ext uri="{FF2B5EF4-FFF2-40B4-BE49-F238E27FC236}">
              <a16:creationId xmlns:a16="http://schemas.microsoft.com/office/drawing/2014/main" id="{C9985A0B-F10F-483F-A09A-ABC6BB9A8C51}"/>
            </a:ext>
          </a:extLst>
        </xdr:cNvPr>
        <xdr:cNvSpPr/>
      </xdr:nvSpPr>
      <xdr:spPr>
        <a:xfrm>
          <a:off x="18394807" y="50012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276</xdr:row>
      <xdr:rowOff>60816</xdr:rowOff>
    </xdr:from>
    <xdr:ext cx="514858" cy="180627"/>
    <xdr:sp macro="_xll.PtreeEvent_ObjectClick" textlink="">
      <xdr:nvSpPr>
        <xdr:cNvPr id="564" name="PTObj_DBranchName_1_137">
          <a:extLst>
            <a:ext uri="{FF2B5EF4-FFF2-40B4-BE49-F238E27FC236}">
              <a16:creationId xmlns:a16="http://schemas.microsoft.com/office/drawing/2014/main" id="{C38F394C-C8E6-496A-BBC0-AA1F3A830166}"/>
            </a:ext>
          </a:extLst>
        </xdr:cNvPr>
        <xdr:cNvSpPr txBox="1"/>
      </xdr:nvSpPr>
      <xdr:spPr>
        <a:xfrm>
          <a:off x="17244820" y="500099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278</xdr:row>
      <xdr:rowOff>67311</xdr:rowOff>
    </xdr:from>
    <xdr:to>
      <xdr:col>11</xdr:col>
      <xdr:colOff>131572</xdr:colOff>
      <xdr:row>279</xdr:row>
      <xdr:rowOff>59689</xdr:rowOff>
    </xdr:to>
    <xdr:sp macro="_xll.PtreeEvent_ObjectClick" textlink="">
      <xdr:nvSpPr>
        <xdr:cNvPr id="565" name="PTObj_DNode_1_138">
          <a:extLst>
            <a:ext uri="{FF2B5EF4-FFF2-40B4-BE49-F238E27FC236}">
              <a16:creationId xmlns:a16="http://schemas.microsoft.com/office/drawing/2014/main" id="{F81AD551-5DBD-4E51-85DF-C7B7C27151A9}"/>
            </a:ext>
          </a:extLst>
        </xdr:cNvPr>
        <xdr:cNvSpPr/>
      </xdr:nvSpPr>
      <xdr:spPr>
        <a:xfrm>
          <a:off x="19819747" y="50378361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278</xdr:row>
      <xdr:rowOff>66531</xdr:rowOff>
    </xdr:from>
    <xdr:ext cx="514858" cy="180627"/>
    <xdr:sp macro="_xll.PtreeEvent_ObjectClick" textlink="">
      <xdr:nvSpPr>
        <xdr:cNvPr id="568" name="PTObj_DBranchName_1_138">
          <a:extLst>
            <a:ext uri="{FF2B5EF4-FFF2-40B4-BE49-F238E27FC236}">
              <a16:creationId xmlns:a16="http://schemas.microsoft.com/office/drawing/2014/main" id="{CAC90A6A-CA56-4DB4-829A-6CB06B58E73C}"/>
            </a:ext>
          </a:extLst>
        </xdr:cNvPr>
        <xdr:cNvSpPr txBox="1"/>
      </xdr:nvSpPr>
      <xdr:spPr>
        <a:xfrm>
          <a:off x="18666904" y="50377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280</xdr:row>
      <xdr:rowOff>73978</xdr:rowOff>
    </xdr:from>
    <xdr:to>
      <xdr:col>12</xdr:col>
      <xdr:colOff>136335</xdr:colOff>
      <xdr:row>281</xdr:row>
      <xdr:rowOff>60643</xdr:rowOff>
    </xdr:to>
    <xdr:sp macro="_xll.PtreeEvent_ObjectClick" textlink="">
      <xdr:nvSpPr>
        <xdr:cNvPr id="569" name="PTObj_DNode_1_139">
          <a:extLst>
            <a:ext uri="{FF2B5EF4-FFF2-40B4-BE49-F238E27FC236}">
              <a16:creationId xmlns:a16="http://schemas.microsoft.com/office/drawing/2014/main" id="{72E4B030-C2D6-4864-9649-C7FD9528104C}"/>
            </a:ext>
          </a:extLst>
        </xdr:cNvPr>
        <xdr:cNvSpPr/>
      </xdr:nvSpPr>
      <xdr:spPr>
        <a:xfrm rot="-5400000">
          <a:off x="21248498" y="507422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280</xdr:row>
      <xdr:rowOff>70342</xdr:rowOff>
    </xdr:from>
    <xdr:ext cx="514858" cy="180627"/>
    <xdr:sp macro="_xll.PtreeEvent_ObjectClick" textlink="">
      <xdr:nvSpPr>
        <xdr:cNvPr id="572" name="PTObj_DBranchName_1_139">
          <a:extLst>
            <a:ext uri="{FF2B5EF4-FFF2-40B4-BE49-F238E27FC236}">
              <a16:creationId xmlns:a16="http://schemas.microsoft.com/office/drawing/2014/main" id="{C88504B7-57EA-486E-B31D-D2DB36EC9043}"/>
            </a:ext>
          </a:extLst>
        </xdr:cNvPr>
        <xdr:cNvSpPr txBox="1"/>
      </xdr:nvSpPr>
      <xdr:spPr>
        <a:xfrm>
          <a:off x="20094701" y="50743342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302</xdr:row>
      <xdr:rowOff>113029</xdr:rowOff>
    </xdr:from>
    <xdr:to>
      <xdr:col>7</xdr:col>
      <xdr:colOff>167768</xdr:colOff>
      <xdr:row>303</xdr:row>
      <xdr:rowOff>114933</xdr:rowOff>
    </xdr:to>
    <xdr:sp macro="_xll.PtreeEvent_ObjectClick" textlink="">
      <xdr:nvSpPr>
        <xdr:cNvPr id="573" name="PTObj_DNode_1_150">
          <a:extLst>
            <a:ext uri="{FF2B5EF4-FFF2-40B4-BE49-F238E27FC236}">
              <a16:creationId xmlns:a16="http://schemas.microsoft.com/office/drawing/2014/main" id="{D20038C6-00A2-4B84-BBB9-E995EDCAC83C}"/>
            </a:ext>
          </a:extLst>
        </xdr:cNvPr>
        <xdr:cNvSpPr/>
      </xdr:nvSpPr>
      <xdr:spPr>
        <a:xfrm>
          <a:off x="14119988" y="54767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302</xdr:row>
      <xdr:rowOff>114157</xdr:rowOff>
    </xdr:from>
    <xdr:ext cx="566520" cy="180627"/>
    <xdr:sp macro="_xll.PtreeEvent_ObjectClick" textlink="">
      <xdr:nvSpPr>
        <xdr:cNvPr id="576" name="PTObj_DBranchName_1_150">
          <a:extLst>
            <a:ext uri="{FF2B5EF4-FFF2-40B4-BE49-F238E27FC236}">
              <a16:creationId xmlns:a16="http://schemas.microsoft.com/office/drawing/2014/main" id="{25E5D37C-C4CF-406C-B70F-3B710A935BB6}"/>
            </a:ext>
          </a:extLst>
        </xdr:cNvPr>
        <xdr:cNvSpPr txBox="1"/>
      </xdr:nvSpPr>
      <xdr:spPr>
        <a:xfrm>
          <a:off x="12974765" y="5476860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292</xdr:row>
      <xdr:rowOff>93979</xdr:rowOff>
    </xdr:from>
    <xdr:to>
      <xdr:col>8</xdr:col>
      <xdr:colOff>154432</xdr:colOff>
      <xdr:row>293</xdr:row>
      <xdr:rowOff>92073</xdr:rowOff>
    </xdr:to>
    <xdr:sp macro="_xll.PtreeEvent_ObjectClick" textlink="">
      <xdr:nvSpPr>
        <xdr:cNvPr id="577" name="PTObj_DNode_1_145">
          <a:extLst>
            <a:ext uri="{FF2B5EF4-FFF2-40B4-BE49-F238E27FC236}">
              <a16:creationId xmlns:a16="http://schemas.microsoft.com/office/drawing/2014/main" id="{301950B3-D21D-4348-A912-C305FB795AB6}"/>
            </a:ext>
          </a:extLst>
        </xdr:cNvPr>
        <xdr:cNvSpPr/>
      </xdr:nvSpPr>
      <xdr:spPr>
        <a:xfrm>
          <a:off x="15544927" y="52938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292</xdr:row>
      <xdr:rowOff>98917</xdr:rowOff>
    </xdr:from>
    <xdr:ext cx="566519" cy="180627"/>
    <xdr:sp macro="_xll.PtreeEvent_ObjectClick" textlink="">
      <xdr:nvSpPr>
        <xdr:cNvPr id="580" name="PTObj_DBranchName_1_145">
          <a:extLst>
            <a:ext uri="{FF2B5EF4-FFF2-40B4-BE49-F238E27FC236}">
              <a16:creationId xmlns:a16="http://schemas.microsoft.com/office/drawing/2014/main" id="{5DB8E674-F483-4D46-811F-2AB3F34973B6}"/>
            </a:ext>
          </a:extLst>
        </xdr:cNvPr>
        <xdr:cNvSpPr txBox="1"/>
      </xdr:nvSpPr>
      <xdr:spPr>
        <a:xfrm>
          <a:off x="14398752" y="52943617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284</xdr:row>
      <xdr:rowOff>78739</xdr:rowOff>
    </xdr:from>
    <xdr:to>
      <xdr:col>9</xdr:col>
      <xdr:colOff>150622</xdr:colOff>
      <xdr:row>285</xdr:row>
      <xdr:rowOff>95883</xdr:rowOff>
    </xdr:to>
    <xdr:sp macro="_xll.PtreeEvent_ObjectClick" textlink="">
      <xdr:nvSpPr>
        <xdr:cNvPr id="581" name="PTObj_DNode_1_141">
          <a:extLst>
            <a:ext uri="{FF2B5EF4-FFF2-40B4-BE49-F238E27FC236}">
              <a16:creationId xmlns:a16="http://schemas.microsoft.com/office/drawing/2014/main" id="{9862DABD-0B57-4253-90DE-D87BB6202E82}"/>
            </a:ext>
          </a:extLst>
        </xdr:cNvPr>
        <xdr:cNvSpPr/>
      </xdr:nvSpPr>
      <xdr:spPr>
        <a:xfrm>
          <a:off x="16969867" y="5147563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284</xdr:row>
      <xdr:rowOff>79868</xdr:rowOff>
    </xdr:from>
    <xdr:ext cx="568424" cy="180627"/>
    <xdr:sp macro="_xll.PtreeEvent_ObjectClick" textlink="">
      <xdr:nvSpPr>
        <xdr:cNvPr id="584" name="PTObj_DBranchName_1_141">
          <a:extLst>
            <a:ext uri="{FF2B5EF4-FFF2-40B4-BE49-F238E27FC236}">
              <a16:creationId xmlns:a16="http://schemas.microsoft.com/office/drawing/2014/main" id="{8DD0E52F-9DE9-4DA3-A12A-6DBDAFA758B8}"/>
            </a:ext>
          </a:extLst>
        </xdr:cNvPr>
        <xdr:cNvSpPr txBox="1"/>
      </xdr:nvSpPr>
      <xdr:spPr>
        <a:xfrm>
          <a:off x="15820834" y="51476768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286</xdr:row>
      <xdr:rowOff>82550</xdr:rowOff>
    </xdr:from>
    <xdr:to>
      <xdr:col>10</xdr:col>
      <xdr:colOff>135383</xdr:colOff>
      <xdr:row>287</xdr:row>
      <xdr:rowOff>92074</xdr:rowOff>
    </xdr:to>
    <xdr:sp macro="_xll.PtreeEvent_ObjectClick" textlink="">
      <xdr:nvSpPr>
        <xdr:cNvPr id="585" name="PTObj_DNode_1_142">
          <a:extLst>
            <a:ext uri="{FF2B5EF4-FFF2-40B4-BE49-F238E27FC236}">
              <a16:creationId xmlns:a16="http://schemas.microsoft.com/office/drawing/2014/main" id="{E2819B61-62B1-4FDC-9DE9-2A5956DF61DF}"/>
            </a:ext>
          </a:extLst>
        </xdr:cNvPr>
        <xdr:cNvSpPr/>
      </xdr:nvSpPr>
      <xdr:spPr>
        <a:xfrm>
          <a:off x="18394807" y="51841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286</xdr:row>
      <xdr:rowOff>85581</xdr:rowOff>
    </xdr:from>
    <xdr:ext cx="514858" cy="180627"/>
    <xdr:sp macro="_xll.PtreeEvent_ObjectClick" textlink="">
      <xdr:nvSpPr>
        <xdr:cNvPr id="588" name="PTObj_DBranchName_1_142">
          <a:extLst>
            <a:ext uri="{FF2B5EF4-FFF2-40B4-BE49-F238E27FC236}">
              <a16:creationId xmlns:a16="http://schemas.microsoft.com/office/drawing/2014/main" id="{7FD9F6D9-7ADF-46D8-A449-AB5BE41BEF74}"/>
            </a:ext>
          </a:extLst>
        </xdr:cNvPr>
        <xdr:cNvSpPr txBox="1"/>
      </xdr:nvSpPr>
      <xdr:spPr>
        <a:xfrm>
          <a:off x="17244820" y="5184443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288</xdr:row>
      <xdr:rowOff>86358</xdr:rowOff>
    </xdr:from>
    <xdr:to>
      <xdr:col>11</xdr:col>
      <xdr:colOff>131572</xdr:colOff>
      <xdr:row>289</xdr:row>
      <xdr:rowOff>95881</xdr:rowOff>
    </xdr:to>
    <xdr:sp macro="_xll.PtreeEvent_ObjectClick" textlink="">
      <xdr:nvSpPr>
        <xdr:cNvPr id="589" name="PTObj_DNode_1_143">
          <a:extLst>
            <a:ext uri="{FF2B5EF4-FFF2-40B4-BE49-F238E27FC236}">
              <a16:creationId xmlns:a16="http://schemas.microsoft.com/office/drawing/2014/main" id="{657E37C8-173A-458F-8D5F-08954DE64805}"/>
            </a:ext>
          </a:extLst>
        </xdr:cNvPr>
        <xdr:cNvSpPr/>
      </xdr:nvSpPr>
      <xdr:spPr>
        <a:xfrm>
          <a:off x="19819747" y="522071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288</xdr:row>
      <xdr:rowOff>89391</xdr:rowOff>
    </xdr:from>
    <xdr:ext cx="514858" cy="180627"/>
    <xdr:sp macro="_xll.PtreeEvent_ObjectClick" textlink="">
      <xdr:nvSpPr>
        <xdr:cNvPr id="592" name="PTObj_DBranchName_1_143">
          <a:extLst>
            <a:ext uri="{FF2B5EF4-FFF2-40B4-BE49-F238E27FC236}">
              <a16:creationId xmlns:a16="http://schemas.microsoft.com/office/drawing/2014/main" id="{CF37205C-0883-4D2F-A441-A9C58C8476A6}"/>
            </a:ext>
          </a:extLst>
        </xdr:cNvPr>
        <xdr:cNvSpPr txBox="1"/>
      </xdr:nvSpPr>
      <xdr:spPr>
        <a:xfrm>
          <a:off x="18666904" y="52210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290</xdr:row>
      <xdr:rowOff>97791</xdr:rowOff>
    </xdr:from>
    <xdr:to>
      <xdr:col>12</xdr:col>
      <xdr:colOff>135382</xdr:colOff>
      <xdr:row>291</xdr:row>
      <xdr:rowOff>95886</xdr:rowOff>
    </xdr:to>
    <xdr:sp macro="_xll.PtreeEvent_ObjectClick" textlink="">
      <xdr:nvSpPr>
        <xdr:cNvPr id="593" name="PTObj_DNode_1_144">
          <a:extLst>
            <a:ext uri="{FF2B5EF4-FFF2-40B4-BE49-F238E27FC236}">
              <a16:creationId xmlns:a16="http://schemas.microsoft.com/office/drawing/2014/main" id="{E8E4F7D1-07BC-412F-8273-ADCF352D964A}"/>
            </a:ext>
          </a:extLst>
        </xdr:cNvPr>
        <xdr:cNvSpPr/>
      </xdr:nvSpPr>
      <xdr:spPr>
        <a:xfrm rot="-5400000">
          <a:off x="21248498" y="525767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290</xdr:row>
      <xdr:rowOff>95104</xdr:rowOff>
    </xdr:from>
    <xdr:ext cx="514858" cy="180627"/>
    <xdr:sp macro="_xll.PtreeEvent_ObjectClick" textlink="">
      <xdr:nvSpPr>
        <xdr:cNvPr id="596" name="PTObj_DBranchName_1_144">
          <a:extLst>
            <a:ext uri="{FF2B5EF4-FFF2-40B4-BE49-F238E27FC236}">
              <a16:creationId xmlns:a16="http://schemas.microsoft.com/office/drawing/2014/main" id="{5B3463BE-EFA7-4151-BB36-3388E5BDCD7A}"/>
            </a:ext>
          </a:extLst>
        </xdr:cNvPr>
        <xdr:cNvSpPr txBox="1"/>
      </xdr:nvSpPr>
      <xdr:spPr>
        <a:xfrm>
          <a:off x="20094701" y="525778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294</xdr:row>
      <xdr:rowOff>97792</xdr:rowOff>
    </xdr:from>
    <xdr:to>
      <xdr:col>9</xdr:col>
      <xdr:colOff>150622</xdr:colOff>
      <xdr:row>295</xdr:row>
      <xdr:rowOff>92076</xdr:rowOff>
    </xdr:to>
    <xdr:sp macro="_xll.PtreeEvent_ObjectClick" textlink="">
      <xdr:nvSpPr>
        <xdr:cNvPr id="597" name="PTObj_DNode_1_146">
          <a:extLst>
            <a:ext uri="{FF2B5EF4-FFF2-40B4-BE49-F238E27FC236}">
              <a16:creationId xmlns:a16="http://schemas.microsoft.com/office/drawing/2014/main" id="{81CD090B-11E8-46AD-906C-5EDBBF059753}"/>
            </a:ext>
          </a:extLst>
        </xdr:cNvPr>
        <xdr:cNvSpPr/>
      </xdr:nvSpPr>
      <xdr:spPr>
        <a:xfrm>
          <a:off x="16969867" y="533044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294</xdr:row>
      <xdr:rowOff>95105</xdr:rowOff>
    </xdr:from>
    <xdr:ext cx="568424" cy="180627"/>
    <xdr:sp macro="_xll.PtreeEvent_ObjectClick" textlink="">
      <xdr:nvSpPr>
        <xdr:cNvPr id="600" name="PTObj_DBranchName_1_146">
          <a:extLst>
            <a:ext uri="{FF2B5EF4-FFF2-40B4-BE49-F238E27FC236}">
              <a16:creationId xmlns:a16="http://schemas.microsoft.com/office/drawing/2014/main" id="{77D2AE92-4F10-4E1A-B866-A60532DD828D}"/>
            </a:ext>
          </a:extLst>
        </xdr:cNvPr>
        <xdr:cNvSpPr txBox="1"/>
      </xdr:nvSpPr>
      <xdr:spPr>
        <a:xfrm>
          <a:off x="15820834" y="533017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296</xdr:row>
      <xdr:rowOff>101600</xdr:rowOff>
    </xdr:from>
    <xdr:to>
      <xdr:col>10</xdr:col>
      <xdr:colOff>135383</xdr:colOff>
      <xdr:row>297</xdr:row>
      <xdr:rowOff>93979</xdr:rowOff>
    </xdr:to>
    <xdr:sp macro="_xll.PtreeEvent_ObjectClick" textlink="">
      <xdr:nvSpPr>
        <xdr:cNvPr id="601" name="PTObj_DNode_1_147">
          <a:extLst>
            <a:ext uri="{FF2B5EF4-FFF2-40B4-BE49-F238E27FC236}">
              <a16:creationId xmlns:a16="http://schemas.microsoft.com/office/drawing/2014/main" id="{FAF4B455-7FE1-4841-9148-84439AC9FCEF}"/>
            </a:ext>
          </a:extLst>
        </xdr:cNvPr>
        <xdr:cNvSpPr/>
      </xdr:nvSpPr>
      <xdr:spPr>
        <a:xfrm>
          <a:off x="18394807" y="53670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296</xdr:row>
      <xdr:rowOff>98919</xdr:rowOff>
    </xdr:from>
    <xdr:ext cx="514858" cy="180627"/>
    <xdr:sp macro="_xll.PtreeEvent_ObjectClick" textlink="">
      <xdr:nvSpPr>
        <xdr:cNvPr id="604" name="PTObj_DBranchName_1_147">
          <a:extLst>
            <a:ext uri="{FF2B5EF4-FFF2-40B4-BE49-F238E27FC236}">
              <a16:creationId xmlns:a16="http://schemas.microsoft.com/office/drawing/2014/main" id="{13EF12BE-3032-4ED8-A92A-4F71979DF97D}"/>
            </a:ext>
          </a:extLst>
        </xdr:cNvPr>
        <xdr:cNvSpPr txBox="1"/>
      </xdr:nvSpPr>
      <xdr:spPr>
        <a:xfrm>
          <a:off x="17244820" y="536675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298</xdr:row>
      <xdr:rowOff>105408</xdr:rowOff>
    </xdr:from>
    <xdr:to>
      <xdr:col>11</xdr:col>
      <xdr:colOff>131572</xdr:colOff>
      <xdr:row>299</xdr:row>
      <xdr:rowOff>97786</xdr:rowOff>
    </xdr:to>
    <xdr:sp macro="_xll.PtreeEvent_ObjectClick" textlink="">
      <xdr:nvSpPr>
        <xdr:cNvPr id="605" name="PTObj_DNode_1_148">
          <a:extLst>
            <a:ext uri="{FF2B5EF4-FFF2-40B4-BE49-F238E27FC236}">
              <a16:creationId xmlns:a16="http://schemas.microsoft.com/office/drawing/2014/main" id="{25116C31-7A3C-4105-9AD2-979A500579D9}"/>
            </a:ext>
          </a:extLst>
        </xdr:cNvPr>
        <xdr:cNvSpPr/>
      </xdr:nvSpPr>
      <xdr:spPr>
        <a:xfrm>
          <a:off x="19819747" y="540359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298</xdr:row>
      <xdr:rowOff>104631</xdr:rowOff>
    </xdr:from>
    <xdr:ext cx="514858" cy="180627"/>
    <xdr:sp macro="_xll.PtreeEvent_ObjectClick" textlink="">
      <xdr:nvSpPr>
        <xdr:cNvPr id="608" name="PTObj_DBranchName_1_148">
          <a:extLst>
            <a:ext uri="{FF2B5EF4-FFF2-40B4-BE49-F238E27FC236}">
              <a16:creationId xmlns:a16="http://schemas.microsoft.com/office/drawing/2014/main" id="{84374B5A-E89A-47F7-8939-F93A1FCD96B9}"/>
            </a:ext>
          </a:extLst>
        </xdr:cNvPr>
        <xdr:cNvSpPr txBox="1"/>
      </xdr:nvSpPr>
      <xdr:spPr>
        <a:xfrm>
          <a:off x="18666904" y="54035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300</xdr:row>
      <xdr:rowOff>112078</xdr:rowOff>
    </xdr:from>
    <xdr:to>
      <xdr:col>12</xdr:col>
      <xdr:colOff>136335</xdr:colOff>
      <xdr:row>301</xdr:row>
      <xdr:rowOff>98743</xdr:rowOff>
    </xdr:to>
    <xdr:sp macro="_xll.PtreeEvent_ObjectClick" textlink="">
      <xdr:nvSpPr>
        <xdr:cNvPr id="609" name="PTObj_DNode_1_149">
          <a:extLst>
            <a:ext uri="{FF2B5EF4-FFF2-40B4-BE49-F238E27FC236}">
              <a16:creationId xmlns:a16="http://schemas.microsoft.com/office/drawing/2014/main" id="{F1934525-94A9-434B-9FE3-BE614B6D7F44}"/>
            </a:ext>
          </a:extLst>
        </xdr:cNvPr>
        <xdr:cNvSpPr/>
      </xdr:nvSpPr>
      <xdr:spPr>
        <a:xfrm rot="-5400000">
          <a:off x="21248498" y="543998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300</xdr:row>
      <xdr:rowOff>108439</xdr:rowOff>
    </xdr:from>
    <xdr:ext cx="514858" cy="180627"/>
    <xdr:sp macro="_xll.PtreeEvent_ObjectClick" textlink="">
      <xdr:nvSpPr>
        <xdr:cNvPr id="612" name="PTObj_DBranchName_1_149">
          <a:extLst>
            <a:ext uri="{FF2B5EF4-FFF2-40B4-BE49-F238E27FC236}">
              <a16:creationId xmlns:a16="http://schemas.microsoft.com/office/drawing/2014/main" id="{1CE519BE-0D7D-45E4-8C42-B351FE35AA8C}"/>
            </a:ext>
          </a:extLst>
        </xdr:cNvPr>
        <xdr:cNvSpPr txBox="1"/>
      </xdr:nvSpPr>
      <xdr:spPr>
        <a:xfrm>
          <a:off x="20094701" y="54400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312</xdr:row>
      <xdr:rowOff>132079</xdr:rowOff>
    </xdr:from>
    <xdr:to>
      <xdr:col>8</xdr:col>
      <xdr:colOff>154432</xdr:colOff>
      <xdr:row>313</xdr:row>
      <xdr:rowOff>133983</xdr:rowOff>
    </xdr:to>
    <xdr:sp macro="_xll.PtreeEvent_ObjectClick" textlink="">
      <xdr:nvSpPr>
        <xdr:cNvPr id="613" name="PTObj_DNode_1_155">
          <a:extLst>
            <a:ext uri="{FF2B5EF4-FFF2-40B4-BE49-F238E27FC236}">
              <a16:creationId xmlns:a16="http://schemas.microsoft.com/office/drawing/2014/main" id="{F719D4E0-FAF0-44F0-9494-DA45EB006ABA}"/>
            </a:ext>
          </a:extLst>
        </xdr:cNvPr>
        <xdr:cNvSpPr/>
      </xdr:nvSpPr>
      <xdr:spPr>
        <a:xfrm>
          <a:off x="15544927" y="56596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312</xdr:row>
      <xdr:rowOff>137017</xdr:rowOff>
    </xdr:from>
    <xdr:ext cx="568425" cy="180627"/>
    <xdr:sp macro="_xll.PtreeEvent_ObjectClick" textlink="">
      <xdr:nvSpPr>
        <xdr:cNvPr id="616" name="PTObj_DBranchName_1_155">
          <a:extLst>
            <a:ext uri="{FF2B5EF4-FFF2-40B4-BE49-F238E27FC236}">
              <a16:creationId xmlns:a16="http://schemas.microsoft.com/office/drawing/2014/main" id="{FF67FCE3-A166-464C-86B4-AD131A3FC1D6}"/>
            </a:ext>
          </a:extLst>
        </xdr:cNvPr>
        <xdr:cNvSpPr txBox="1"/>
      </xdr:nvSpPr>
      <xdr:spPr>
        <a:xfrm>
          <a:off x="14400657" y="56601217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304</xdr:row>
      <xdr:rowOff>116842</xdr:rowOff>
    </xdr:from>
    <xdr:to>
      <xdr:col>9</xdr:col>
      <xdr:colOff>150622</xdr:colOff>
      <xdr:row>305</xdr:row>
      <xdr:rowOff>130176</xdr:rowOff>
    </xdr:to>
    <xdr:sp macro="_xll.PtreeEvent_ObjectClick" textlink="">
      <xdr:nvSpPr>
        <xdr:cNvPr id="617" name="PTObj_DNode_1_151">
          <a:extLst>
            <a:ext uri="{FF2B5EF4-FFF2-40B4-BE49-F238E27FC236}">
              <a16:creationId xmlns:a16="http://schemas.microsoft.com/office/drawing/2014/main" id="{B929D3D4-F3D2-46D4-9BD3-708B9FEFC1CA}"/>
            </a:ext>
          </a:extLst>
        </xdr:cNvPr>
        <xdr:cNvSpPr/>
      </xdr:nvSpPr>
      <xdr:spPr>
        <a:xfrm>
          <a:off x="16969867" y="551332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304</xdr:row>
      <xdr:rowOff>117965</xdr:rowOff>
    </xdr:from>
    <xdr:ext cx="568424" cy="180627"/>
    <xdr:sp macro="_xll.PtreeEvent_ObjectClick" textlink="">
      <xdr:nvSpPr>
        <xdr:cNvPr id="620" name="PTObj_DBranchName_1_151">
          <a:extLst>
            <a:ext uri="{FF2B5EF4-FFF2-40B4-BE49-F238E27FC236}">
              <a16:creationId xmlns:a16="http://schemas.microsoft.com/office/drawing/2014/main" id="{507B3BB1-D3C3-4D3F-BE36-B6066E534580}"/>
            </a:ext>
          </a:extLst>
        </xdr:cNvPr>
        <xdr:cNvSpPr txBox="1"/>
      </xdr:nvSpPr>
      <xdr:spPr>
        <a:xfrm>
          <a:off x="15820834" y="551343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306</xdr:row>
      <xdr:rowOff>120650</xdr:rowOff>
    </xdr:from>
    <xdr:to>
      <xdr:col>10</xdr:col>
      <xdr:colOff>131573</xdr:colOff>
      <xdr:row>307</xdr:row>
      <xdr:rowOff>133984</xdr:rowOff>
    </xdr:to>
    <xdr:sp macro="_xll.PtreeEvent_ObjectClick" textlink="">
      <xdr:nvSpPr>
        <xdr:cNvPr id="621" name="PTObj_DNode_1_152">
          <a:extLst>
            <a:ext uri="{FF2B5EF4-FFF2-40B4-BE49-F238E27FC236}">
              <a16:creationId xmlns:a16="http://schemas.microsoft.com/office/drawing/2014/main" id="{50DFF138-F15F-415A-AB64-BE57019DC1EC}"/>
            </a:ext>
          </a:extLst>
        </xdr:cNvPr>
        <xdr:cNvSpPr/>
      </xdr:nvSpPr>
      <xdr:spPr>
        <a:xfrm>
          <a:off x="18394807" y="55499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306</xdr:row>
      <xdr:rowOff>123684</xdr:rowOff>
    </xdr:from>
    <xdr:ext cx="514858" cy="180627"/>
    <xdr:sp macro="_xll.PtreeEvent_ObjectClick" textlink="">
      <xdr:nvSpPr>
        <xdr:cNvPr id="624" name="PTObj_DBranchName_1_152">
          <a:extLst>
            <a:ext uri="{FF2B5EF4-FFF2-40B4-BE49-F238E27FC236}">
              <a16:creationId xmlns:a16="http://schemas.microsoft.com/office/drawing/2014/main" id="{2712D7EA-2798-4830-A7E7-082F1028CF6B}"/>
            </a:ext>
          </a:extLst>
        </xdr:cNvPr>
        <xdr:cNvSpPr txBox="1"/>
      </xdr:nvSpPr>
      <xdr:spPr>
        <a:xfrm>
          <a:off x="17244820" y="55502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308</xdr:row>
      <xdr:rowOff>124458</xdr:rowOff>
    </xdr:from>
    <xdr:to>
      <xdr:col>11</xdr:col>
      <xdr:colOff>135382</xdr:colOff>
      <xdr:row>309</xdr:row>
      <xdr:rowOff>130171</xdr:rowOff>
    </xdr:to>
    <xdr:sp macro="_xll.PtreeEvent_ObjectClick" textlink="">
      <xdr:nvSpPr>
        <xdr:cNvPr id="625" name="PTObj_DNode_1_153">
          <a:extLst>
            <a:ext uri="{FF2B5EF4-FFF2-40B4-BE49-F238E27FC236}">
              <a16:creationId xmlns:a16="http://schemas.microsoft.com/office/drawing/2014/main" id="{192140E1-9D36-4CB4-8D5C-B585CAE32730}"/>
            </a:ext>
          </a:extLst>
        </xdr:cNvPr>
        <xdr:cNvSpPr/>
      </xdr:nvSpPr>
      <xdr:spPr>
        <a:xfrm>
          <a:off x="19819747" y="558647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308</xdr:row>
      <xdr:rowOff>127491</xdr:rowOff>
    </xdr:from>
    <xdr:ext cx="514858" cy="180627"/>
    <xdr:sp macro="_xll.PtreeEvent_ObjectClick" textlink="">
      <xdr:nvSpPr>
        <xdr:cNvPr id="628" name="PTObj_DBranchName_1_153">
          <a:extLst>
            <a:ext uri="{FF2B5EF4-FFF2-40B4-BE49-F238E27FC236}">
              <a16:creationId xmlns:a16="http://schemas.microsoft.com/office/drawing/2014/main" id="{98068C68-5CEB-4256-960C-EFDA7218F381}"/>
            </a:ext>
          </a:extLst>
        </xdr:cNvPr>
        <xdr:cNvSpPr txBox="1"/>
      </xdr:nvSpPr>
      <xdr:spPr>
        <a:xfrm>
          <a:off x="18666904" y="55867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310</xdr:row>
      <xdr:rowOff>135891</xdr:rowOff>
    </xdr:from>
    <xdr:to>
      <xdr:col>12</xdr:col>
      <xdr:colOff>131572</xdr:colOff>
      <xdr:row>311</xdr:row>
      <xdr:rowOff>130176</xdr:rowOff>
    </xdr:to>
    <xdr:sp macro="_xll.PtreeEvent_ObjectClick" textlink="">
      <xdr:nvSpPr>
        <xdr:cNvPr id="629" name="PTObj_DNode_1_154">
          <a:extLst>
            <a:ext uri="{FF2B5EF4-FFF2-40B4-BE49-F238E27FC236}">
              <a16:creationId xmlns:a16="http://schemas.microsoft.com/office/drawing/2014/main" id="{6216FE78-2ABE-4EBA-BFC7-1B5903EA6B59}"/>
            </a:ext>
          </a:extLst>
        </xdr:cNvPr>
        <xdr:cNvSpPr/>
      </xdr:nvSpPr>
      <xdr:spPr>
        <a:xfrm rot="-5400000">
          <a:off x="21248498" y="562343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310</xdr:row>
      <xdr:rowOff>133204</xdr:rowOff>
    </xdr:from>
    <xdr:ext cx="514858" cy="180627"/>
    <xdr:sp macro="_xll.PtreeEvent_ObjectClick" textlink="">
      <xdr:nvSpPr>
        <xdr:cNvPr id="632" name="PTObj_DBranchName_1_154">
          <a:extLst>
            <a:ext uri="{FF2B5EF4-FFF2-40B4-BE49-F238E27FC236}">
              <a16:creationId xmlns:a16="http://schemas.microsoft.com/office/drawing/2014/main" id="{B1A48E14-3760-427F-BF2C-D9DC4B82C383}"/>
            </a:ext>
          </a:extLst>
        </xdr:cNvPr>
        <xdr:cNvSpPr txBox="1"/>
      </xdr:nvSpPr>
      <xdr:spPr>
        <a:xfrm>
          <a:off x="20094701" y="562354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314</xdr:row>
      <xdr:rowOff>135892</xdr:rowOff>
    </xdr:from>
    <xdr:to>
      <xdr:col>9</xdr:col>
      <xdr:colOff>150622</xdr:colOff>
      <xdr:row>315</xdr:row>
      <xdr:rowOff>133986</xdr:rowOff>
    </xdr:to>
    <xdr:sp macro="_xll.PtreeEvent_ObjectClick" textlink="">
      <xdr:nvSpPr>
        <xdr:cNvPr id="633" name="PTObj_DNode_1_156">
          <a:extLst>
            <a:ext uri="{FF2B5EF4-FFF2-40B4-BE49-F238E27FC236}">
              <a16:creationId xmlns:a16="http://schemas.microsoft.com/office/drawing/2014/main" id="{73FE444C-E94C-4C51-957F-F04A7F390029}"/>
            </a:ext>
          </a:extLst>
        </xdr:cNvPr>
        <xdr:cNvSpPr/>
      </xdr:nvSpPr>
      <xdr:spPr>
        <a:xfrm>
          <a:off x="16969867" y="569620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314</xdr:row>
      <xdr:rowOff>133205</xdr:rowOff>
    </xdr:from>
    <xdr:ext cx="568424" cy="180627"/>
    <xdr:sp macro="_xll.PtreeEvent_ObjectClick" textlink="">
      <xdr:nvSpPr>
        <xdr:cNvPr id="636" name="PTObj_DBranchName_1_156">
          <a:extLst>
            <a:ext uri="{FF2B5EF4-FFF2-40B4-BE49-F238E27FC236}">
              <a16:creationId xmlns:a16="http://schemas.microsoft.com/office/drawing/2014/main" id="{45EE2ACD-1AA0-42E6-AC37-168AAFF05980}"/>
            </a:ext>
          </a:extLst>
        </xdr:cNvPr>
        <xdr:cNvSpPr txBox="1"/>
      </xdr:nvSpPr>
      <xdr:spPr>
        <a:xfrm>
          <a:off x="15820834" y="569593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316</xdr:row>
      <xdr:rowOff>139700</xdr:rowOff>
    </xdr:from>
    <xdr:to>
      <xdr:col>10</xdr:col>
      <xdr:colOff>131573</xdr:colOff>
      <xdr:row>317</xdr:row>
      <xdr:rowOff>135889</xdr:rowOff>
    </xdr:to>
    <xdr:sp macro="_xll.PtreeEvent_ObjectClick" textlink="">
      <xdr:nvSpPr>
        <xdr:cNvPr id="637" name="PTObj_DNode_1_157">
          <a:extLst>
            <a:ext uri="{FF2B5EF4-FFF2-40B4-BE49-F238E27FC236}">
              <a16:creationId xmlns:a16="http://schemas.microsoft.com/office/drawing/2014/main" id="{2A61D3ED-E1D2-49F1-92AA-50E7B2E9E40C}"/>
            </a:ext>
          </a:extLst>
        </xdr:cNvPr>
        <xdr:cNvSpPr/>
      </xdr:nvSpPr>
      <xdr:spPr>
        <a:xfrm>
          <a:off x="18394807" y="57327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316</xdr:row>
      <xdr:rowOff>137019</xdr:rowOff>
    </xdr:from>
    <xdr:ext cx="514858" cy="180627"/>
    <xdr:sp macro="_xll.PtreeEvent_ObjectClick" textlink="">
      <xdr:nvSpPr>
        <xdr:cNvPr id="640" name="PTObj_DBranchName_1_157">
          <a:extLst>
            <a:ext uri="{FF2B5EF4-FFF2-40B4-BE49-F238E27FC236}">
              <a16:creationId xmlns:a16="http://schemas.microsoft.com/office/drawing/2014/main" id="{F04F3AB6-3D3C-4F9E-8697-9D8AEB85415B}"/>
            </a:ext>
          </a:extLst>
        </xdr:cNvPr>
        <xdr:cNvSpPr txBox="1"/>
      </xdr:nvSpPr>
      <xdr:spPr>
        <a:xfrm>
          <a:off x="17244820" y="573251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318</xdr:row>
      <xdr:rowOff>143508</xdr:rowOff>
    </xdr:from>
    <xdr:to>
      <xdr:col>11</xdr:col>
      <xdr:colOff>135382</xdr:colOff>
      <xdr:row>319</xdr:row>
      <xdr:rowOff>132076</xdr:rowOff>
    </xdr:to>
    <xdr:sp macro="_xll.PtreeEvent_ObjectClick" textlink="">
      <xdr:nvSpPr>
        <xdr:cNvPr id="641" name="PTObj_DNode_1_158">
          <a:extLst>
            <a:ext uri="{FF2B5EF4-FFF2-40B4-BE49-F238E27FC236}">
              <a16:creationId xmlns:a16="http://schemas.microsoft.com/office/drawing/2014/main" id="{54813F19-D58D-40B3-B51E-247F21EEA3C8}"/>
            </a:ext>
          </a:extLst>
        </xdr:cNvPr>
        <xdr:cNvSpPr/>
      </xdr:nvSpPr>
      <xdr:spPr>
        <a:xfrm>
          <a:off x="19819747" y="576935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318</xdr:row>
      <xdr:rowOff>142731</xdr:rowOff>
    </xdr:from>
    <xdr:ext cx="514858" cy="180627"/>
    <xdr:sp macro="_xll.PtreeEvent_ObjectClick" textlink="">
      <xdr:nvSpPr>
        <xdr:cNvPr id="644" name="PTObj_DBranchName_1_158">
          <a:extLst>
            <a:ext uri="{FF2B5EF4-FFF2-40B4-BE49-F238E27FC236}">
              <a16:creationId xmlns:a16="http://schemas.microsoft.com/office/drawing/2014/main" id="{B9FC5D7D-4DC8-46EF-8D54-BDE381872026}"/>
            </a:ext>
          </a:extLst>
        </xdr:cNvPr>
        <xdr:cNvSpPr txBox="1"/>
      </xdr:nvSpPr>
      <xdr:spPr>
        <a:xfrm>
          <a:off x="18666904" y="57692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320</xdr:row>
      <xdr:rowOff>150178</xdr:rowOff>
    </xdr:from>
    <xdr:to>
      <xdr:col>12</xdr:col>
      <xdr:colOff>132525</xdr:colOff>
      <xdr:row>321</xdr:row>
      <xdr:rowOff>133033</xdr:rowOff>
    </xdr:to>
    <xdr:sp macro="_xll.PtreeEvent_ObjectClick" textlink="">
      <xdr:nvSpPr>
        <xdr:cNvPr id="645" name="PTObj_DNode_1_159">
          <a:extLst>
            <a:ext uri="{FF2B5EF4-FFF2-40B4-BE49-F238E27FC236}">
              <a16:creationId xmlns:a16="http://schemas.microsoft.com/office/drawing/2014/main" id="{85789029-5419-4E28-B3C0-3A84BB1F159B}"/>
            </a:ext>
          </a:extLst>
        </xdr:cNvPr>
        <xdr:cNvSpPr/>
      </xdr:nvSpPr>
      <xdr:spPr>
        <a:xfrm rot="-5400000">
          <a:off x="21248498" y="580574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320</xdr:row>
      <xdr:rowOff>146539</xdr:rowOff>
    </xdr:from>
    <xdr:ext cx="514858" cy="180627"/>
    <xdr:sp macro="_xll.PtreeEvent_ObjectClick" textlink="">
      <xdr:nvSpPr>
        <xdr:cNvPr id="648" name="PTObj_DBranchName_1_159">
          <a:extLst>
            <a:ext uri="{FF2B5EF4-FFF2-40B4-BE49-F238E27FC236}">
              <a16:creationId xmlns:a16="http://schemas.microsoft.com/office/drawing/2014/main" id="{EBFB5C09-B687-4E5E-A9D6-3186D875FC0D}"/>
            </a:ext>
          </a:extLst>
        </xdr:cNvPr>
        <xdr:cNvSpPr txBox="1"/>
      </xdr:nvSpPr>
      <xdr:spPr>
        <a:xfrm>
          <a:off x="20094701" y="58058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3</xdr:col>
      <xdr:colOff>1415542</xdr:colOff>
      <xdr:row>484</xdr:row>
      <xdr:rowOff>93979</xdr:rowOff>
    </xdr:from>
    <xdr:to>
      <xdr:col>4</xdr:col>
      <xdr:colOff>173483</xdr:colOff>
      <xdr:row>485</xdr:row>
      <xdr:rowOff>92073</xdr:rowOff>
    </xdr:to>
    <xdr:sp macro="_xll.PtreeEvent_ObjectClick" textlink="">
      <xdr:nvSpPr>
        <xdr:cNvPr id="649" name="PTObj_DNode_1_240">
          <a:extLst>
            <a:ext uri="{FF2B5EF4-FFF2-40B4-BE49-F238E27FC236}">
              <a16:creationId xmlns:a16="http://schemas.microsoft.com/office/drawing/2014/main" id="{D32053E6-188E-402E-86F3-27BC518B83FC}"/>
            </a:ext>
          </a:extLst>
        </xdr:cNvPr>
        <xdr:cNvSpPr/>
      </xdr:nvSpPr>
      <xdr:spPr>
        <a:xfrm>
          <a:off x="9845167" y="87685879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266509</xdr:colOff>
      <xdr:row>484</xdr:row>
      <xdr:rowOff>98917</xdr:rowOff>
    </xdr:from>
    <xdr:ext cx="566520" cy="180627"/>
    <xdr:sp macro="_xll.PtreeEvent_ObjectClick" textlink="">
      <xdr:nvSpPr>
        <xdr:cNvPr id="652" name="PTObj_DBranchName_1_240">
          <a:extLst>
            <a:ext uri="{FF2B5EF4-FFF2-40B4-BE49-F238E27FC236}">
              <a16:creationId xmlns:a16="http://schemas.microsoft.com/office/drawing/2014/main" id="{9EECCB8C-3605-4DAF-9B8A-F30783BA1ED8}"/>
            </a:ext>
          </a:extLst>
        </xdr:cNvPr>
        <xdr:cNvSpPr txBox="1"/>
      </xdr:nvSpPr>
      <xdr:spPr>
        <a:xfrm>
          <a:off x="8696134" y="8769081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4</xdr:col>
      <xdr:colOff>1411732</xdr:colOff>
      <xdr:row>403</xdr:row>
      <xdr:rowOff>122554</xdr:rowOff>
    </xdr:from>
    <xdr:to>
      <xdr:col>5</xdr:col>
      <xdr:colOff>169672</xdr:colOff>
      <xdr:row>404</xdr:row>
      <xdr:rowOff>133983</xdr:rowOff>
    </xdr:to>
    <xdr:sp macro="_xll.PtreeEvent_ObjectClick" textlink="">
      <xdr:nvSpPr>
        <xdr:cNvPr id="653" name="PTObj_DNode_1_200">
          <a:extLst>
            <a:ext uri="{FF2B5EF4-FFF2-40B4-BE49-F238E27FC236}">
              <a16:creationId xmlns:a16="http://schemas.microsoft.com/office/drawing/2014/main" id="{4FDFCB76-8AC1-4BCD-B3F8-D1274547C38F}"/>
            </a:ext>
          </a:extLst>
        </xdr:cNvPr>
        <xdr:cNvSpPr/>
      </xdr:nvSpPr>
      <xdr:spPr>
        <a:xfrm>
          <a:off x="11270107" y="73055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264605</xdr:colOff>
      <xdr:row>403</xdr:row>
      <xdr:rowOff>125587</xdr:rowOff>
    </xdr:from>
    <xdr:ext cx="566520" cy="180627"/>
    <xdr:sp macro="_xll.PtreeEvent_ObjectClick" textlink="">
      <xdr:nvSpPr>
        <xdr:cNvPr id="656" name="PTObj_DBranchName_1_200">
          <a:extLst>
            <a:ext uri="{FF2B5EF4-FFF2-40B4-BE49-F238E27FC236}">
              <a16:creationId xmlns:a16="http://schemas.microsoft.com/office/drawing/2014/main" id="{D82C8A5E-3A19-400F-A6B9-4F94AB667C7E}"/>
            </a:ext>
          </a:extLst>
        </xdr:cNvPr>
        <xdr:cNvSpPr txBox="1"/>
      </xdr:nvSpPr>
      <xdr:spPr>
        <a:xfrm>
          <a:off x="10122980" y="7305851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1407922</xdr:colOff>
      <xdr:row>363</xdr:row>
      <xdr:rowOff>46354</xdr:rowOff>
    </xdr:from>
    <xdr:to>
      <xdr:col>6</xdr:col>
      <xdr:colOff>167767</xdr:colOff>
      <xdr:row>364</xdr:row>
      <xdr:rowOff>53973</xdr:rowOff>
    </xdr:to>
    <xdr:sp macro="_xll.PtreeEvent_ObjectClick" textlink="">
      <xdr:nvSpPr>
        <xdr:cNvPr id="657" name="PTObj_DNode_1_180">
          <a:extLst>
            <a:ext uri="{FF2B5EF4-FFF2-40B4-BE49-F238E27FC236}">
              <a16:creationId xmlns:a16="http://schemas.microsoft.com/office/drawing/2014/main" id="{40030337-1752-4B2A-B5FD-F61603D1C8D1}"/>
            </a:ext>
          </a:extLst>
        </xdr:cNvPr>
        <xdr:cNvSpPr/>
      </xdr:nvSpPr>
      <xdr:spPr>
        <a:xfrm>
          <a:off x="12695047" y="65740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363</xdr:row>
      <xdr:rowOff>49387</xdr:rowOff>
    </xdr:from>
    <xdr:ext cx="568424" cy="180627"/>
    <xdr:sp macro="_xll.PtreeEvent_ObjectClick" textlink="">
      <xdr:nvSpPr>
        <xdr:cNvPr id="660" name="PTObj_DBranchName_1_180">
          <a:extLst>
            <a:ext uri="{FF2B5EF4-FFF2-40B4-BE49-F238E27FC236}">
              <a16:creationId xmlns:a16="http://schemas.microsoft.com/office/drawing/2014/main" id="{A684F78F-67AE-4A91-B251-BF073C03B0D4}"/>
            </a:ext>
          </a:extLst>
        </xdr:cNvPr>
        <xdr:cNvSpPr txBox="1"/>
      </xdr:nvSpPr>
      <xdr:spPr>
        <a:xfrm>
          <a:off x="11548872" y="65743312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343</xdr:row>
      <xdr:rowOff>8254</xdr:rowOff>
    </xdr:from>
    <xdr:to>
      <xdr:col>7</xdr:col>
      <xdr:colOff>171578</xdr:colOff>
      <xdr:row>344</xdr:row>
      <xdr:rowOff>19683</xdr:rowOff>
    </xdr:to>
    <xdr:sp macro="_xll.PtreeEvent_ObjectClick" textlink="">
      <xdr:nvSpPr>
        <xdr:cNvPr id="661" name="PTObj_DNode_1_170">
          <a:extLst>
            <a:ext uri="{FF2B5EF4-FFF2-40B4-BE49-F238E27FC236}">
              <a16:creationId xmlns:a16="http://schemas.microsoft.com/office/drawing/2014/main" id="{D11D59EE-2138-491A-875A-40CE62048920}"/>
            </a:ext>
          </a:extLst>
        </xdr:cNvPr>
        <xdr:cNvSpPr/>
      </xdr:nvSpPr>
      <xdr:spPr>
        <a:xfrm>
          <a:off x="14119988" y="62082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343</xdr:row>
      <xdr:rowOff>11287</xdr:rowOff>
    </xdr:from>
    <xdr:ext cx="566520" cy="180627"/>
    <xdr:sp macro="_xll.PtreeEvent_ObjectClick" textlink="">
      <xdr:nvSpPr>
        <xdr:cNvPr id="664" name="PTObj_DBranchName_1_170">
          <a:extLst>
            <a:ext uri="{FF2B5EF4-FFF2-40B4-BE49-F238E27FC236}">
              <a16:creationId xmlns:a16="http://schemas.microsoft.com/office/drawing/2014/main" id="{267648D6-B381-4F47-B4A1-26783BE21FF9}"/>
            </a:ext>
          </a:extLst>
        </xdr:cNvPr>
        <xdr:cNvSpPr txBox="1"/>
      </xdr:nvSpPr>
      <xdr:spPr>
        <a:xfrm>
          <a:off x="12976669" y="6208571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332</xdr:row>
      <xdr:rowOff>170179</xdr:rowOff>
    </xdr:from>
    <xdr:to>
      <xdr:col>8</xdr:col>
      <xdr:colOff>154432</xdr:colOff>
      <xdr:row>333</xdr:row>
      <xdr:rowOff>172083</xdr:rowOff>
    </xdr:to>
    <xdr:sp macro="_xll.PtreeEvent_ObjectClick" textlink="">
      <xdr:nvSpPr>
        <xdr:cNvPr id="665" name="PTObj_DNode_1_165">
          <a:extLst>
            <a:ext uri="{FF2B5EF4-FFF2-40B4-BE49-F238E27FC236}">
              <a16:creationId xmlns:a16="http://schemas.microsoft.com/office/drawing/2014/main" id="{565CC817-56B2-487C-BDF1-D8997B9F4F60}"/>
            </a:ext>
          </a:extLst>
        </xdr:cNvPr>
        <xdr:cNvSpPr/>
      </xdr:nvSpPr>
      <xdr:spPr>
        <a:xfrm>
          <a:off x="15544927" y="60253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332</xdr:row>
      <xdr:rowOff>175117</xdr:rowOff>
    </xdr:from>
    <xdr:ext cx="566519" cy="180627"/>
    <xdr:sp macro="_xll.PtreeEvent_ObjectClick" textlink="">
      <xdr:nvSpPr>
        <xdr:cNvPr id="668" name="PTObj_DBranchName_1_165">
          <a:extLst>
            <a:ext uri="{FF2B5EF4-FFF2-40B4-BE49-F238E27FC236}">
              <a16:creationId xmlns:a16="http://schemas.microsoft.com/office/drawing/2014/main" id="{4121B888-28E1-45EB-BE24-9241C0792086}"/>
            </a:ext>
          </a:extLst>
        </xdr:cNvPr>
        <xdr:cNvSpPr txBox="1"/>
      </xdr:nvSpPr>
      <xdr:spPr>
        <a:xfrm>
          <a:off x="14398752" y="60258817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324</xdr:row>
      <xdr:rowOff>154942</xdr:rowOff>
    </xdr:from>
    <xdr:to>
      <xdr:col>9</xdr:col>
      <xdr:colOff>150622</xdr:colOff>
      <xdr:row>325</xdr:row>
      <xdr:rowOff>168276</xdr:rowOff>
    </xdr:to>
    <xdr:sp macro="_xll.PtreeEvent_ObjectClick" textlink="">
      <xdr:nvSpPr>
        <xdr:cNvPr id="669" name="PTObj_DNode_1_161">
          <a:extLst>
            <a:ext uri="{FF2B5EF4-FFF2-40B4-BE49-F238E27FC236}">
              <a16:creationId xmlns:a16="http://schemas.microsoft.com/office/drawing/2014/main" id="{0591689C-708A-468B-BD2F-4E2980276569}"/>
            </a:ext>
          </a:extLst>
        </xdr:cNvPr>
        <xdr:cNvSpPr/>
      </xdr:nvSpPr>
      <xdr:spPr>
        <a:xfrm>
          <a:off x="16969867" y="587908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324</xdr:row>
      <xdr:rowOff>156065</xdr:rowOff>
    </xdr:from>
    <xdr:ext cx="568424" cy="180627"/>
    <xdr:sp macro="_xll.PtreeEvent_ObjectClick" textlink="">
      <xdr:nvSpPr>
        <xdr:cNvPr id="672" name="PTObj_DBranchName_1_161">
          <a:extLst>
            <a:ext uri="{FF2B5EF4-FFF2-40B4-BE49-F238E27FC236}">
              <a16:creationId xmlns:a16="http://schemas.microsoft.com/office/drawing/2014/main" id="{B5FCDD6C-B13E-4C2C-B51D-4F5FE709A7C2}"/>
            </a:ext>
          </a:extLst>
        </xdr:cNvPr>
        <xdr:cNvSpPr txBox="1"/>
      </xdr:nvSpPr>
      <xdr:spPr>
        <a:xfrm>
          <a:off x="15820834" y="587919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326</xdr:row>
      <xdr:rowOff>158750</xdr:rowOff>
    </xdr:from>
    <xdr:to>
      <xdr:col>10</xdr:col>
      <xdr:colOff>131573</xdr:colOff>
      <xdr:row>327</xdr:row>
      <xdr:rowOff>172084</xdr:rowOff>
    </xdr:to>
    <xdr:sp macro="_xll.PtreeEvent_ObjectClick" textlink="">
      <xdr:nvSpPr>
        <xdr:cNvPr id="673" name="PTObj_DNode_1_162">
          <a:extLst>
            <a:ext uri="{FF2B5EF4-FFF2-40B4-BE49-F238E27FC236}">
              <a16:creationId xmlns:a16="http://schemas.microsoft.com/office/drawing/2014/main" id="{E695E69A-B568-4412-AF1F-0F6C1A38B582}"/>
            </a:ext>
          </a:extLst>
        </xdr:cNvPr>
        <xdr:cNvSpPr/>
      </xdr:nvSpPr>
      <xdr:spPr>
        <a:xfrm>
          <a:off x="18394807" y="59156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326</xdr:row>
      <xdr:rowOff>161784</xdr:rowOff>
    </xdr:from>
    <xdr:ext cx="514858" cy="180627"/>
    <xdr:sp macro="_xll.PtreeEvent_ObjectClick" textlink="">
      <xdr:nvSpPr>
        <xdr:cNvPr id="676" name="PTObj_DBranchName_1_162">
          <a:extLst>
            <a:ext uri="{FF2B5EF4-FFF2-40B4-BE49-F238E27FC236}">
              <a16:creationId xmlns:a16="http://schemas.microsoft.com/office/drawing/2014/main" id="{A42C9B16-B2B6-435F-8501-7265893CA8A7}"/>
            </a:ext>
          </a:extLst>
        </xdr:cNvPr>
        <xdr:cNvSpPr txBox="1"/>
      </xdr:nvSpPr>
      <xdr:spPr>
        <a:xfrm>
          <a:off x="17244820" y="59159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328</xdr:row>
      <xdr:rowOff>162558</xdr:rowOff>
    </xdr:from>
    <xdr:to>
      <xdr:col>11</xdr:col>
      <xdr:colOff>135382</xdr:colOff>
      <xdr:row>329</xdr:row>
      <xdr:rowOff>168271</xdr:rowOff>
    </xdr:to>
    <xdr:sp macro="_xll.PtreeEvent_ObjectClick" textlink="">
      <xdr:nvSpPr>
        <xdr:cNvPr id="677" name="PTObj_DNode_1_163">
          <a:extLst>
            <a:ext uri="{FF2B5EF4-FFF2-40B4-BE49-F238E27FC236}">
              <a16:creationId xmlns:a16="http://schemas.microsoft.com/office/drawing/2014/main" id="{5369DA4D-DA09-48F5-AC1B-3DC4082B262B}"/>
            </a:ext>
          </a:extLst>
        </xdr:cNvPr>
        <xdr:cNvSpPr/>
      </xdr:nvSpPr>
      <xdr:spPr>
        <a:xfrm>
          <a:off x="19819747" y="595223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328</xdr:row>
      <xdr:rowOff>165591</xdr:rowOff>
    </xdr:from>
    <xdr:ext cx="514858" cy="180627"/>
    <xdr:sp macro="_xll.PtreeEvent_ObjectClick" textlink="">
      <xdr:nvSpPr>
        <xdr:cNvPr id="680" name="PTObj_DBranchName_1_163">
          <a:extLst>
            <a:ext uri="{FF2B5EF4-FFF2-40B4-BE49-F238E27FC236}">
              <a16:creationId xmlns:a16="http://schemas.microsoft.com/office/drawing/2014/main" id="{AC0E5982-61D7-4222-9B65-9282C989F653}"/>
            </a:ext>
          </a:extLst>
        </xdr:cNvPr>
        <xdr:cNvSpPr txBox="1"/>
      </xdr:nvSpPr>
      <xdr:spPr>
        <a:xfrm>
          <a:off x="18666904" y="59525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330</xdr:row>
      <xdr:rowOff>173991</xdr:rowOff>
    </xdr:from>
    <xdr:to>
      <xdr:col>12</xdr:col>
      <xdr:colOff>131572</xdr:colOff>
      <xdr:row>331</xdr:row>
      <xdr:rowOff>168276</xdr:rowOff>
    </xdr:to>
    <xdr:sp macro="_xll.PtreeEvent_ObjectClick" textlink="">
      <xdr:nvSpPr>
        <xdr:cNvPr id="681" name="PTObj_DNode_1_164">
          <a:extLst>
            <a:ext uri="{FF2B5EF4-FFF2-40B4-BE49-F238E27FC236}">
              <a16:creationId xmlns:a16="http://schemas.microsoft.com/office/drawing/2014/main" id="{F655A3EE-9821-41D5-85AD-19366DF3280A}"/>
            </a:ext>
          </a:extLst>
        </xdr:cNvPr>
        <xdr:cNvSpPr/>
      </xdr:nvSpPr>
      <xdr:spPr>
        <a:xfrm rot="-5400000">
          <a:off x="21248498" y="598919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330</xdr:row>
      <xdr:rowOff>171304</xdr:rowOff>
    </xdr:from>
    <xdr:ext cx="514858" cy="180627"/>
    <xdr:sp macro="_xll.PtreeEvent_ObjectClick" textlink="">
      <xdr:nvSpPr>
        <xdr:cNvPr id="684" name="PTObj_DBranchName_1_164">
          <a:extLst>
            <a:ext uri="{FF2B5EF4-FFF2-40B4-BE49-F238E27FC236}">
              <a16:creationId xmlns:a16="http://schemas.microsoft.com/office/drawing/2014/main" id="{85946372-E152-4D31-8F3D-8B9C4052EB88}"/>
            </a:ext>
          </a:extLst>
        </xdr:cNvPr>
        <xdr:cNvSpPr txBox="1"/>
      </xdr:nvSpPr>
      <xdr:spPr>
        <a:xfrm>
          <a:off x="20094701" y="598930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334</xdr:row>
      <xdr:rowOff>173992</xdr:rowOff>
    </xdr:from>
    <xdr:to>
      <xdr:col>9</xdr:col>
      <xdr:colOff>150622</xdr:colOff>
      <xdr:row>335</xdr:row>
      <xdr:rowOff>172086</xdr:rowOff>
    </xdr:to>
    <xdr:sp macro="_xll.PtreeEvent_ObjectClick" textlink="">
      <xdr:nvSpPr>
        <xdr:cNvPr id="685" name="PTObj_DNode_1_166">
          <a:extLst>
            <a:ext uri="{FF2B5EF4-FFF2-40B4-BE49-F238E27FC236}">
              <a16:creationId xmlns:a16="http://schemas.microsoft.com/office/drawing/2014/main" id="{4C322911-1283-42E8-8921-E1B4D16191C3}"/>
            </a:ext>
          </a:extLst>
        </xdr:cNvPr>
        <xdr:cNvSpPr/>
      </xdr:nvSpPr>
      <xdr:spPr>
        <a:xfrm>
          <a:off x="16969867" y="606196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334</xdr:row>
      <xdr:rowOff>171305</xdr:rowOff>
    </xdr:from>
    <xdr:ext cx="568424" cy="180627"/>
    <xdr:sp macro="_xll.PtreeEvent_ObjectClick" textlink="">
      <xdr:nvSpPr>
        <xdr:cNvPr id="688" name="PTObj_DBranchName_1_166">
          <a:extLst>
            <a:ext uri="{FF2B5EF4-FFF2-40B4-BE49-F238E27FC236}">
              <a16:creationId xmlns:a16="http://schemas.microsoft.com/office/drawing/2014/main" id="{268EC413-0540-401C-B149-09147E219441}"/>
            </a:ext>
          </a:extLst>
        </xdr:cNvPr>
        <xdr:cNvSpPr txBox="1"/>
      </xdr:nvSpPr>
      <xdr:spPr>
        <a:xfrm>
          <a:off x="15820834" y="606169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336</xdr:row>
      <xdr:rowOff>177800</xdr:rowOff>
    </xdr:from>
    <xdr:to>
      <xdr:col>10</xdr:col>
      <xdr:colOff>131573</xdr:colOff>
      <xdr:row>337</xdr:row>
      <xdr:rowOff>173989</xdr:rowOff>
    </xdr:to>
    <xdr:sp macro="_xll.PtreeEvent_ObjectClick" textlink="">
      <xdr:nvSpPr>
        <xdr:cNvPr id="689" name="PTObj_DNode_1_167">
          <a:extLst>
            <a:ext uri="{FF2B5EF4-FFF2-40B4-BE49-F238E27FC236}">
              <a16:creationId xmlns:a16="http://schemas.microsoft.com/office/drawing/2014/main" id="{DED7CA6E-0B6D-497A-AEB5-D8D6CCB60727}"/>
            </a:ext>
          </a:extLst>
        </xdr:cNvPr>
        <xdr:cNvSpPr/>
      </xdr:nvSpPr>
      <xdr:spPr>
        <a:xfrm>
          <a:off x="18394807" y="60985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336</xdr:row>
      <xdr:rowOff>175119</xdr:rowOff>
    </xdr:from>
    <xdr:ext cx="514858" cy="180627"/>
    <xdr:sp macro="_xll.PtreeEvent_ObjectClick" textlink="">
      <xdr:nvSpPr>
        <xdr:cNvPr id="692" name="PTObj_DBranchName_1_167">
          <a:extLst>
            <a:ext uri="{FF2B5EF4-FFF2-40B4-BE49-F238E27FC236}">
              <a16:creationId xmlns:a16="http://schemas.microsoft.com/office/drawing/2014/main" id="{A1E56762-2195-42C3-9BC6-3CEB8E08E006}"/>
            </a:ext>
          </a:extLst>
        </xdr:cNvPr>
        <xdr:cNvSpPr txBox="1"/>
      </xdr:nvSpPr>
      <xdr:spPr>
        <a:xfrm>
          <a:off x="17244820" y="609827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339</xdr:row>
      <xdr:rowOff>633</xdr:rowOff>
    </xdr:from>
    <xdr:to>
      <xdr:col>11</xdr:col>
      <xdr:colOff>135382</xdr:colOff>
      <xdr:row>340</xdr:row>
      <xdr:rowOff>2536</xdr:rowOff>
    </xdr:to>
    <xdr:sp macro="_xll.PtreeEvent_ObjectClick" textlink="">
      <xdr:nvSpPr>
        <xdr:cNvPr id="693" name="PTObj_DNode_1_168">
          <a:extLst>
            <a:ext uri="{FF2B5EF4-FFF2-40B4-BE49-F238E27FC236}">
              <a16:creationId xmlns:a16="http://schemas.microsoft.com/office/drawing/2014/main" id="{D18C254C-6617-440A-A9C7-73E8E671BF0F}"/>
            </a:ext>
          </a:extLst>
        </xdr:cNvPr>
        <xdr:cNvSpPr/>
      </xdr:nvSpPr>
      <xdr:spPr>
        <a:xfrm>
          <a:off x="19819747" y="613511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339</xdr:row>
      <xdr:rowOff>1761</xdr:rowOff>
    </xdr:from>
    <xdr:ext cx="514858" cy="180627"/>
    <xdr:sp macro="_xll.PtreeEvent_ObjectClick" textlink="">
      <xdr:nvSpPr>
        <xdr:cNvPr id="696" name="PTObj_DBranchName_1_168">
          <a:extLst>
            <a:ext uri="{FF2B5EF4-FFF2-40B4-BE49-F238E27FC236}">
              <a16:creationId xmlns:a16="http://schemas.microsoft.com/office/drawing/2014/main" id="{BBE165C1-55BD-4B70-88C9-94D63EFCDF6D}"/>
            </a:ext>
          </a:extLst>
        </xdr:cNvPr>
        <xdr:cNvSpPr txBox="1"/>
      </xdr:nvSpPr>
      <xdr:spPr>
        <a:xfrm>
          <a:off x="18666904" y="61352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341</xdr:row>
      <xdr:rowOff>10161</xdr:rowOff>
    </xdr:from>
    <xdr:to>
      <xdr:col>12</xdr:col>
      <xdr:colOff>131572</xdr:colOff>
      <xdr:row>342</xdr:row>
      <xdr:rowOff>19686</xdr:rowOff>
    </xdr:to>
    <xdr:sp macro="_xll.PtreeEvent_ObjectClick" textlink="">
      <xdr:nvSpPr>
        <xdr:cNvPr id="697" name="PTObj_DNode_1_169">
          <a:extLst>
            <a:ext uri="{FF2B5EF4-FFF2-40B4-BE49-F238E27FC236}">
              <a16:creationId xmlns:a16="http://schemas.microsoft.com/office/drawing/2014/main" id="{4ECE3453-8515-41C8-92E6-92673EB1E9C6}"/>
            </a:ext>
          </a:extLst>
        </xdr:cNvPr>
        <xdr:cNvSpPr/>
      </xdr:nvSpPr>
      <xdr:spPr>
        <a:xfrm rot="-5400000">
          <a:off x="21248498" y="617188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341</xdr:row>
      <xdr:rowOff>7474</xdr:rowOff>
    </xdr:from>
    <xdr:ext cx="514858" cy="180627"/>
    <xdr:sp macro="_xll.PtreeEvent_ObjectClick" textlink="">
      <xdr:nvSpPr>
        <xdr:cNvPr id="700" name="PTObj_DBranchName_1_169">
          <a:extLst>
            <a:ext uri="{FF2B5EF4-FFF2-40B4-BE49-F238E27FC236}">
              <a16:creationId xmlns:a16="http://schemas.microsoft.com/office/drawing/2014/main" id="{E57040AA-BE4F-44AF-B595-11B597D0B510}"/>
            </a:ext>
          </a:extLst>
        </xdr:cNvPr>
        <xdr:cNvSpPr txBox="1"/>
      </xdr:nvSpPr>
      <xdr:spPr>
        <a:xfrm>
          <a:off x="20094701" y="617199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353</xdr:row>
      <xdr:rowOff>27304</xdr:rowOff>
    </xdr:from>
    <xdr:to>
      <xdr:col>8</xdr:col>
      <xdr:colOff>154432</xdr:colOff>
      <xdr:row>354</xdr:row>
      <xdr:rowOff>21588</xdr:rowOff>
    </xdr:to>
    <xdr:sp macro="_xll.PtreeEvent_ObjectClick" textlink="">
      <xdr:nvSpPr>
        <xdr:cNvPr id="701" name="PTObj_DNode_1_175">
          <a:extLst>
            <a:ext uri="{FF2B5EF4-FFF2-40B4-BE49-F238E27FC236}">
              <a16:creationId xmlns:a16="http://schemas.microsoft.com/office/drawing/2014/main" id="{3C3F31C5-DA30-4B3A-918E-63943C6F647C}"/>
            </a:ext>
          </a:extLst>
        </xdr:cNvPr>
        <xdr:cNvSpPr/>
      </xdr:nvSpPr>
      <xdr:spPr>
        <a:xfrm>
          <a:off x="15544927" y="63911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353</xdr:row>
      <xdr:rowOff>26527</xdr:rowOff>
    </xdr:from>
    <xdr:ext cx="568425" cy="180627"/>
    <xdr:sp macro="_xll.PtreeEvent_ObjectClick" textlink="">
      <xdr:nvSpPr>
        <xdr:cNvPr id="704" name="PTObj_DBranchName_1_175">
          <a:extLst>
            <a:ext uri="{FF2B5EF4-FFF2-40B4-BE49-F238E27FC236}">
              <a16:creationId xmlns:a16="http://schemas.microsoft.com/office/drawing/2014/main" id="{747A1467-7F01-4172-A253-01279B1EB03D}"/>
            </a:ext>
          </a:extLst>
        </xdr:cNvPr>
        <xdr:cNvSpPr txBox="1"/>
      </xdr:nvSpPr>
      <xdr:spPr>
        <a:xfrm>
          <a:off x="14400657" y="6391070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345</xdr:row>
      <xdr:rowOff>12067</xdr:rowOff>
    </xdr:from>
    <xdr:to>
      <xdr:col>9</xdr:col>
      <xdr:colOff>150622</xdr:colOff>
      <xdr:row>346</xdr:row>
      <xdr:rowOff>21591</xdr:rowOff>
    </xdr:to>
    <xdr:sp macro="_xll.PtreeEvent_ObjectClick" textlink="">
      <xdr:nvSpPr>
        <xdr:cNvPr id="705" name="PTObj_DNode_1_171">
          <a:extLst>
            <a:ext uri="{FF2B5EF4-FFF2-40B4-BE49-F238E27FC236}">
              <a16:creationId xmlns:a16="http://schemas.microsoft.com/office/drawing/2014/main" id="{CFE9A7B1-64E4-44E8-B683-814D44173978}"/>
            </a:ext>
          </a:extLst>
        </xdr:cNvPr>
        <xdr:cNvSpPr/>
      </xdr:nvSpPr>
      <xdr:spPr>
        <a:xfrm>
          <a:off x="16969867" y="624484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345</xdr:row>
      <xdr:rowOff>17000</xdr:rowOff>
    </xdr:from>
    <xdr:ext cx="568424" cy="180627"/>
    <xdr:sp macro="_xll.PtreeEvent_ObjectClick" textlink="">
      <xdr:nvSpPr>
        <xdr:cNvPr id="708" name="PTObj_DBranchName_1_171">
          <a:extLst>
            <a:ext uri="{FF2B5EF4-FFF2-40B4-BE49-F238E27FC236}">
              <a16:creationId xmlns:a16="http://schemas.microsoft.com/office/drawing/2014/main" id="{10A589B2-4562-444C-8DAC-B47038D04732}"/>
            </a:ext>
          </a:extLst>
        </xdr:cNvPr>
        <xdr:cNvSpPr txBox="1"/>
      </xdr:nvSpPr>
      <xdr:spPr>
        <a:xfrm>
          <a:off x="15820834" y="624533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347</xdr:row>
      <xdr:rowOff>15875</xdr:rowOff>
    </xdr:from>
    <xdr:to>
      <xdr:col>10</xdr:col>
      <xdr:colOff>135383</xdr:colOff>
      <xdr:row>348</xdr:row>
      <xdr:rowOff>21589</xdr:rowOff>
    </xdr:to>
    <xdr:sp macro="_xll.PtreeEvent_ObjectClick" textlink="">
      <xdr:nvSpPr>
        <xdr:cNvPr id="709" name="PTObj_DNode_1_172">
          <a:extLst>
            <a:ext uri="{FF2B5EF4-FFF2-40B4-BE49-F238E27FC236}">
              <a16:creationId xmlns:a16="http://schemas.microsoft.com/office/drawing/2014/main" id="{3211A4E9-D36B-4501-90D5-57C049CB2060}"/>
            </a:ext>
          </a:extLst>
        </xdr:cNvPr>
        <xdr:cNvSpPr/>
      </xdr:nvSpPr>
      <xdr:spPr>
        <a:xfrm>
          <a:off x="18394807" y="62814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347</xdr:row>
      <xdr:rowOff>20814</xdr:rowOff>
    </xdr:from>
    <xdr:ext cx="514858" cy="180627"/>
    <xdr:sp macro="_xll.PtreeEvent_ObjectClick" textlink="">
      <xdr:nvSpPr>
        <xdr:cNvPr id="712" name="PTObj_DBranchName_1_172">
          <a:extLst>
            <a:ext uri="{FF2B5EF4-FFF2-40B4-BE49-F238E27FC236}">
              <a16:creationId xmlns:a16="http://schemas.microsoft.com/office/drawing/2014/main" id="{22DC0FD8-6A08-48AA-AEE1-006E5052C423}"/>
            </a:ext>
          </a:extLst>
        </xdr:cNvPr>
        <xdr:cNvSpPr txBox="1"/>
      </xdr:nvSpPr>
      <xdr:spPr>
        <a:xfrm>
          <a:off x="17244820" y="62819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349</xdr:row>
      <xdr:rowOff>19683</xdr:rowOff>
    </xdr:from>
    <xdr:to>
      <xdr:col>11</xdr:col>
      <xdr:colOff>131572</xdr:colOff>
      <xdr:row>350</xdr:row>
      <xdr:rowOff>21586</xdr:rowOff>
    </xdr:to>
    <xdr:sp macro="_xll.PtreeEvent_ObjectClick" textlink="">
      <xdr:nvSpPr>
        <xdr:cNvPr id="713" name="PTObj_DNode_1_173">
          <a:extLst>
            <a:ext uri="{FF2B5EF4-FFF2-40B4-BE49-F238E27FC236}">
              <a16:creationId xmlns:a16="http://schemas.microsoft.com/office/drawing/2014/main" id="{5B5BD91A-A84F-41C2-9508-A067BDC42D1C}"/>
            </a:ext>
          </a:extLst>
        </xdr:cNvPr>
        <xdr:cNvSpPr/>
      </xdr:nvSpPr>
      <xdr:spPr>
        <a:xfrm>
          <a:off x="19819747" y="631799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349</xdr:row>
      <xdr:rowOff>17001</xdr:rowOff>
    </xdr:from>
    <xdr:ext cx="514858" cy="180627"/>
    <xdr:sp macro="_xll.PtreeEvent_ObjectClick" textlink="">
      <xdr:nvSpPr>
        <xdr:cNvPr id="716" name="PTObj_DBranchName_1_173">
          <a:extLst>
            <a:ext uri="{FF2B5EF4-FFF2-40B4-BE49-F238E27FC236}">
              <a16:creationId xmlns:a16="http://schemas.microsoft.com/office/drawing/2014/main" id="{828A991E-CFF5-4BA4-886D-B0F20ADFE58B}"/>
            </a:ext>
          </a:extLst>
        </xdr:cNvPr>
        <xdr:cNvSpPr txBox="1"/>
      </xdr:nvSpPr>
      <xdr:spPr>
        <a:xfrm>
          <a:off x="18666904" y="63177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351</xdr:row>
      <xdr:rowOff>23496</xdr:rowOff>
    </xdr:from>
    <xdr:to>
      <xdr:col>12</xdr:col>
      <xdr:colOff>135382</xdr:colOff>
      <xdr:row>352</xdr:row>
      <xdr:rowOff>21591</xdr:rowOff>
    </xdr:to>
    <xdr:sp macro="_xll.PtreeEvent_ObjectClick" textlink="">
      <xdr:nvSpPr>
        <xdr:cNvPr id="717" name="PTObj_DNode_1_174">
          <a:extLst>
            <a:ext uri="{FF2B5EF4-FFF2-40B4-BE49-F238E27FC236}">
              <a16:creationId xmlns:a16="http://schemas.microsoft.com/office/drawing/2014/main" id="{71BC1C78-D74A-4F76-8176-74183C0D412A}"/>
            </a:ext>
          </a:extLst>
        </xdr:cNvPr>
        <xdr:cNvSpPr/>
      </xdr:nvSpPr>
      <xdr:spPr>
        <a:xfrm rot="-5400000">
          <a:off x="21248498" y="635419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351</xdr:row>
      <xdr:rowOff>20809</xdr:rowOff>
    </xdr:from>
    <xdr:ext cx="514858" cy="180627"/>
    <xdr:sp macro="_xll.PtreeEvent_ObjectClick" textlink="">
      <xdr:nvSpPr>
        <xdr:cNvPr id="720" name="PTObj_DBranchName_1_174">
          <a:extLst>
            <a:ext uri="{FF2B5EF4-FFF2-40B4-BE49-F238E27FC236}">
              <a16:creationId xmlns:a16="http://schemas.microsoft.com/office/drawing/2014/main" id="{9B9AFE6A-F825-4C94-A98E-B2FD145403BC}"/>
            </a:ext>
          </a:extLst>
        </xdr:cNvPr>
        <xdr:cNvSpPr txBox="1"/>
      </xdr:nvSpPr>
      <xdr:spPr>
        <a:xfrm>
          <a:off x="20094701" y="63543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355</xdr:row>
      <xdr:rowOff>31117</xdr:rowOff>
    </xdr:from>
    <xdr:to>
      <xdr:col>9</xdr:col>
      <xdr:colOff>150622</xdr:colOff>
      <xdr:row>356</xdr:row>
      <xdr:rowOff>17781</xdr:rowOff>
    </xdr:to>
    <xdr:sp macro="_xll.PtreeEvent_ObjectClick" textlink="">
      <xdr:nvSpPr>
        <xdr:cNvPr id="721" name="PTObj_DNode_1_176">
          <a:extLst>
            <a:ext uri="{FF2B5EF4-FFF2-40B4-BE49-F238E27FC236}">
              <a16:creationId xmlns:a16="http://schemas.microsoft.com/office/drawing/2014/main" id="{6F84591F-20E5-4476-9205-D6692A68BF5C}"/>
            </a:ext>
          </a:extLst>
        </xdr:cNvPr>
        <xdr:cNvSpPr/>
      </xdr:nvSpPr>
      <xdr:spPr>
        <a:xfrm>
          <a:off x="16969867" y="642772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355</xdr:row>
      <xdr:rowOff>30335</xdr:rowOff>
    </xdr:from>
    <xdr:ext cx="568424" cy="180627"/>
    <xdr:sp macro="_xll.PtreeEvent_ObjectClick" textlink="">
      <xdr:nvSpPr>
        <xdr:cNvPr id="724" name="PTObj_DBranchName_1_176">
          <a:extLst>
            <a:ext uri="{FF2B5EF4-FFF2-40B4-BE49-F238E27FC236}">
              <a16:creationId xmlns:a16="http://schemas.microsoft.com/office/drawing/2014/main" id="{1CD152BE-BC2A-4C2D-9085-D77E8613C98A}"/>
            </a:ext>
          </a:extLst>
        </xdr:cNvPr>
        <xdr:cNvSpPr txBox="1"/>
      </xdr:nvSpPr>
      <xdr:spPr>
        <a:xfrm>
          <a:off x="15820834" y="64276460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357</xdr:row>
      <xdr:rowOff>34925</xdr:rowOff>
    </xdr:from>
    <xdr:to>
      <xdr:col>10</xdr:col>
      <xdr:colOff>135383</xdr:colOff>
      <xdr:row>358</xdr:row>
      <xdr:rowOff>36829</xdr:rowOff>
    </xdr:to>
    <xdr:sp macro="_xll.PtreeEvent_ObjectClick" textlink="">
      <xdr:nvSpPr>
        <xdr:cNvPr id="725" name="PTObj_DNode_1_177">
          <a:extLst>
            <a:ext uri="{FF2B5EF4-FFF2-40B4-BE49-F238E27FC236}">
              <a16:creationId xmlns:a16="http://schemas.microsoft.com/office/drawing/2014/main" id="{F43B68D9-C5E2-4C8D-9FDC-8E59A87F3C31}"/>
            </a:ext>
          </a:extLst>
        </xdr:cNvPr>
        <xdr:cNvSpPr/>
      </xdr:nvSpPr>
      <xdr:spPr>
        <a:xfrm>
          <a:off x="18394807" y="64643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357</xdr:row>
      <xdr:rowOff>36054</xdr:rowOff>
    </xdr:from>
    <xdr:ext cx="514858" cy="180627"/>
    <xdr:sp macro="_xll.PtreeEvent_ObjectClick" textlink="">
      <xdr:nvSpPr>
        <xdr:cNvPr id="728" name="PTObj_DBranchName_1_177">
          <a:extLst>
            <a:ext uri="{FF2B5EF4-FFF2-40B4-BE49-F238E27FC236}">
              <a16:creationId xmlns:a16="http://schemas.microsoft.com/office/drawing/2014/main" id="{6EABDAD0-5294-441F-9C15-7B97416E2C74}"/>
            </a:ext>
          </a:extLst>
        </xdr:cNvPr>
        <xdr:cNvSpPr txBox="1"/>
      </xdr:nvSpPr>
      <xdr:spPr>
        <a:xfrm>
          <a:off x="17244820" y="646441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359</xdr:row>
      <xdr:rowOff>38733</xdr:rowOff>
    </xdr:from>
    <xdr:to>
      <xdr:col>11</xdr:col>
      <xdr:colOff>131572</xdr:colOff>
      <xdr:row>360</xdr:row>
      <xdr:rowOff>40636</xdr:rowOff>
    </xdr:to>
    <xdr:sp macro="_xll.PtreeEvent_ObjectClick" textlink="">
      <xdr:nvSpPr>
        <xdr:cNvPr id="729" name="PTObj_DNode_1_178">
          <a:extLst>
            <a:ext uri="{FF2B5EF4-FFF2-40B4-BE49-F238E27FC236}">
              <a16:creationId xmlns:a16="http://schemas.microsoft.com/office/drawing/2014/main" id="{B343B60B-35B5-427E-B5C7-5D7DFC3EA637}"/>
            </a:ext>
          </a:extLst>
        </xdr:cNvPr>
        <xdr:cNvSpPr/>
      </xdr:nvSpPr>
      <xdr:spPr>
        <a:xfrm>
          <a:off x="19819747" y="650087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359</xdr:row>
      <xdr:rowOff>39861</xdr:rowOff>
    </xdr:from>
    <xdr:ext cx="514858" cy="180627"/>
    <xdr:sp macro="_xll.PtreeEvent_ObjectClick" textlink="">
      <xdr:nvSpPr>
        <xdr:cNvPr id="732" name="PTObj_DBranchName_1_178">
          <a:extLst>
            <a:ext uri="{FF2B5EF4-FFF2-40B4-BE49-F238E27FC236}">
              <a16:creationId xmlns:a16="http://schemas.microsoft.com/office/drawing/2014/main" id="{B481E7A3-0544-48CE-892C-9E8E0DDB4DBE}"/>
            </a:ext>
          </a:extLst>
        </xdr:cNvPr>
        <xdr:cNvSpPr txBox="1"/>
      </xdr:nvSpPr>
      <xdr:spPr>
        <a:xfrm>
          <a:off x="18666904" y="65009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361</xdr:row>
      <xdr:rowOff>48261</xdr:rowOff>
    </xdr:from>
    <xdr:to>
      <xdr:col>12</xdr:col>
      <xdr:colOff>135382</xdr:colOff>
      <xdr:row>362</xdr:row>
      <xdr:rowOff>53976</xdr:rowOff>
    </xdr:to>
    <xdr:sp macro="_xll.PtreeEvent_ObjectClick" textlink="">
      <xdr:nvSpPr>
        <xdr:cNvPr id="733" name="PTObj_DNode_1_179">
          <a:extLst>
            <a:ext uri="{FF2B5EF4-FFF2-40B4-BE49-F238E27FC236}">
              <a16:creationId xmlns:a16="http://schemas.microsoft.com/office/drawing/2014/main" id="{6432A929-A9C9-4597-A6F0-83FEF10E88D6}"/>
            </a:ext>
          </a:extLst>
        </xdr:cNvPr>
        <xdr:cNvSpPr/>
      </xdr:nvSpPr>
      <xdr:spPr>
        <a:xfrm rot="-5400000">
          <a:off x="21248498" y="653764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361</xdr:row>
      <xdr:rowOff>45574</xdr:rowOff>
    </xdr:from>
    <xdr:ext cx="514858" cy="180627"/>
    <xdr:sp macro="_xll.PtreeEvent_ObjectClick" textlink="">
      <xdr:nvSpPr>
        <xdr:cNvPr id="736" name="PTObj_DBranchName_1_179">
          <a:extLst>
            <a:ext uri="{FF2B5EF4-FFF2-40B4-BE49-F238E27FC236}">
              <a16:creationId xmlns:a16="http://schemas.microsoft.com/office/drawing/2014/main" id="{5662CA85-5C8D-484E-A1F8-F15AAEB5CD42}"/>
            </a:ext>
          </a:extLst>
        </xdr:cNvPr>
        <xdr:cNvSpPr txBox="1"/>
      </xdr:nvSpPr>
      <xdr:spPr>
        <a:xfrm>
          <a:off x="20094701" y="653775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383</xdr:row>
      <xdr:rowOff>84454</xdr:rowOff>
    </xdr:from>
    <xdr:to>
      <xdr:col>7</xdr:col>
      <xdr:colOff>167768</xdr:colOff>
      <xdr:row>384</xdr:row>
      <xdr:rowOff>92073</xdr:rowOff>
    </xdr:to>
    <xdr:sp macro="_xll.PtreeEvent_ObjectClick" textlink="">
      <xdr:nvSpPr>
        <xdr:cNvPr id="737" name="PTObj_DNode_1_190">
          <a:extLst>
            <a:ext uri="{FF2B5EF4-FFF2-40B4-BE49-F238E27FC236}">
              <a16:creationId xmlns:a16="http://schemas.microsoft.com/office/drawing/2014/main" id="{2ED2E5A3-135F-477D-8BAF-BD8E6CAEF7A6}"/>
            </a:ext>
          </a:extLst>
        </xdr:cNvPr>
        <xdr:cNvSpPr/>
      </xdr:nvSpPr>
      <xdr:spPr>
        <a:xfrm>
          <a:off x="14119988" y="69397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383</xdr:row>
      <xdr:rowOff>87487</xdr:rowOff>
    </xdr:from>
    <xdr:ext cx="566520" cy="180627"/>
    <xdr:sp macro="_xll.PtreeEvent_ObjectClick" textlink="">
      <xdr:nvSpPr>
        <xdr:cNvPr id="740" name="PTObj_DBranchName_1_190">
          <a:extLst>
            <a:ext uri="{FF2B5EF4-FFF2-40B4-BE49-F238E27FC236}">
              <a16:creationId xmlns:a16="http://schemas.microsoft.com/office/drawing/2014/main" id="{35F60310-A36D-47A1-90C3-8B908F64BCD0}"/>
            </a:ext>
          </a:extLst>
        </xdr:cNvPr>
        <xdr:cNvSpPr txBox="1"/>
      </xdr:nvSpPr>
      <xdr:spPr>
        <a:xfrm>
          <a:off x="12974765" y="6940091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373</xdr:row>
      <xdr:rowOff>65404</xdr:rowOff>
    </xdr:from>
    <xdr:to>
      <xdr:col>8</xdr:col>
      <xdr:colOff>154432</xdr:colOff>
      <xdr:row>374</xdr:row>
      <xdr:rowOff>59688</xdr:rowOff>
    </xdr:to>
    <xdr:sp macro="_xll.PtreeEvent_ObjectClick" textlink="">
      <xdr:nvSpPr>
        <xdr:cNvPr id="741" name="PTObj_DNode_1_185">
          <a:extLst>
            <a:ext uri="{FF2B5EF4-FFF2-40B4-BE49-F238E27FC236}">
              <a16:creationId xmlns:a16="http://schemas.microsoft.com/office/drawing/2014/main" id="{5A556094-EDA0-429B-9B7F-3E6F39A143C0}"/>
            </a:ext>
          </a:extLst>
        </xdr:cNvPr>
        <xdr:cNvSpPr/>
      </xdr:nvSpPr>
      <xdr:spPr>
        <a:xfrm>
          <a:off x="15544927" y="67569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373</xdr:row>
      <xdr:rowOff>64627</xdr:rowOff>
    </xdr:from>
    <xdr:ext cx="566519" cy="180627"/>
    <xdr:sp macro="_xll.PtreeEvent_ObjectClick" textlink="">
      <xdr:nvSpPr>
        <xdr:cNvPr id="744" name="PTObj_DBranchName_1_185">
          <a:extLst>
            <a:ext uri="{FF2B5EF4-FFF2-40B4-BE49-F238E27FC236}">
              <a16:creationId xmlns:a16="http://schemas.microsoft.com/office/drawing/2014/main" id="{233352FF-16ED-4F6C-A70D-05CDAC04A1FA}"/>
            </a:ext>
          </a:extLst>
        </xdr:cNvPr>
        <xdr:cNvSpPr txBox="1"/>
      </xdr:nvSpPr>
      <xdr:spPr>
        <a:xfrm>
          <a:off x="14398752" y="6756830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365</xdr:row>
      <xdr:rowOff>50167</xdr:rowOff>
    </xdr:from>
    <xdr:to>
      <xdr:col>9</xdr:col>
      <xdr:colOff>150622</xdr:colOff>
      <xdr:row>366</xdr:row>
      <xdr:rowOff>59691</xdr:rowOff>
    </xdr:to>
    <xdr:sp macro="_xll.PtreeEvent_ObjectClick" textlink="">
      <xdr:nvSpPr>
        <xdr:cNvPr id="745" name="PTObj_DNode_1_181">
          <a:extLst>
            <a:ext uri="{FF2B5EF4-FFF2-40B4-BE49-F238E27FC236}">
              <a16:creationId xmlns:a16="http://schemas.microsoft.com/office/drawing/2014/main" id="{B2EEEF14-677D-43F1-9948-196BBAFD3BE6}"/>
            </a:ext>
          </a:extLst>
        </xdr:cNvPr>
        <xdr:cNvSpPr/>
      </xdr:nvSpPr>
      <xdr:spPr>
        <a:xfrm>
          <a:off x="16969867" y="661060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365</xdr:row>
      <xdr:rowOff>55100</xdr:rowOff>
    </xdr:from>
    <xdr:ext cx="568424" cy="180627"/>
    <xdr:sp macro="_xll.PtreeEvent_ObjectClick" textlink="">
      <xdr:nvSpPr>
        <xdr:cNvPr id="748" name="PTObj_DBranchName_1_181">
          <a:extLst>
            <a:ext uri="{FF2B5EF4-FFF2-40B4-BE49-F238E27FC236}">
              <a16:creationId xmlns:a16="http://schemas.microsoft.com/office/drawing/2014/main" id="{82546B76-5331-4BCF-A33A-84600EB8F632}"/>
            </a:ext>
          </a:extLst>
        </xdr:cNvPr>
        <xdr:cNvSpPr txBox="1"/>
      </xdr:nvSpPr>
      <xdr:spPr>
        <a:xfrm>
          <a:off x="15820834" y="661109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367</xdr:row>
      <xdr:rowOff>53975</xdr:rowOff>
    </xdr:from>
    <xdr:to>
      <xdr:col>10</xdr:col>
      <xdr:colOff>135383</xdr:colOff>
      <xdr:row>368</xdr:row>
      <xdr:rowOff>59689</xdr:rowOff>
    </xdr:to>
    <xdr:sp macro="_xll.PtreeEvent_ObjectClick" textlink="">
      <xdr:nvSpPr>
        <xdr:cNvPr id="749" name="PTObj_DNode_1_182">
          <a:extLst>
            <a:ext uri="{FF2B5EF4-FFF2-40B4-BE49-F238E27FC236}">
              <a16:creationId xmlns:a16="http://schemas.microsoft.com/office/drawing/2014/main" id="{69640F8E-18C7-4C89-9581-3E08E1A57EFD}"/>
            </a:ext>
          </a:extLst>
        </xdr:cNvPr>
        <xdr:cNvSpPr/>
      </xdr:nvSpPr>
      <xdr:spPr>
        <a:xfrm>
          <a:off x="18394807" y="66471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367</xdr:row>
      <xdr:rowOff>58914</xdr:rowOff>
    </xdr:from>
    <xdr:ext cx="514858" cy="180627"/>
    <xdr:sp macro="_xll.PtreeEvent_ObjectClick" textlink="">
      <xdr:nvSpPr>
        <xdr:cNvPr id="752" name="PTObj_DBranchName_1_182">
          <a:extLst>
            <a:ext uri="{FF2B5EF4-FFF2-40B4-BE49-F238E27FC236}">
              <a16:creationId xmlns:a16="http://schemas.microsoft.com/office/drawing/2014/main" id="{0F94A34B-A83C-4347-83DE-59692B9A7C4B}"/>
            </a:ext>
          </a:extLst>
        </xdr:cNvPr>
        <xdr:cNvSpPr txBox="1"/>
      </xdr:nvSpPr>
      <xdr:spPr>
        <a:xfrm>
          <a:off x="17244820" y="66476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369</xdr:row>
      <xdr:rowOff>57783</xdr:rowOff>
    </xdr:from>
    <xdr:to>
      <xdr:col>11</xdr:col>
      <xdr:colOff>131572</xdr:colOff>
      <xdr:row>370</xdr:row>
      <xdr:rowOff>59686</xdr:rowOff>
    </xdr:to>
    <xdr:sp macro="_xll.PtreeEvent_ObjectClick" textlink="">
      <xdr:nvSpPr>
        <xdr:cNvPr id="753" name="PTObj_DNode_1_183">
          <a:extLst>
            <a:ext uri="{FF2B5EF4-FFF2-40B4-BE49-F238E27FC236}">
              <a16:creationId xmlns:a16="http://schemas.microsoft.com/office/drawing/2014/main" id="{1AC071A3-DB3A-4FDD-9CCD-62D69618DD24}"/>
            </a:ext>
          </a:extLst>
        </xdr:cNvPr>
        <xdr:cNvSpPr/>
      </xdr:nvSpPr>
      <xdr:spPr>
        <a:xfrm>
          <a:off x="19819747" y="668375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369</xdr:row>
      <xdr:rowOff>55101</xdr:rowOff>
    </xdr:from>
    <xdr:ext cx="514858" cy="180627"/>
    <xdr:sp macro="_xll.PtreeEvent_ObjectClick" textlink="">
      <xdr:nvSpPr>
        <xdr:cNvPr id="756" name="PTObj_DBranchName_1_183">
          <a:extLst>
            <a:ext uri="{FF2B5EF4-FFF2-40B4-BE49-F238E27FC236}">
              <a16:creationId xmlns:a16="http://schemas.microsoft.com/office/drawing/2014/main" id="{A1EAA4BF-F49B-4809-965B-9696BF22E4AB}"/>
            </a:ext>
          </a:extLst>
        </xdr:cNvPr>
        <xdr:cNvSpPr txBox="1"/>
      </xdr:nvSpPr>
      <xdr:spPr>
        <a:xfrm>
          <a:off x="18666904" y="66834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371</xdr:row>
      <xdr:rowOff>61596</xdr:rowOff>
    </xdr:from>
    <xdr:to>
      <xdr:col>12</xdr:col>
      <xdr:colOff>135382</xdr:colOff>
      <xdr:row>372</xdr:row>
      <xdr:rowOff>59691</xdr:rowOff>
    </xdr:to>
    <xdr:sp macro="_xll.PtreeEvent_ObjectClick" textlink="">
      <xdr:nvSpPr>
        <xdr:cNvPr id="757" name="PTObj_DNode_1_184">
          <a:extLst>
            <a:ext uri="{FF2B5EF4-FFF2-40B4-BE49-F238E27FC236}">
              <a16:creationId xmlns:a16="http://schemas.microsoft.com/office/drawing/2014/main" id="{7774F4D0-33ED-445B-BB51-B690342B37C5}"/>
            </a:ext>
          </a:extLst>
        </xdr:cNvPr>
        <xdr:cNvSpPr/>
      </xdr:nvSpPr>
      <xdr:spPr>
        <a:xfrm rot="-5400000">
          <a:off x="21248498" y="671995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371</xdr:row>
      <xdr:rowOff>58909</xdr:rowOff>
    </xdr:from>
    <xdr:ext cx="514858" cy="180627"/>
    <xdr:sp macro="_xll.PtreeEvent_ObjectClick" textlink="">
      <xdr:nvSpPr>
        <xdr:cNvPr id="760" name="PTObj_DBranchName_1_184">
          <a:extLst>
            <a:ext uri="{FF2B5EF4-FFF2-40B4-BE49-F238E27FC236}">
              <a16:creationId xmlns:a16="http://schemas.microsoft.com/office/drawing/2014/main" id="{C2FF08B3-D961-4DBD-A756-0BF1420DD651}"/>
            </a:ext>
          </a:extLst>
        </xdr:cNvPr>
        <xdr:cNvSpPr txBox="1"/>
      </xdr:nvSpPr>
      <xdr:spPr>
        <a:xfrm>
          <a:off x="20094701" y="67200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375</xdr:row>
      <xdr:rowOff>69217</xdr:rowOff>
    </xdr:from>
    <xdr:to>
      <xdr:col>9</xdr:col>
      <xdr:colOff>150622</xdr:colOff>
      <xdr:row>376</xdr:row>
      <xdr:rowOff>55881</xdr:rowOff>
    </xdr:to>
    <xdr:sp macro="_xll.PtreeEvent_ObjectClick" textlink="">
      <xdr:nvSpPr>
        <xdr:cNvPr id="761" name="PTObj_DNode_1_186">
          <a:extLst>
            <a:ext uri="{FF2B5EF4-FFF2-40B4-BE49-F238E27FC236}">
              <a16:creationId xmlns:a16="http://schemas.microsoft.com/office/drawing/2014/main" id="{94A6D7B8-215C-484B-9469-80B46C5C981A}"/>
            </a:ext>
          </a:extLst>
        </xdr:cNvPr>
        <xdr:cNvSpPr/>
      </xdr:nvSpPr>
      <xdr:spPr>
        <a:xfrm>
          <a:off x="16969867" y="679348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375</xdr:row>
      <xdr:rowOff>68435</xdr:rowOff>
    </xdr:from>
    <xdr:ext cx="568424" cy="180627"/>
    <xdr:sp macro="_xll.PtreeEvent_ObjectClick" textlink="">
      <xdr:nvSpPr>
        <xdr:cNvPr id="764" name="PTObj_DBranchName_1_186">
          <a:extLst>
            <a:ext uri="{FF2B5EF4-FFF2-40B4-BE49-F238E27FC236}">
              <a16:creationId xmlns:a16="http://schemas.microsoft.com/office/drawing/2014/main" id="{267492AD-8DBA-43CD-9566-8D71102211C6}"/>
            </a:ext>
          </a:extLst>
        </xdr:cNvPr>
        <xdr:cNvSpPr txBox="1"/>
      </xdr:nvSpPr>
      <xdr:spPr>
        <a:xfrm>
          <a:off x="15820834" y="67934060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377</xdr:row>
      <xdr:rowOff>73025</xdr:rowOff>
    </xdr:from>
    <xdr:to>
      <xdr:col>10</xdr:col>
      <xdr:colOff>135383</xdr:colOff>
      <xdr:row>378</xdr:row>
      <xdr:rowOff>74929</xdr:rowOff>
    </xdr:to>
    <xdr:sp macro="_xll.PtreeEvent_ObjectClick" textlink="">
      <xdr:nvSpPr>
        <xdr:cNvPr id="765" name="PTObj_DNode_1_187">
          <a:extLst>
            <a:ext uri="{FF2B5EF4-FFF2-40B4-BE49-F238E27FC236}">
              <a16:creationId xmlns:a16="http://schemas.microsoft.com/office/drawing/2014/main" id="{1D0FFEFF-8476-4451-AF1B-8C365BE8A325}"/>
            </a:ext>
          </a:extLst>
        </xdr:cNvPr>
        <xdr:cNvSpPr/>
      </xdr:nvSpPr>
      <xdr:spPr>
        <a:xfrm>
          <a:off x="18394807" y="68300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377</xdr:row>
      <xdr:rowOff>74154</xdr:rowOff>
    </xdr:from>
    <xdr:ext cx="514858" cy="180627"/>
    <xdr:sp macro="_xll.PtreeEvent_ObjectClick" textlink="">
      <xdr:nvSpPr>
        <xdr:cNvPr id="768" name="PTObj_DBranchName_1_187">
          <a:extLst>
            <a:ext uri="{FF2B5EF4-FFF2-40B4-BE49-F238E27FC236}">
              <a16:creationId xmlns:a16="http://schemas.microsoft.com/office/drawing/2014/main" id="{8E5CA33B-B252-4087-8693-5C5BC24B48D8}"/>
            </a:ext>
          </a:extLst>
        </xdr:cNvPr>
        <xdr:cNvSpPr txBox="1"/>
      </xdr:nvSpPr>
      <xdr:spPr>
        <a:xfrm>
          <a:off x="17244820" y="683017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379</xdr:row>
      <xdr:rowOff>76833</xdr:rowOff>
    </xdr:from>
    <xdr:to>
      <xdr:col>11</xdr:col>
      <xdr:colOff>131572</xdr:colOff>
      <xdr:row>380</xdr:row>
      <xdr:rowOff>78736</xdr:rowOff>
    </xdr:to>
    <xdr:sp macro="_xll.PtreeEvent_ObjectClick" textlink="">
      <xdr:nvSpPr>
        <xdr:cNvPr id="769" name="PTObj_DNode_1_188">
          <a:extLst>
            <a:ext uri="{FF2B5EF4-FFF2-40B4-BE49-F238E27FC236}">
              <a16:creationId xmlns:a16="http://schemas.microsoft.com/office/drawing/2014/main" id="{54033869-2E90-4064-97BF-880E34E39936}"/>
            </a:ext>
          </a:extLst>
        </xdr:cNvPr>
        <xdr:cNvSpPr/>
      </xdr:nvSpPr>
      <xdr:spPr>
        <a:xfrm>
          <a:off x="19819747" y="686663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379</xdr:row>
      <xdr:rowOff>77961</xdr:rowOff>
    </xdr:from>
    <xdr:ext cx="514858" cy="180627"/>
    <xdr:sp macro="_xll.PtreeEvent_ObjectClick" textlink="">
      <xdr:nvSpPr>
        <xdr:cNvPr id="772" name="PTObj_DBranchName_1_188">
          <a:extLst>
            <a:ext uri="{FF2B5EF4-FFF2-40B4-BE49-F238E27FC236}">
              <a16:creationId xmlns:a16="http://schemas.microsoft.com/office/drawing/2014/main" id="{D84ECD0B-D85C-482B-BF13-FCC9998499FD}"/>
            </a:ext>
          </a:extLst>
        </xdr:cNvPr>
        <xdr:cNvSpPr txBox="1"/>
      </xdr:nvSpPr>
      <xdr:spPr>
        <a:xfrm>
          <a:off x="18666904" y="68667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381</xdr:row>
      <xdr:rowOff>86361</xdr:rowOff>
    </xdr:from>
    <xdr:to>
      <xdr:col>12</xdr:col>
      <xdr:colOff>135382</xdr:colOff>
      <xdr:row>382</xdr:row>
      <xdr:rowOff>92076</xdr:rowOff>
    </xdr:to>
    <xdr:sp macro="_xll.PtreeEvent_ObjectClick" textlink="">
      <xdr:nvSpPr>
        <xdr:cNvPr id="773" name="PTObj_DNode_1_189">
          <a:extLst>
            <a:ext uri="{FF2B5EF4-FFF2-40B4-BE49-F238E27FC236}">
              <a16:creationId xmlns:a16="http://schemas.microsoft.com/office/drawing/2014/main" id="{20869B35-7827-42DC-AF50-6BDAAE75FA0C}"/>
            </a:ext>
          </a:extLst>
        </xdr:cNvPr>
        <xdr:cNvSpPr/>
      </xdr:nvSpPr>
      <xdr:spPr>
        <a:xfrm rot="-5400000">
          <a:off x="21248498" y="690340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381</xdr:row>
      <xdr:rowOff>83674</xdr:rowOff>
    </xdr:from>
    <xdr:ext cx="514858" cy="180627"/>
    <xdr:sp macro="_xll.PtreeEvent_ObjectClick" textlink="">
      <xdr:nvSpPr>
        <xdr:cNvPr id="776" name="PTObj_DBranchName_1_189">
          <a:extLst>
            <a:ext uri="{FF2B5EF4-FFF2-40B4-BE49-F238E27FC236}">
              <a16:creationId xmlns:a16="http://schemas.microsoft.com/office/drawing/2014/main" id="{D39174F5-FD2B-4A8F-988A-AE1ADA5D1619}"/>
            </a:ext>
          </a:extLst>
        </xdr:cNvPr>
        <xdr:cNvSpPr txBox="1"/>
      </xdr:nvSpPr>
      <xdr:spPr>
        <a:xfrm>
          <a:off x="20094701" y="690351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393</xdr:row>
      <xdr:rowOff>103504</xdr:rowOff>
    </xdr:from>
    <xdr:to>
      <xdr:col>8</xdr:col>
      <xdr:colOff>154432</xdr:colOff>
      <xdr:row>394</xdr:row>
      <xdr:rowOff>93978</xdr:rowOff>
    </xdr:to>
    <xdr:sp macro="_xll.PtreeEvent_ObjectClick" textlink="">
      <xdr:nvSpPr>
        <xdr:cNvPr id="777" name="PTObj_DNode_1_195">
          <a:extLst>
            <a:ext uri="{FF2B5EF4-FFF2-40B4-BE49-F238E27FC236}">
              <a16:creationId xmlns:a16="http://schemas.microsoft.com/office/drawing/2014/main" id="{D00834A4-CB6C-44BE-A90F-AD84AC0BF29B}"/>
            </a:ext>
          </a:extLst>
        </xdr:cNvPr>
        <xdr:cNvSpPr/>
      </xdr:nvSpPr>
      <xdr:spPr>
        <a:xfrm>
          <a:off x="15544927" y="71226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393</xdr:row>
      <xdr:rowOff>102727</xdr:rowOff>
    </xdr:from>
    <xdr:ext cx="568425" cy="180627"/>
    <xdr:sp macro="_xll.PtreeEvent_ObjectClick" textlink="">
      <xdr:nvSpPr>
        <xdr:cNvPr id="780" name="PTObj_DBranchName_1_195">
          <a:extLst>
            <a:ext uri="{FF2B5EF4-FFF2-40B4-BE49-F238E27FC236}">
              <a16:creationId xmlns:a16="http://schemas.microsoft.com/office/drawing/2014/main" id="{B6986200-85FB-4CC7-88F7-67E9CDC50FC8}"/>
            </a:ext>
          </a:extLst>
        </xdr:cNvPr>
        <xdr:cNvSpPr txBox="1"/>
      </xdr:nvSpPr>
      <xdr:spPr>
        <a:xfrm>
          <a:off x="14400657" y="7122590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385</xdr:row>
      <xdr:rowOff>88267</xdr:rowOff>
    </xdr:from>
    <xdr:to>
      <xdr:col>9</xdr:col>
      <xdr:colOff>150622</xdr:colOff>
      <xdr:row>386</xdr:row>
      <xdr:rowOff>93981</xdr:rowOff>
    </xdr:to>
    <xdr:sp macro="_xll.PtreeEvent_ObjectClick" textlink="">
      <xdr:nvSpPr>
        <xdr:cNvPr id="781" name="PTObj_DNode_1_191">
          <a:extLst>
            <a:ext uri="{FF2B5EF4-FFF2-40B4-BE49-F238E27FC236}">
              <a16:creationId xmlns:a16="http://schemas.microsoft.com/office/drawing/2014/main" id="{8A732C9A-9091-476B-9384-D5C9B4D83E77}"/>
            </a:ext>
          </a:extLst>
        </xdr:cNvPr>
        <xdr:cNvSpPr/>
      </xdr:nvSpPr>
      <xdr:spPr>
        <a:xfrm>
          <a:off x="16969867" y="697636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385</xdr:row>
      <xdr:rowOff>93200</xdr:rowOff>
    </xdr:from>
    <xdr:ext cx="568424" cy="180627"/>
    <xdr:sp macro="_xll.PtreeEvent_ObjectClick" textlink="">
      <xdr:nvSpPr>
        <xdr:cNvPr id="784" name="PTObj_DBranchName_1_191">
          <a:extLst>
            <a:ext uri="{FF2B5EF4-FFF2-40B4-BE49-F238E27FC236}">
              <a16:creationId xmlns:a16="http://schemas.microsoft.com/office/drawing/2014/main" id="{9B935110-A48D-42BC-A55B-C31F56364A0E}"/>
            </a:ext>
          </a:extLst>
        </xdr:cNvPr>
        <xdr:cNvSpPr txBox="1"/>
      </xdr:nvSpPr>
      <xdr:spPr>
        <a:xfrm>
          <a:off x="15820834" y="697685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387</xdr:row>
      <xdr:rowOff>92075</xdr:rowOff>
    </xdr:from>
    <xdr:to>
      <xdr:col>10</xdr:col>
      <xdr:colOff>131573</xdr:colOff>
      <xdr:row>388</xdr:row>
      <xdr:rowOff>93979</xdr:rowOff>
    </xdr:to>
    <xdr:sp macro="_xll.PtreeEvent_ObjectClick" textlink="">
      <xdr:nvSpPr>
        <xdr:cNvPr id="785" name="PTObj_DNode_1_192">
          <a:extLst>
            <a:ext uri="{FF2B5EF4-FFF2-40B4-BE49-F238E27FC236}">
              <a16:creationId xmlns:a16="http://schemas.microsoft.com/office/drawing/2014/main" id="{12CE503D-80B9-4834-8F33-6E9368AE7349}"/>
            </a:ext>
          </a:extLst>
        </xdr:cNvPr>
        <xdr:cNvSpPr/>
      </xdr:nvSpPr>
      <xdr:spPr>
        <a:xfrm>
          <a:off x="18394807" y="70129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387</xdr:row>
      <xdr:rowOff>97014</xdr:rowOff>
    </xdr:from>
    <xdr:ext cx="514858" cy="180627"/>
    <xdr:sp macro="_xll.PtreeEvent_ObjectClick" textlink="">
      <xdr:nvSpPr>
        <xdr:cNvPr id="788" name="PTObj_DBranchName_1_192">
          <a:extLst>
            <a:ext uri="{FF2B5EF4-FFF2-40B4-BE49-F238E27FC236}">
              <a16:creationId xmlns:a16="http://schemas.microsoft.com/office/drawing/2014/main" id="{A1A08CFE-0A23-4908-B595-D1FEDF8217B9}"/>
            </a:ext>
          </a:extLst>
        </xdr:cNvPr>
        <xdr:cNvSpPr txBox="1"/>
      </xdr:nvSpPr>
      <xdr:spPr>
        <a:xfrm>
          <a:off x="17244820" y="70134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389</xdr:row>
      <xdr:rowOff>95883</xdr:rowOff>
    </xdr:from>
    <xdr:to>
      <xdr:col>11</xdr:col>
      <xdr:colOff>135382</xdr:colOff>
      <xdr:row>390</xdr:row>
      <xdr:rowOff>93976</xdr:rowOff>
    </xdr:to>
    <xdr:sp macro="_xll.PtreeEvent_ObjectClick" textlink="">
      <xdr:nvSpPr>
        <xdr:cNvPr id="789" name="PTObj_DNode_1_193">
          <a:extLst>
            <a:ext uri="{FF2B5EF4-FFF2-40B4-BE49-F238E27FC236}">
              <a16:creationId xmlns:a16="http://schemas.microsoft.com/office/drawing/2014/main" id="{0C5B7511-C96F-4E09-9CC7-4452B3895EC5}"/>
            </a:ext>
          </a:extLst>
        </xdr:cNvPr>
        <xdr:cNvSpPr/>
      </xdr:nvSpPr>
      <xdr:spPr>
        <a:xfrm>
          <a:off x="19819747" y="704951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389</xdr:row>
      <xdr:rowOff>93201</xdr:rowOff>
    </xdr:from>
    <xdr:ext cx="514858" cy="180627"/>
    <xdr:sp macro="_xll.PtreeEvent_ObjectClick" textlink="">
      <xdr:nvSpPr>
        <xdr:cNvPr id="792" name="PTObj_DBranchName_1_193">
          <a:extLst>
            <a:ext uri="{FF2B5EF4-FFF2-40B4-BE49-F238E27FC236}">
              <a16:creationId xmlns:a16="http://schemas.microsoft.com/office/drawing/2014/main" id="{87F0E76E-9727-442D-8892-516305CAA8DB}"/>
            </a:ext>
          </a:extLst>
        </xdr:cNvPr>
        <xdr:cNvSpPr txBox="1"/>
      </xdr:nvSpPr>
      <xdr:spPr>
        <a:xfrm>
          <a:off x="18666904" y="70492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391</xdr:row>
      <xdr:rowOff>99696</xdr:rowOff>
    </xdr:from>
    <xdr:to>
      <xdr:col>12</xdr:col>
      <xdr:colOff>131572</xdr:colOff>
      <xdr:row>392</xdr:row>
      <xdr:rowOff>93981</xdr:rowOff>
    </xdr:to>
    <xdr:sp macro="_xll.PtreeEvent_ObjectClick" textlink="">
      <xdr:nvSpPr>
        <xdr:cNvPr id="793" name="PTObj_DNode_1_194">
          <a:extLst>
            <a:ext uri="{FF2B5EF4-FFF2-40B4-BE49-F238E27FC236}">
              <a16:creationId xmlns:a16="http://schemas.microsoft.com/office/drawing/2014/main" id="{ED518B14-C8D9-49C1-941C-A02C31AF4C91}"/>
            </a:ext>
          </a:extLst>
        </xdr:cNvPr>
        <xdr:cNvSpPr/>
      </xdr:nvSpPr>
      <xdr:spPr>
        <a:xfrm rot="-5400000">
          <a:off x="21248498" y="708571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391</xdr:row>
      <xdr:rowOff>97009</xdr:rowOff>
    </xdr:from>
    <xdr:ext cx="514858" cy="180627"/>
    <xdr:sp macro="_xll.PtreeEvent_ObjectClick" textlink="">
      <xdr:nvSpPr>
        <xdr:cNvPr id="796" name="PTObj_DBranchName_1_194">
          <a:extLst>
            <a:ext uri="{FF2B5EF4-FFF2-40B4-BE49-F238E27FC236}">
              <a16:creationId xmlns:a16="http://schemas.microsoft.com/office/drawing/2014/main" id="{D42C70F7-7FC8-4E64-850C-C98BD95CD101}"/>
            </a:ext>
          </a:extLst>
        </xdr:cNvPr>
        <xdr:cNvSpPr txBox="1"/>
      </xdr:nvSpPr>
      <xdr:spPr>
        <a:xfrm>
          <a:off x="20094701" y="70858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395</xdr:row>
      <xdr:rowOff>107317</xdr:rowOff>
    </xdr:from>
    <xdr:to>
      <xdr:col>9</xdr:col>
      <xdr:colOff>150622</xdr:colOff>
      <xdr:row>396</xdr:row>
      <xdr:rowOff>97791</xdr:rowOff>
    </xdr:to>
    <xdr:sp macro="_xll.PtreeEvent_ObjectClick" textlink="">
      <xdr:nvSpPr>
        <xdr:cNvPr id="797" name="PTObj_DNode_1_196">
          <a:extLst>
            <a:ext uri="{FF2B5EF4-FFF2-40B4-BE49-F238E27FC236}">
              <a16:creationId xmlns:a16="http://schemas.microsoft.com/office/drawing/2014/main" id="{69450010-46EF-4C61-9EB1-104CDF05957D}"/>
            </a:ext>
          </a:extLst>
        </xdr:cNvPr>
        <xdr:cNvSpPr/>
      </xdr:nvSpPr>
      <xdr:spPr>
        <a:xfrm>
          <a:off x="16969867" y="715924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395</xdr:row>
      <xdr:rowOff>106535</xdr:rowOff>
    </xdr:from>
    <xdr:ext cx="568424" cy="180627"/>
    <xdr:sp macro="_xll.PtreeEvent_ObjectClick" textlink="">
      <xdr:nvSpPr>
        <xdr:cNvPr id="800" name="PTObj_DBranchName_1_196">
          <a:extLst>
            <a:ext uri="{FF2B5EF4-FFF2-40B4-BE49-F238E27FC236}">
              <a16:creationId xmlns:a16="http://schemas.microsoft.com/office/drawing/2014/main" id="{00379812-98DE-47D7-950D-595A6989A74B}"/>
            </a:ext>
          </a:extLst>
        </xdr:cNvPr>
        <xdr:cNvSpPr txBox="1"/>
      </xdr:nvSpPr>
      <xdr:spPr>
        <a:xfrm>
          <a:off x="15820834" y="71591660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397</xdr:row>
      <xdr:rowOff>111125</xdr:rowOff>
    </xdr:from>
    <xdr:to>
      <xdr:col>10</xdr:col>
      <xdr:colOff>131573</xdr:colOff>
      <xdr:row>398</xdr:row>
      <xdr:rowOff>113029</xdr:rowOff>
    </xdr:to>
    <xdr:sp macro="_xll.PtreeEvent_ObjectClick" textlink="">
      <xdr:nvSpPr>
        <xdr:cNvPr id="801" name="PTObj_DNode_1_197">
          <a:extLst>
            <a:ext uri="{FF2B5EF4-FFF2-40B4-BE49-F238E27FC236}">
              <a16:creationId xmlns:a16="http://schemas.microsoft.com/office/drawing/2014/main" id="{59BA0857-1C68-49A3-B3E9-35490A79E0F8}"/>
            </a:ext>
          </a:extLst>
        </xdr:cNvPr>
        <xdr:cNvSpPr/>
      </xdr:nvSpPr>
      <xdr:spPr>
        <a:xfrm>
          <a:off x="18394807" y="71958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397</xdr:row>
      <xdr:rowOff>112254</xdr:rowOff>
    </xdr:from>
    <xdr:ext cx="514858" cy="180627"/>
    <xdr:sp macro="_xll.PtreeEvent_ObjectClick" textlink="">
      <xdr:nvSpPr>
        <xdr:cNvPr id="804" name="PTObj_DBranchName_1_197">
          <a:extLst>
            <a:ext uri="{FF2B5EF4-FFF2-40B4-BE49-F238E27FC236}">
              <a16:creationId xmlns:a16="http://schemas.microsoft.com/office/drawing/2014/main" id="{B7344C0C-FCD3-4656-8682-372BB81E82EC}"/>
            </a:ext>
          </a:extLst>
        </xdr:cNvPr>
        <xdr:cNvSpPr txBox="1"/>
      </xdr:nvSpPr>
      <xdr:spPr>
        <a:xfrm>
          <a:off x="17244820" y="719593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399</xdr:row>
      <xdr:rowOff>114933</xdr:rowOff>
    </xdr:from>
    <xdr:to>
      <xdr:col>11</xdr:col>
      <xdr:colOff>135382</xdr:colOff>
      <xdr:row>400</xdr:row>
      <xdr:rowOff>116836</xdr:rowOff>
    </xdr:to>
    <xdr:sp macro="_xll.PtreeEvent_ObjectClick" textlink="">
      <xdr:nvSpPr>
        <xdr:cNvPr id="805" name="PTObj_DNode_1_198">
          <a:extLst>
            <a:ext uri="{FF2B5EF4-FFF2-40B4-BE49-F238E27FC236}">
              <a16:creationId xmlns:a16="http://schemas.microsoft.com/office/drawing/2014/main" id="{B4EF4DD5-6AE0-474B-972B-3D96BF8C7BD0}"/>
            </a:ext>
          </a:extLst>
        </xdr:cNvPr>
        <xdr:cNvSpPr/>
      </xdr:nvSpPr>
      <xdr:spPr>
        <a:xfrm>
          <a:off x="19819747" y="723239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399</xdr:row>
      <xdr:rowOff>116061</xdr:rowOff>
    </xdr:from>
    <xdr:ext cx="514858" cy="180627"/>
    <xdr:sp macro="_xll.PtreeEvent_ObjectClick" textlink="">
      <xdr:nvSpPr>
        <xdr:cNvPr id="808" name="PTObj_DBranchName_1_198">
          <a:extLst>
            <a:ext uri="{FF2B5EF4-FFF2-40B4-BE49-F238E27FC236}">
              <a16:creationId xmlns:a16="http://schemas.microsoft.com/office/drawing/2014/main" id="{94302840-BB9A-4EA2-BCF3-BA3A88E6D823}"/>
            </a:ext>
          </a:extLst>
        </xdr:cNvPr>
        <xdr:cNvSpPr txBox="1"/>
      </xdr:nvSpPr>
      <xdr:spPr>
        <a:xfrm>
          <a:off x="18666904" y="72325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401</xdr:row>
      <xdr:rowOff>124461</xdr:rowOff>
    </xdr:from>
    <xdr:to>
      <xdr:col>12</xdr:col>
      <xdr:colOff>131572</xdr:colOff>
      <xdr:row>402</xdr:row>
      <xdr:rowOff>133986</xdr:rowOff>
    </xdr:to>
    <xdr:sp macro="_xll.PtreeEvent_ObjectClick" textlink="">
      <xdr:nvSpPr>
        <xdr:cNvPr id="809" name="PTObj_DNode_1_199">
          <a:extLst>
            <a:ext uri="{FF2B5EF4-FFF2-40B4-BE49-F238E27FC236}">
              <a16:creationId xmlns:a16="http://schemas.microsoft.com/office/drawing/2014/main" id="{0BCF83DC-A24D-445E-98F9-25BBD0C1699D}"/>
            </a:ext>
          </a:extLst>
        </xdr:cNvPr>
        <xdr:cNvSpPr/>
      </xdr:nvSpPr>
      <xdr:spPr>
        <a:xfrm rot="-5400000">
          <a:off x="21248498" y="726916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401</xdr:row>
      <xdr:rowOff>121774</xdr:rowOff>
    </xdr:from>
    <xdr:ext cx="514858" cy="180627"/>
    <xdr:sp macro="_xll.PtreeEvent_ObjectClick" textlink="">
      <xdr:nvSpPr>
        <xdr:cNvPr id="812" name="PTObj_DBranchName_1_199">
          <a:extLst>
            <a:ext uri="{FF2B5EF4-FFF2-40B4-BE49-F238E27FC236}">
              <a16:creationId xmlns:a16="http://schemas.microsoft.com/office/drawing/2014/main" id="{840594A1-668E-4506-ACDA-68D505847870}"/>
            </a:ext>
          </a:extLst>
        </xdr:cNvPr>
        <xdr:cNvSpPr txBox="1"/>
      </xdr:nvSpPr>
      <xdr:spPr>
        <a:xfrm>
          <a:off x="20094701" y="726927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444</xdr:row>
      <xdr:rowOff>17779</xdr:rowOff>
    </xdr:from>
    <xdr:to>
      <xdr:col>6</xdr:col>
      <xdr:colOff>171577</xdr:colOff>
      <xdr:row>445</xdr:row>
      <xdr:rowOff>15873</xdr:rowOff>
    </xdr:to>
    <xdr:sp macro="_xll.PtreeEvent_ObjectClick" textlink="">
      <xdr:nvSpPr>
        <xdr:cNvPr id="813" name="PTObj_DNode_1_220">
          <a:extLst>
            <a:ext uri="{FF2B5EF4-FFF2-40B4-BE49-F238E27FC236}">
              <a16:creationId xmlns:a16="http://schemas.microsoft.com/office/drawing/2014/main" id="{7CA9425A-8783-4A4E-B086-B8CA04389CDF}"/>
            </a:ext>
          </a:extLst>
        </xdr:cNvPr>
        <xdr:cNvSpPr/>
      </xdr:nvSpPr>
      <xdr:spPr>
        <a:xfrm>
          <a:off x="12695047" y="80370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444</xdr:row>
      <xdr:rowOff>22717</xdr:rowOff>
    </xdr:from>
    <xdr:ext cx="566520" cy="180627"/>
    <xdr:sp macro="_xll.PtreeEvent_ObjectClick" textlink="">
      <xdr:nvSpPr>
        <xdr:cNvPr id="816" name="PTObj_DBranchName_1_220">
          <a:extLst>
            <a:ext uri="{FF2B5EF4-FFF2-40B4-BE49-F238E27FC236}">
              <a16:creationId xmlns:a16="http://schemas.microsoft.com/office/drawing/2014/main" id="{9ED61416-D4CA-4E5E-A92C-78A47DC4EEC7}"/>
            </a:ext>
          </a:extLst>
        </xdr:cNvPr>
        <xdr:cNvSpPr txBox="1"/>
      </xdr:nvSpPr>
      <xdr:spPr>
        <a:xfrm>
          <a:off x="11550776" y="8037561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423</xdr:row>
      <xdr:rowOff>160654</xdr:rowOff>
    </xdr:from>
    <xdr:to>
      <xdr:col>7</xdr:col>
      <xdr:colOff>167768</xdr:colOff>
      <xdr:row>424</xdr:row>
      <xdr:rowOff>168273</xdr:rowOff>
    </xdr:to>
    <xdr:sp macro="_xll.PtreeEvent_ObjectClick" textlink="">
      <xdr:nvSpPr>
        <xdr:cNvPr id="817" name="PTObj_DNode_1_210">
          <a:extLst>
            <a:ext uri="{FF2B5EF4-FFF2-40B4-BE49-F238E27FC236}">
              <a16:creationId xmlns:a16="http://schemas.microsoft.com/office/drawing/2014/main" id="{CC6ECE85-A4B2-402B-8BF2-7B7D183BB003}"/>
            </a:ext>
          </a:extLst>
        </xdr:cNvPr>
        <xdr:cNvSpPr/>
      </xdr:nvSpPr>
      <xdr:spPr>
        <a:xfrm>
          <a:off x="14119988" y="76713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423</xdr:row>
      <xdr:rowOff>163687</xdr:rowOff>
    </xdr:from>
    <xdr:ext cx="566520" cy="180627"/>
    <xdr:sp macro="_xll.PtreeEvent_ObjectClick" textlink="">
      <xdr:nvSpPr>
        <xdr:cNvPr id="820" name="PTObj_DBranchName_1_210">
          <a:extLst>
            <a:ext uri="{FF2B5EF4-FFF2-40B4-BE49-F238E27FC236}">
              <a16:creationId xmlns:a16="http://schemas.microsoft.com/office/drawing/2014/main" id="{0E969300-00F5-4866-92F8-D6A1D78A50FD}"/>
            </a:ext>
          </a:extLst>
        </xdr:cNvPr>
        <xdr:cNvSpPr txBox="1"/>
      </xdr:nvSpPr>
      <xdr:spPr>
        <a:xfrm>
          <a:off x="12976669" y="7671611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413</xdr:row>
      <xdr:rowOff>141604</xdr:rowOff>
    </xdr:from>
    <xdr:to>
      <xdr:col>8</xdr:col>
      <xdr:colOff>154432</xdr:colOff>
      <xdr:row>414</xdr:row>
      <xdr:rowOff>135888</xdr:rowOff>
    </xdr:to>
    <xdr:sp macro="_xll.PtreeEvent_ObjectClick" textlink="">
      <xdr:nvSpPr>
        <xdr:cNvPr id="821" name="PTObj_DNode_1_205">
          <a:extLst>
            <a:ext uri="{FF2B5EF4-FFF2-40B4-BE49-F238E27FC236}">
              <a16:creationId xmlns:a16="http://schemas.microsoft.com/office/drawing/2014/main" id="{CFDE8681-A741-4BF6-A5C4-BF364AB0E5C4}"/>
            </a:ext>
          </a:extLst>
        </xdr:cNvPr>
        <xdr:cNvSpPr/>
      </xdr:nvSpPr>
      <xdr:spPr>
        <a:xfrm>
          <a:off x="15544927" y="74884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413</xdr:row>
      <xdr:rowOff>140827</xdr:rowOff>
    </xdr:from>
    <xdr:ext cx="566519" cy="180627"/>
    <xdr:sp macro="_xll.PtreeEvent_ObjectClick" textlink="">
      <xdr:nvSpPr>
        <xdr:cNvPr id="824" name="PTObj_DBranchName_1_205">
          <a:extLst>
            <a:ext uri="{FF2B5EF4-FFF2-40B4-BE49-F238E27FC236}">
              <a16:creationId xmlns:a16="http://schemas.microsoft.com/office/drawing/2014/main" id="{B474293A-B176-4B81-BC2D-49F07CA2DDBC}"/>
            </a:ext>
          </a:extLst>
        </xdr:cNvPr>
        <xdr:cNvSpPr txBox="1"/>
      </xdr:nvSpPr>
      <xdr:spPr>
        <a:xfrm>
          <a:off x="14398752" y="7488350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405</xdr:row>
      <xdr:rowOff>126367</xdr:rowOff>
    </xdr:from>
    <xdr:to>
      <xdr:col>9</xdr:col>
      <xdr:colOff>150622</xdr:colOff>
      <xdr:row>406</xdr:row>
      <xdr:rowOff>135891</xdr:rowOff>
    </xdr:to>
    <xdr:sp macro="_xll.PtreeEvent_ObjectClick" textlink="">
      <xdr:nvSpPr>
        <xdr:cNvPr id="825" name="PTObj_DNode_1_201">
          <a:extLst>
            <a:ext uri="{FF2B5EF4-FFF2-40B4-BE49-F238E27FC236}">
              <a16:creationId xmlns:a16="http://schemas.microsoft.com/office/drawing/2014/main" id="{B574A2B8-3A37-44A5-8232-BABB27F33DC4}"/>
            </a:ext>
          </a:extLst>
        </xdr:cNvPr>
        <xdr:cNvSpPr/>
      </xdr:nvSpPr>
      <xdr:spPr>
        <a:xfrm>
          <a:off x="16969867" y="734212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405</xdr:row>
      <xdr:rowOff>131300</xdr:rowOff>
    </xdr:from>
    <xdr:ext cx="568424" cy="180627"/>
    <xdr:sp macro="_xll.PtreeEvent_ObjectClick" textlink="">
      <xdr:nvSpPr>
        <xdr:cNvPr id="828" name="PTObj_DBranchName_1_201">
          <a:extLst>
            <a:ext uri="{FF2B5EF4-FFF2-40B4-BE49-F238E27FC236}">
              <a16:creationId xmlns:a16="http://schemas.microsoft.com/office/drawing/2014/main" id="{E3F73BC5-1088-48D0-A246-7F55D9027DBB}"/>
            </a:ext>
          </a:extLst>
        </xdr:cNvPr>
        <xdr:cNvSpPr txBox="1"/>
      </xdr:nvSpPr>
      <xdr:spPr>
        <a:xfrm>
          <a:off x="15820834" y="734261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407</xdr:row>
      <xdr:rowOff>130175</xdr:rowOff>
    </xdr:from>
    <xdr:to>
      <xdr:col>10</xdr:col>
      <xdr:colOff>135383</xdr:colOff>
      <xdr:row>408</xdr:row>
      <xdr:rowOff>135889</xdr:rowOff>
    </xdr:to>
    <xdr:sp macro="_xll.PtreeEvent_ObjectClick" textlink="">
      <xdr:nvSpPr>
        <xdr:cNvPr id="829" name="PTObj_DNode_1_202">
          <a:extLst>
            <a:ext uri="{FF2B5EF4-FFF2-40B4-BE49-F238E27FC236}">
              <a16:creationId xmlns:a16="http://schemas.microsoft.com/office/drawing/2014/main" id="{1B5496FC-E7C3-48FC-9C79-0EB1CD9074C9}"/>
            </a:ext>
          </a:extLst>
        </xdr:cNvPr>
        <xdr:cNvSpPr/>
      </xdr:nvSpPr>
      <xdr:spPr>
        <a:xfrm>
          <a:off x="18394807" y="73787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407</xdr:row>
      <xdr:rowOff>135114</xdr:rowOff>
    </xdr:from>
    <xdr:ext cx="514858" cy="180627"/>
    <xdr:sp macro="_xll.PtreeEvent_ObjectClick" textlink="">
      <xdr:nvSpPr>
        <xdr:cNvPr id="832" name="PTObj_DBranchName_1_202">
          <a:extLst>
            <a:ext uri="{FF2B5EF4-FFF2-40B4-BE49-F238E27FC236}">
              <a16:creationId xmlns:a16="http://schemas.microsoft.com/office/drawing/2014/main" id="{825855C7-84E9-4635-8F15-BFD3BF79DD64}"/>
            </a:ext>
          </a:extLst>
        </xdr:cNvPr>
        <xdr:cNvSpPr txBox="1"/>
      </xdr:nvSpPr>
      <xdr:spPr>
        <a:xfrm>
          <a:off x="17244820" y="73791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409</xdr:row>
      <xdr:rowOff>133983</xdr:rowOff>
    </xdr:from>
    <xdr:to>
      <xdr:col>11</xdr:col>
      <xdr:colOff>131572</xdr:colOff>
      <xdr:row>410</xdr:row>
      <xdr:rowOff>135886</xdr:rowOff>
    </xdr:to>
    <xdr:sp macro="_xll.PtreeEvent_ObjectClick" textlink="">
      <xdr:nvSpPr>
        <xdr:cNvPr id="833" name="PTObj_DNode_1_203">
          <a:extLst>
            <a:ext uri="{FF2B5EF4-FFF2-40B4-BE49-F238E27FC236}">
              <a16:creationId xmlns:a16="http://schemas.microsoft.com/office/drawing/2014/main" id="{64EF3B6B-E2F4-4452-ABA4-59378DAFCE7D}"/>
            </a:ext>
          </a:extLst>
        </xdr:cNvPr>
        <xdr:cNvSpPr/>
      </xdr:nvSpPr>
      <xdr:spPr>
        <a:xfrm>
          <a:off x="19819747" y="741527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409</xdr:row>
      <xdr:rowOff>131301</xdr:rowOff>
    </xdr:from>
    <xdr:ext cx="514858" cy="180627"/>
    <xdr:sp macro="_xll.PtreeEvent_ObjectClick" textlink="">
      <xdr:nvSpPr>
        <xdr:cNvPr id="836" name="PTObj_DBranchName_1_203">
          <a:extLst>
            <a:ext uri="{FF2B5EF4-FFF2-40B4-BE49-F238E27FC236}">
              <a16:creationId xmlns:a16="http://schemas.microsoft.com/office/drawing/2014/main" id="{BAF572B0-C354-4526-AB48-275332680478}"/>
            </a:ext>
          </a:extLst>
        </xdr:cNvPr>
        <xdr:cNvSpPr txBox="1"/>
      </xdr:nvSpPr>
      <xdr:spPr>
        <a:xfrm>
          <a:off x="18666904" y="74150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411</xdr:row>
      <xdr:rowOff>137796</xdr:rowOff>
    </xdr:from>
    <xdr:to>
      <xdr:col>12</xdr:col>
      <xdr:colOff>135382</xdr:colOff>
      <xdr:row>412</xdr:row>
      <xdr:rowOff>135891</xdr:rowOff>
    </xdr:to>
    <xdr:sp macro="_xll.PtreeEvent_ObjectClick" textlink="">
      <xdr:nvSpPr>
        <xdr:cNvPr id="837" name="PTObj_DNode_1_204">
          <a:extLst>
            <a:ext uri="{FF2B5EF4-FFF2-40B4-BE49-F238E27FC236}">
              <a16:creationId xmlns:a16="http://schemas.microsoft.com/office/drawing/2014/main" id="{511759F3-A62E-46DF-BB9D-4C704108E379}"/>
            </a:ext>
          </a:extLst>
        </xdr:cNvPr>
        <xdr:cNvSpPr/>
      </xdr:nvSpPr>
      <xdr:spPr>
        <a:xfrm rot="-5400000">
          <a:off x="21248498" y="745147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411</xdr:row>
      <xdr:rowOff>135109</xdr:rowOff>
    </xdr:from>
    <xdr:ext cx="514858" cy="180627"/>
    <xdr:sp macro="_xll.PtreeEvent_ObjectClick" textlink="">
      <xdr:nvSpPr>
        <xdr:cNvPr id="840" name="PTObj_DBranchName_1_204">
          <a:extLst>
            <a:ext uri="{FF2B5EF4-FFF2-40B4-BE49-F238E27FC236}">
              <a16:creationId xmlns:a16="http://schemas.microsoft.com/office/drawing/2014/main" id="{12F9D2BF-F909-4362-955F-454AD00B4100}"/>
            </a:ext>
          </a:extLst>
        </xdr:cNvPr>
        <xdr:cNvSpPr txBox="1"/>
      </xdr:nvSpPr>
      <xdr:spPr>
        <a:xfrm>
          <a:off x="20094701" y="74515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415</xdr:row>
      <xdr:rowOff>145417</xdr:rowOff>
    </xdr:from>
    <xdr:to>
      <xdr:col>9</xdr:col>
      <xdr:colOff>150622</xdr:colOff>
      <xdr:row>416</xdr:row>
      <xdr:rowOff>132081</xdr:rowOff>
    </xdr:to>
    <xdr:sp macro="_xll.PtreeEvent_ObjectClick" textlink="">
      <xdr:nvSpPr>
        <xdr:cNvPr id="841" name="PTObj_DNode_1_206">
          <a:extLst>
            <a:ext uri="{FF2B5EF4-FFF2-40B4-BE49-F238E27FC236}">
              <a16:creationId xmlns:a16="http://schemas.microsoft.com/office/drawing/2014/main" id="{80915E8A-BA36-48D4-BE07-3280F2611455}"/>
            </a:ext>
          </a:extLst>
        </xdr:cNvPr>
        <xdr:cNvSpPr/>
      </xdr:nvSpPr>
      <xdr:spPr>
        <a:xfrm>
          <a:off x="16969867" y="752500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415</xdr:row>
      <xdr:rowOff>144635</xdr:rowOff>
    </xdr:from>
    <xdr:ext cx="568424" cy="180627"/>
    <xdr:sp macro="_xll.PtreeEvent_ObjectClick" textlink="">
      <xdr:nvSpPr>
        <xdr:cNvPr id="844" name="PTObj_DBranchName_1_206">
          <a:extLst>
            <a:ext uri="{FF2B5EF4-FFF2-40B4-BE49-F238E27FC236}">
              <a16:creationId xmlns:a16="http://schemas.microsoft.com/office/drawing/2014/main" id="{27AB765E-8145-4C15-B8F7-E22A992A892E}"/>
            </a:ext>
          </a:extLst>
        </xdr:cNvPr>
        <xdr:cNvSpPr txBox="1"/>
      </xdr:nvSpPr>
      <xdr:spPr>
        <a:xfrm>
          <a:off x="15820834" y="75249260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417</xdr:row>
      <xdr:rowOff>149225</xdr:rowOff>
    </xdr:from>
    <xdr:to>
      <xdr:col>10</xdr:col>
      <xdr:colOff>135383</xdr:colOff>
      <xdr:row>418</xdr:row>
      <xdr:rowOff>151129</xdr:rowOff>
    </xdr:to>
    <xdr:sp macro="_xll.PtreeEvent_ObjectClick" textlink="">
      <xdr:nvSpPr>
        <xdr:cNvPr id="845" name="PTObj_DNode_1_207">
          <a:extLst>
            <a:ext uri="{FF2B5EF4-FFF2-40B4-BE49-F238E27FC236}">
              <a16:creationId xmlns:a16="http://schemas.microsoft.com/office/drawing/2014/main" id="{E763A3A5-DC5E-4CE9-847A-A5AA8DAB4283}"/>
            </a:ext>
          </a:extLst>
        </xdr:cNvPr>
        <xdr:cNvSpPr/>
      </xdr:nvSpPr>
      <xdr:spPr>
        <a:xfrm>
          <a:off x="18394807" y="75615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417</xdr:row>
      <xdr:rowOff>150354</xdr:rowOff>
    </xdr:from>
    <xdr:ext cx="514858" cy="180627"/>
    <xdr:sp macro="_xll.PtreeEvent_ObjectClick" textlink="">
      <xdr:nvSpPr>
        <xdr:cNvPr id="848" name="PTObj_DBranchName_1_207">
          <a:extLst>
            <a:ext uri="{FF2B5EF4-FFF2-40B4-BE49-F238E27FC236}">
              <a16:creationId xmlns:a16="http://schemas.microsoft.com/office/drawing/2014/main" id="{2D7EC1C0-2E8C-4980-82B6-62D733EE7ECA}"/>
            </a:ext>
          </a:extLst>
        </xdr:cNvPr>
        <xdr:cNvSpPr txBox="1"/>
      </xdr:nvSpPr>
      <xdr:spPr>
        <a:xfrm>
          <a:off x="17244820" y="756169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419</xdr:row>
      <xdr:rowOff>153033</xdr:rowOff>
    </xdr:from>
    <xdr:to>
      <xdr:col>11</xdr:col>
      <xdr:colOff>131572</xdr:colOff>
      <xdr:row>420</xdr:row>
      <xdr:rowOff>154936</xdr:rowOff>
    </xdr:to>
    <xdr:sp macro="_xll.PtreeEvent_ObjectClick" textlink="">
      <xdr:nvSpPr>
        <xdr:cNvPr id="849" name="PTObj_DNode_1_208">
          <a:extLst>
            <a:ext uri="{FF2B5EF4-FFF2-40B4-BE49-F238E27FC236}">
              <a16:creationId xmlns:a16="http://schemas.microsoft.com/office/drawing/2014/main" id="{604E4529-4495-45E9-87AB-0E45B48B6383}"/>
            </a:ext>
          </a:extLst>
        </xdr:cNvPr>
        <xdr:cNvSpPr/>
      </xdr:nvSpPr>
      <xdr:spPr>
        <a:xfrm>
          <a:off x="19819747" y="759815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419</xdr:row>
      <xdr:rowOff>154161</xdr:rowOff>
    </xdr:from>
    <xdr:ext cx="514858" cy="180627"/>
    <xdr:sp macro="_xll.PtreeEvent_ObjectClick" textlink="">
      <xdr:nvSpPr>
        <xdr:cNvPr id="852" name="PTObj_DBranchName_1_208">
          <a:extLst>
            <a:ext uri="{FF2B5EF4-FFF2-40B4-BE49-F238E27FC236}">
              <a16:creationId xmlns:a16="http://schemas.microsoft.com/office/drawing/2014/main" id="{0C7A6892-E7CA-4466-8A38-DF733D5D8865}"/>
            </a:ext>
          </a:extLst>
        </xdr:cNvPr>
        <xdr:cNvSpPr txBox="1"/>
      </xdr:nvSpPr>
      <xdr:spPr>
        <a:xfrm>
          <a:off x="18666904" y="75982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421</xdr:row>
      <xdr:rowOff>162561</xdr:rowOff>
    </xdr:from>
    <xdr:to>
      <xdr:col>12</xdr:col>
      <xdr:colOff>135382</xdr:colOff>
      <xdr:row>422</xdr:row>
      <xdr:rowOff>168276</xdr:rowOff>
    </xdr:to>
    <xdr:sp macro="_xll.PtreeEvent_ObjectClick" textlink="">
      <xdr:nvSpPr>
        <xdr:cNvPr id="853" name="PTObj_DNode_1_209">
          <a:extLst>
            <a:ext uri="{FF2B5EF4-FFF2-40B4-BE49-F238E27FC236}">
              <a16:creationId xmlns:a16="http://schemas.microsoft.com/office/drawing/2014/main" id="{1368885E-1437-469B-86D8-B03E34D26EBC}"/>
            </a:ext>
          </a:extLst>
        </xdr:cNvPr>
        <xdr:cNvSpPr/>
      </xdr:nvSpPr>
      <xdr:spPr>
        <a:xfrm rot="-5400000">
          <a:off x="21248498" y="763492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421</xdr:row>
      <xdr:rowOff>159874</xdr:rowOff>
    </xdr:from>
    <xdr:ext cx="514858" cy="180627"/>
    <xdr:sp macro="_xll.PtreeEvent_ObjectClick" textlink="">
      <xdr:nvSpPr>
        <xdr:cNvPr id="856" name="PTObj_DBranchName_1_209">
          <a:extLst>
            <a:ext uri="{FF2B5EF4-FFF2-40B4-BE49-F238E27FC236}">
              <a16:creationId xmlns:a16="http://schemas.microsoft.com/office/drawing/2014/main" id="{71A2229B-559A-496F-8F77-53BA2DA4D569}"/>
            </a:ext>
          </a:extLst>
        </xdr:cNvPr>
        <xdr:cNvSpPr txBox="1"/>
      </xdr:nvSpPr>
      <xdr:spPr>
        <a:xfrm>
          <a:off x="20094701" y="763503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433</xdr:row>
      <xdr:rowOff>179704</xdr:rowOff>
    </xdr:from>
    <xdr:to>
      <xdr:col>8</xdr:col>
      <xdr:colOff>154432</xdr:colOff>
      <xdr:row>435</xdr:row>
      <xdr:rowOff>633</xdr:rowOff>
    </xdr:to>
    <xdr:sp macro="_xll.PtreeEvent_ObjectClick" textlink="">
      <xdr:nvSpPr>
        <xdr:cNvPr id="857" name="PTObj_DNode_1_215">
          <a:extLst>
            <a:ext uri="{FF2B5EF4-FFF2-40B4-BE49-F238E27FC236}">
              <a16:creationId xmlns:a16="http://schemas.microsoft.com/office/drawing/2014/main" id="{73394792-B62F-447B-922E-AD5203BCABF6}"/>
            </a:ext>
          </a:extLst>
        </xdr:cNvPr>
        <xdr:cNvSpPr/>
      </xdr:nvSpPr>
      <xdr:spPr>
        <a:xfrm>
          <a:off x="15544927" y="78541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433</xdr:row>
      <xdr:rowOff>178927</xdr:rowOff>
    </xdr:from>
    <xdr:ext cx="568425" cy="180627"/>
    <xdr:sp macro="_xll.PtreeEvent_ObjectClick" textlink="">
      <xdr:nvSpPr>
        <xdr:cNvPr id="860" name="PTObj_DBranchName_1_215">
          <a:extLst>
            <a:ext uri="{FF2B5EF4-FFF2-40B4-BE49-F238E27FC236}">
              <a16:creationId xmlns:a16="http://schemas.microsoft.com/office/drawing/2014/main" id="{9FCD9F45-0EFD-468D-8ED5-25691721D2BC}"/>
            </a:ext>
          </a:extLst>
        </xdr:cNvPr>
        <xdr:cNvSpPr txBox="1"/>
      </xdr:nvSpPr>
      <xdr:spPr>
        <a:xfrm>
          <a:off x="14400657" y="7854110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425</xdr:row>
      <xdr:rowOff>164467</xdr:rowOff>
    </xdr:from>
    <xdr:to>
      <xdr:col>9</xdr:col>
      <xdr:colOff>150622</xdr:colOff>
      <xdr:row>426</xdr:row>
      <xdr:rowOff>170181</xdr:rowOff>
    </xdr:to>
    <xdr:sp macro="_xll.PtreeEvent_ObjectClick" textlink="">
      <xdr:nvSpPr>
        <xdr:cNvPr id="861" name="PTObj_DNode_1_211">
          <a:extLst>
            <a:ext uri="{FF2B5EF4-FFF2-40B4-BE49-F238E27FC236}">
              <a16:creationId xmlns:a16="http://schemas.microsoft.com/office/drawing/2014/main" id="{095EE3DE-18D7-479A-BE4C-B4B0DB1D364C}"/>
            </a:ext>
          </a:extLst>
        </xdr:cNvPr>
        <xdr:cNvSpPr/>
      </xdr:nvSpPr>
      <xdr:spPr>
        <a:xfrm>
          <a:off x="16969867" y="770788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425</xdr:row>
      <xdr:rowOff>169400</xdr:rowOff>
    </xdr:from>
    <xdr:ext cx="568424" cy="180627"/>
    <xdr:sp macro="_xll.PtreeEvent_ObjectClick" textlink="">
      <xdr:nvSpPr>
        <xdr:cNvPr id="864" name="PTObj_DBranchName_1_211">
          <a:extLst>
            <a:ext uri="{FF2B5EF4-FFF2-40B4-BE49-F238E27FC236}">
              <a16:creationId xmlns:a16="http://schemas.microsoft.com/office/drawing/2014/main" id="{DE5C124E-12E5-413B-9D66-FF8CBFEA644B}"/>
            </a:ext>
          </a:extLst>
        </xdr:cNvPr>
        <xdr:cNvSpPr txBox="1"/>
      </xdr:nvSpPr>
      <xdr:spPr>
        <a:xfrm>
          <a:off x="15820834" y="770837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427</xdr:row>
      <xdr:rowOff>168275</xdr:rowOff>
    </xdr:from>
    <xdr:to>
      <xdr:col>10</xdr:col>
      <xdr:colOff>131573</xdr:colOff>
      <xdr:row>428</xdr:row>
      <xdr:rowOff>170179</xdr:rowOff>
    </xdr:to>
    <xdr:sp macro="_xll.PtreeEvent_ObjectClick" textlink="">
      <xdr:nvSpPr>
        <xdr:cNvPr id="865" name="PTObj_DNode_1_212">
          <a:extLst>
            <a:ext uri="{FF2B5EF4-FFF2-40B4-BE49-F238E27FC236}">
              <a16:creationId xmlns:a16="http://schemas.microsoft.com/office/drawing/2014/main" id="{740B4A98-A991-45A1-B48E-761812B4C807}"/>
            </a:ext>
          </a:extLst>
        </xdr:cNvPr>
        <xdr:cNvSpPr/>
      </xdr:nvSpPr>
      <xdr:spPr>
        <a:xfrm>
          <a:off x="18394807" y="77444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427</xdr:row>
      <xdr:rowOff>173214</xdr:rowOff>
    </xdr:from>
    <xdr:ext cx="514858" cy="180627"/>
    <xdr:sp macro="_xll.PtreeEvent_ObjectClick" textlink="">
      <xdr:nvSpPr>
        <xdr:cNvPr id="868" name="PTObj_DBranchName_1_212">
          <a:extLst>
            <a:ext uri="{FF2B5EF4-FFF2-40B4-BE49-F238E27FC236}">
              <a16:creationId xmlns:a16="http://schemas.microsoft.com/office/drawing/2014/main" id="{4AACFB88-FA26-400A-B44E-3B588D9B32CB}"/>
            </a:ext>
          </a:extLst>
        </xdr:cNvPr>
        <xdr:cNvSpPr txBox="1"/>
      </xdr:nvSpPr>
      <xdr:spPr>
        <a:xfrm>
          <a:off x="17244820" y="77449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429</xdr:row>
      <xdr:rowOff>172083</xdr:rowOff>
    </xdr:from>
    <xdr:to>
      <xdr:col>11</xdr:col>
      <xdr:colOff>135382</xdr:colOff>
      <xdr:row>430</xdr:row>
      <xdr:rowOff>170176</xdr:rowOff>
    </xdr:to>
    <xdr:sp macro="_xll.PtreeEvent_ObjectClick" textlink="">
      <xdr:nvSpPr>
        <xdr:cNvPr id="869" name="PTObj_DNode_1_213">
          <a:extLst>
            <a:ext uri="{FF2B5EF4-FFF2-40B4-BE49-F238E27FC236}">
              <a16:creationId xmlns:a16="http://schemas.microsoft.com/office/drawing/2014/main" id="{43B359A2-96FF-4CC0-A43A-3D47B3273DAC}"/>
            </a:ext>
          </a:extLst>
        </xdr:cNvPr>
        <xdr:cNvSpPr/>
      </xdr:nvSpPr>
      <xdr:spPr>
        <a:xfrm>
          <a:off x="19819747" y="778103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429</xdr:row>
      <xdr:rowOff>169401</xdr:rowOff>
    </xdr:from>
    <xdr:ext cx="514858" cy="180627"/>
    <xdr:sp macro="_xll.PtreeEvent_ObjectClick" textlink="">
      <xdr:nvSpPr>
        <xdr:cNvPr id="872" name="PTObj_DBranchName_1_213">
          <a:extLst>
            <a:ext uri="{FF2B5EF4-FFF2-40B4-BE49-F238E27FC236}">
              <a16:creationId xmlns:a16="http://schemas.microsoft.com/office/drawing/2014/main" id="{874DCBBC-114C-4DBE-9D79-3D5474241CD4}"/>
            </a:ext>
          </a:extLst>
        </xdr:cNvPr>
        <xdr:cNvSpPr txBox="1"/>
      </xdr:nvSpPr>
      <xdr:spPr>
        <a:xfrm>
          <a:off x="18666904" y="77807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431</xdr:row>
      <xdr:rowOff>175896</xdr:rowOff>
    </xdr:from>
    <xdr:to>
      <xdr:col>12</xdr:col>
      <xdr:colOff>131572</xdr:colOff>
      <xdr:row>432</xdr:row>
      <xdr:rowOff>170181</xdr:rowOff>
    </xdr:to>
    <xdr:sp macro="_xll.PtreeEvent_ObjectClick" textlink="">
      <xdr:nvSpPr>
        <xdr:cNvPr id="873" name="PTObj_DNode_1_214">
          <a:extLst>
            <a:ext uri="{FF2B5EF4-FFF2-40B4-BE49-F238E27FC236}">
              <a16:creationId xmlns:a16="http://schemas.microsoft.com/office/drawing/2014/main" id="{14ACBF59-5352-4E6A-9844-C6B022E4A798}"/>
            </a:ext>
          </a:extLst>
        </xdr:cNvPr>
        <xdr:cNvSpPr/>
      </xdr:nvSpPr>
      <xdr:spPr>
        <a:xfrm rot="-5400000">
          <a:off x="21248498" y="781723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431</xdr:row>
      <xdr:rowOff>173209</xdr:rowOff>
    </xdr:from>
    <xdr:ext cx="514858" cy="180627"/>
    <xdr:sp macro="_xll.PtreeEvent_ObjectClick" textlink="">
      <xdr:nvSpPr>
        <xdr:cNvPr id="876" name="PTObj_DBranchName_1_214">
          <a:extLst>
            <a:ext uri="{FF2B5EF4-FFF2-40B4-BE49-F238E27FC236}">
              <a16:creationId xmlns:a16="http://schemas.microsoft.com/office/drawing/2014/main" id="{0383EB73-477B-4AAA-8D3A-24877B798363}"/>
            </a:ext>
          </a:extLst>
        </xdr:cNvPr>
        <xdr:cNvSpPr txBox="1"/>
      </xdr:nvSpPr>
      <xdr:spPr>
        <a:xfrm>
          <a:off x="20094701" y="78173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436</xdr:row>
      <xdr:rowOff>2542</xdr:rowOff>
    </xdr:from>
    <xdr:to>
      <xdr:col>9</xdr:col>
      <xdr:colOff>150622</xdr:colOff>
      <xdr:row>437</xdr:row>
      <xdr:rowOff>15876</xdr:rowOff>
    </xdr:to>
    <xdr:sp macro="_xll.PtreeEvent_ObjectClick" textlink="">
      <xdr:nvSpPr>
        <xdr:cNvPr id="877" name="PTObj_DNode_1_216">
          <a:extLst>
            <a:ext uri="{FF2B5EF4-FFF2-40B4-BE49-F238E27FC236}">
              <a16:creationId xmlns:a16="http://schemas.microsoft.com/office/drawing/2014/main" id="{3BC8FF83-E926-40F9-8A41-43491A5274ED}"/>
            </a:ext>
          </a:extLst>
        </xdr:cNvPr>
        <xdr:cNvSpPr/>
      </xdr:nvSpPr>
      <xdr:spPr>
        <a:xfrm>
          <a:off x="16969867" y="789076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436</xdr:row>
      <xdr:rowOff>3665</xdr:rowOff>
    </xdr:from>
    <xdr:ext cx="568424" cy="180627"/>
    <xdr:sp macro="_xll.PtreeEvent_ObjectClick" textlink="">
      <xdr:nvSpPr>
        <xdr:cNvPr id="880" name="PTObj_DBranchName_1_216">
          <a:extLst>
            <a:ext uri="{FF2B5EF4-FFF2-40B4-BE49-F238E27FC236}">
              <a16:creationId xmlns:a16="http://schemas.microsoft.com/office/drawing/2014/main" id="{CD1D4CBE-C9BE-4600-9E63-109794CF4809}"/>
            </a:ext>
          </a:extLst>
        </xdr:cNvPr>
        <xdr:cNvSpPr txBox="1"/>
      </xdr:nvSpPr>
      <xdr:spPr>
        <a:xfrm>
          <a:off x="15820834" y="789087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438</xdr:row>
      <xdr:rowOff>6350</xdr:rowOff>
    </xdr:from>
    <xdr:to>
      <xdr:col>10</xdr:col>
      <xdr:colOff>131573</xdr:colOff>
      <xdr:row>439</xdr:row>
      <xdr:rowOff>19684</xdr:rowOff>
    </xdr:to>
    <xdr:sp macro="_xll.PtreeEvent_ObjectClick" textlink="">
      <xdr:nvSpPr>
        <xdr:cNvPr id="881" name="PTObj_DNode_1_217">
          <a:extLst>
            <a:ext uri="{FF2B5EF4-FFF2-40B4-BE49-F238E27FC236}">
              <a16:creationId xmlns:a16="http://schemas.microsoft.com/office/drawing/2014/main" id="{36378988-9F58-4DAE-AA70-0A57FB7C0773}"/>
            </a:ext>
          </a:extLst>
        </xdr:cNvPr>
        <xdr:cNvSpPr/>
      </xdr:nvSpPr>
      <xdr:spPr>
        <a:xfrm>
          <a:off x="18394807" y="79273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438</xdr:row>
      <xdr:rowOff>9384</xdr:rowOff>
    </xdr:from>
    <xdr:ext cx="514858" cy="180627"/>
    <xdr:sp macro="_xll.PtreeEvent_ObjectClick" textlink="">
      <xdr:nvSpPr>
        <xdr:cNvPr id="884" name="PTObj_DBranchName_1_217">
          <a:extLst>
            <a:ext uri="{FF2B5EF4-FFF2-40B4-BE49-F238E27FC236}">
              <a16:creationId xmlns:a16="http://schemas.microsoft.com/office/drawing/2014/main" id="{9137E565-3F8D-446D-8589-697398DF07E5}"/>
            </a:ext>
          </a:extLst>
        </xdr:cNvPr>
        <xdr:cNvSpPr txBox="1"/>
      </xdr:nvSpPr>
      <xdr:spPr>
        <a:xfrm>
          <a:off x="17244820" y="79276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440</xdr:row>
      <xdr:rowOff>10158</xdr:rowOff>
    </xdr:from>
    <xdr:to>
      <xdr:col>11</xdr:col>
      <xdr:colOff>135382</xdr:colOff>
      <xdr:row>441</xdr:row>
      <xdr:rowOff>15871</xdr:rowOff>
    </xdr:to>
    <xdr:sp macro="_xll.PtreeEvent_ObjectClick" textlink="">
      <xdr:nvSpPr>
        <xdr:cNvPr id="885" name="PTObj_DNode_1_218">
          <a:extLst>
            <a:ext uri="{FF2B5EF4-FFF2-40B4-BE49-F238E27FC236}">
              <a16:creationId xmlns:a16="http://schemas.microsoft.com/office/drawing/2014/main" id="{744EA3C1-9F15-456C-9C2F-BB3A1F2ACAA1}"/>
            </a:ext>
          </a:extLst>
        </xdr:cNvPr>
        <xdr:cNvSpPr/>
      </xdr:nvSpPr>
      <xdr:spPr>
        <a:xfrm>
          <a:off x="19819747" y="796391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440</xdr:row>
      <xdr:rowOff>13191</xdr:rowOff>
    </xdr:from>
    <xdr:ext cx="514858" cy="180627"/>
    <xdr:sp macro="_xll.PtreeEvent_ObjectClick" textlink="">
      <xdr:nvSpPr>
        <xdr:cNvPr id="888" name="PTObj_DBranchName_1_218">
          <a:extLst>
            <a:ext uri="{FF2B5EF4-FFF2-40B4-BE49-F238E27FC236}">
              <a16:creationId xmlns:a16="http://schemas.microsoft.com/office/drawing/2014/main" id="{2A6533B7-F04A-4761-B305-336FF42F6A71}"/>
            </a:ext>
          </a:extLst>
        </xdr:cNvPr>
        <xdr:cNvSpPr txBox="1"/>
      </xdr:nvSpPr>
      <xdr:spPr>
        <a:xfrm>
          <a:off x="18666904" y="79642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442</xdr:row>
      <xdr:rowOff>21591</xdr:rowOff>
    </xdr:from>
    <xdr:to>
      <xdr:col>12</xdr:col>
      <xdr:colOff>131572</xdr:colOff>
      <xdr:row>443</xdr:row>
      <xdr:rowOff>15876</xdr:rowOff>
    </xdr:to>
    <xdr:sp macro="_xll.PtreeEvent_ObjectClick" textlink="">
      <xdr:nvSpPr>
        <xdr:cNvPr id="889" name="PTObj_DNode_1_219">
          <a:extLst>
            <a:ext uri="{FF2B5EF4-FFF2-40B4-BE49-F238E27FC236}">
              <a16:creationId xmlns:a16="http://schemas.microsoft.com/office/drawing/2014/main" id="{DFDCFA20-A015-4614-9B9F-85469218C069}"/>
            </a:ext>
          </a:extLst>
        </xdr:cNvPr>
        <xdr:cNvSpPr/>
      </xdr:nvSpPr>
      <xdr:spPr>
        <a:xfrm rot="-5400000">
          <a:off x="21248498" y="800087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442</xdr:row>
      <xdr:rowOff>18904</xdr:rowOff>
    </xdr:from>
    <xdr:ext cx="514858" cy="180627"/>
    <xdr:sp macro="_xll.PtreeEvent_ObjectClick" textlink="">
      <xdr:nvSpPr>
        <xdr:cNvPr id="892" name="PTObj_DBranchName_1_219">
          <a:extLst>
            <a:ext uri="{FF2B5EF4-FFF2-40B4-BE49-F238E27FC236}">
              <a16:creationId xmlns:a16="http://schemas.microsoft.com/office/drawing/2014/main" id="{873CC651-5FD2-4B49-949A-81BB2FD43047}"/>
            </a:ext>
          </a:extLst>
        </xdr:cNvPr>
        <xdr:cNvSpPr txBox="1"/>
      </xdr:nvSpPr>
      <xdr:spPr>
        <a:xfrm>
          <a:off x="20094701" y="800098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464</xdr:row>
      <xdr:rowOff>55879</xdr:rowOff>
    </xdr:from>
    <xdr:to>
      <xdr:col>7</xdr:col>
      <xdr:colOff>171578</xdr:colOff>
      <xdr:row>465</xdr:row>
      <xdr:rowOff>53973</xdr:rowOff>
    </xdr:to>
    <xdr:sp macro="_xll.PtreeEvent_ObjectClick" textlink="">
      <xdr:nvSpPr>
        <xdr:cNvPr id="893" name="PTObj_DNode_1_230">
          <a:extLst>
            <a:ext uri="{FF2B5EF4-FFF2-40B4-BE49-F238E27FC236}">
              <a16:creationId xmlns:a16="http://schemas.microsoft.com/office/drawing/2014/main" id="{7E28A3DC-24F9-49AA-9004-090FC9156284}"/>
            </a:ext>
          </a:extLst>
        </xdr:cNvPr>
        <xdr:cNvSpPr/>
      </xdr:nvSpPr>
      <xdr:spPr>
        <a:xfrm>
          <a:off x="14119988" y="84028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464</xdr:row>
      <xdr:rowOff>60817</xdr:rowOff>
    </xdr:from>
    <xdr:ext cx="566520" cy="180627"/>
    <xdr:sp macro="_xll.PtreeEvent_ObjectClick" textlink="">
      <xdr:nvSpPr>
        <xdr:cNvPr id="896" name="PTObj_DBranchName_1_230">
          <a:extLst>
            <a:ext uri="{FF2B5EF4-FFF2-40B4-BE49-F238E27FC236}">
              <a16:creationId xmlns:a16="http://schemas.microsoft.com/office/drawing/2014/main" id="{A32A4406-2C60-4992-8BDE-F1C5C6277692}"/>
            </a:ext>
          </a:extLst>
        </xdr:cNvPr>
        <xdr:cNvSpPr txBox="1"/>
      </xdr:nvSpPr>
      <xdr:spPr>
        <a:xfrm>
          <a:off x="12974765" y="8403321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454</xdr:row>
      <xdr:rowOff>36829</xdr:rowOff>
    </xdr:from>
    <xdr:to>
      <xdr:col>8</xdr:col>
      <xdr:colOff>154432</xdr:colOff>
      <xdr:row>455</xdr:row>
      <xdr:rowOff>38733</xdr:rowOff>
    </xdr:to>
    <xdr:sp macro="_xll.PtreeEvent_ObjectClick" textlink="">
      <xdr:nvSpPr>
        <xdr:cNvPr id="897" name="PTObj_DNode_1_225">
          <a:extLst>
            <a:ext uri="{FF2B5EF4-FFF2-40B4-BE49-F238E27FC236}">
              <a16:creationId xmlns:a16="http://schemas.microsoft.com/office/drawing/2014/main" id="{9F876A5C-449E-4A56-94D2-34B110477757}"/>
            </a:ext>
          </a:extLst>
        </xdr:cNvPr>
        <xdr:cNvSpPr/>
      </xdr:nvSpPr>
      <xdr:spPr>
        <a:xfrm>
          <a:off x="15544927" y="82199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454</xdr:row>
      <xdr:rowOff>37957</xdr:rowOff>
    </xdr:from>
    <xdr:ext cx="566519" cy="180627"/>
    <xdr:sp macro="_xll.PtreeEvent_ObjectClick" textlink="">
      <xdr:nvSpPr>
        <xdr:cNvPr id="900" name="PTObj_DBranchName_1_225">
          <a:extLst>
            <a:ext uri="{FF2B5EF4-FFF2-40B4-BE49-F238E27FC236}">
              <a16:creationId xmlns:a16="http://schemas.microsoft.com/office/drawing/2014/main" id="{75A931C6-3421-4A3A-BCC0-C304F39A8DFF}"/>
            </a:ext>
          </a:extLst>
        </xdr:cNvPr>
        <xdr:cNvSpPr txBox="1"/>
      </xdr:nvSpPr>
      <xdr:spPr>
        <a:xfrm>
          <a:off x="14398752" y="82200607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446</xdr:row>
      <xdr:rowOff>21592</xdr:rowOff>
    </xdr:from>
    <xdr:to>
      <xdr:col>9</xdr:col>
      <xdr:colOff>150622</xdr:colOff>
      <xdr:row>447</xdr:row>
      <xdr:rowOff>19686</xdr:rowOff>
    </xdr:to>
    <xdr:sp macro="_xll.PtreeEvent_ObjectClick" textlink="">
      <xdr:nvSpPr>
        <xdr:cNvPr id="901" name="PTObj_DNode_1_221">
          <a:extLst>
            <a:ext uri="{FF2B5EF4-FFF2-40B4-BE49-F238E27FC236}">
              <a16:creationId xmlns:a16="http://schemas.microsoft.com/office/drawing/2014/main" id="{2F28D9E9-F6D9-428F-8784-FC169435815C}"/>
            </a:ext>
          </a:extLst>
        </xdr:cNvPr>
        <xdr:cNvSpPr/>
      </xdr:nvSpPr>
      <xdr:spPr>
        <a:xfrm>
          <a:off x="16969867" y="807364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446</xdr:row>
      <xdr:rowOff>18905</xdr:rowOff>
    </xdr:from>
    <xdr:ext cx="568424" cy="180627"/>
    <xdr:sp macro="_xll.PtreeEvent_ObjectClick" textlink="">
      <xdr:nvSpPr>
        <xdr:cNvPr id="904" name="PTObj_DBranchName_1_221">
          <a:extLst>
            <a:ext uri="{FF2B5EF4-FFF2-40B4-BE49-F238E27FC236}">
              <a16:creationId xmlns:a16="http://schemas.microsoft.com/office/drawing/2014/main" id="{9085E7BC-AA5A-4E64-99EC-7E9D6E1D7F37}"/>
            </a:ext>
          </a:extLst>
        </xdr:cNvPr>
        <xdr:cNvSpPr txBox="1"/>
      </xdr:nvSpPr>
      <xdr:spPr>
        <a:xfrm>
          <a:off x="15820834" y="807337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448</xdr:row>
      <xdr:rowOff>25400</xdr:rowOff>
    </xdr:from>
    <xdr:to>
      <xdr:col>10</xdr:col>
      <xdr:colOff>131573</xdr:colOff>
      <xdr:row>449</xdr:row>
      <xdr:rowOff>21589</xdr:rowOff>
    </xdr:to>
    <xdr:sp macro="_xll.PtreeEvent_ObjectClick" textlink="">
      <xdr:nvSpPr>
        <xdr:cNvPr id="905" name="PTObj_DNode_1_222">
          <a:extLst>
            <a:ext uri="{FF2B5EF4-FFF2-40B4-BE49-F238E27FC236}">
              <a16:creationId xmlns:a16="http://schemas.microsoft.com/office/drawing/2014/main" id="{E9D5EFB3-FDBD-4CDC-9BE5-51CE23FE5953}"/>
            </a:ext>
          </a:extLst>
        </xdr:cNvPr>
        <xdr:cNvSpPr/>
      </xdr:nvSpPr>
      <xdr:spPr>
        <a:xfrm>
          <a:off x="18394807" y="81102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448</xdr:row>
      <xdr:rowOff>22719</xdr:rowOff>
    </xdr:from>
    <xdr:ext cx="514858" cy="180627"/>
    <xdr:sp macro="_xll.PtreeEvent_ObjectClick" textlink="">
      <xdr:nvSpPr>
        <xdr:cNvPr id="908" name="PTObj_DBranchName_1_222">
          <a:extLst>
            <a:ext uri="{FF2B5EF4-FFF2-40B4-BE49-F238E27FC236}">
              <a16:creationId xmlns:a16="http://schemas.microsoft.com/office/drawing/2014/main" id="{3BFEABF3-9914-408B-82E5-1594DF53404A}"/>
            </a:ext>
          </a:extLst>
        </xdr:cNvPr>
        <xdr:cNvSpPr txBox="1"/>
      </xdr:nvSpPr>
      <xdr:spPr>
        <a:xfrm>
          <a:off x="17244820" y="810995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450</xdr:row>
      <xdr:rowOff>29208</xdr:rowOff>
    </xdr:from>
    <xdr:to>
      <xdr:col>11</xdr:col>
      <xdr:colOff>135382</xdr:colOff>
      <xdr:row>451</xdr:row>
      <xdr:rowOff>17776</xdr:rowOff>
    </xdr:to>
    <xdr:sp macro="_xll.PtreeEvent_ObjectClick" textlink="">
      <xdr:nvSpPr>
        <xdr:cNvPr id="909" name="PTObj_DNode_1_223">
          <a:extLst>
            <a:ext uri="{FF2B5EF4-FFF2-40B4-BE49-F238E27FC236}">
              <a16:creationId xmlns:a16="http://schemas.microsoft.com/office/drawing/2014/main" id="{FE8D6898-DC52-46D0-AC03-B0103D7251D2}"/>
            </a:ext>
          </a:extLst>
        </xdr:cNvPr>
        <xdr:cNvSpPr/>
      </xdr:nvSpPr>
      <xdr:spPr>
        <a:xfrm>
          <a:off x="19819747" y="814679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450</xdr:row>
      <xdr:rowOff>28431</xdr:rowOff>
    </xdr:from>
    <xdr:ext cx="514858" cy="180627"/>
    <xdr:sp macro="_xll.PtreeEvent_ObjectClick" textlink="">
      <xdr:nvSpPr>
        <xdr:cNvPr id="912" name="PTObj_DBranchName_1_223">
          <a:extLst>
            <a:ext uri="{FF2B5EF4-FFF2-40B4-BE49-F238E27FC236}">
              <a16:creationId xmlns:a16="http://schemas.microsoft.com/office/drawing/2014/main" id="{9D4F8EF2-08E1-49E6-BB83-AB0453770E95}"/>
            </a:ext>
          </a:extLst>
        </xdr:cNvPr>
        <xdr:cNvSpPr txBox="1"/>
      </xdr:nvSpPr>
      <xdr:spPr>
        <a:xfrm>
          <a:off x="18666904" y="81467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452</xdr:row>
      <xdr:rowOff>35878</xdr:rowOff>
    </xdr:from>
    <xdr:to>
      <xdr:col>12</xdr:col>
      <xdr:colOff>132525</xdr:colOff>
      <xdr:row>453</xdr:row>
      <xdr:rowOff>18733</xdr:rowOff>
    </xdr:to>
    <xdr:sp macro="_xll.PtreeEvent_ObjectClick" textlink="">
      <xdr:nvSpPr>
        <xdr:cNvPr id="913" name="PTObj_DNode_1_224">
          <a:extLst>
            <a:ext uri="{FF2B5EF4-FFF2-40B4-BE49-F238E27FC236}">
              <a16:creationId xmlns:a16="http://schemas.microsoft.com/office/drawing/2014/main" id="{35124796-4C35-428F-BC86-BFB1DE816A0E}"/>
            </a:ext>
          </a:extLst>
        </xdr:cNvPr>
        <xdr:cNvSpPr/>
      </xdr:nvSpPr>
      <xdr:spPr>
        <a:xfrm rot="-5400000">
          <a:off x="21248498" y="818318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452</xdr:row>
      <xdr:rowOff>32239</xdr:rowOff>
    </xdr:from>
    <xdr:ext cx="514858" cy="180627"/>
    <xdr:sp macro="_xll.PtreeEvent_ObjectClick" textlink="">
      <xdr:nvSpPr>
        <xdr:cNvPr id="916" name="PTObj_DBranchName_1_224">
          <a:extLst>
            <a:ext uri="{FF2B5EF4-FFF2-40B4-BE49-F238E27FC236}">
              <a16:creationId xmlns:a16="http://schemas.microsoft.com/office/drawing/2014/main" id="{EF7DC7BA-BA5E-4287-A487-6FBAFAB3788B}"/>
            </a:ext>
          </a:extLst>
        </xdr:cNvPr>
        <xdr:cNvSpPr txBox="1"/>
      </xdr:nvSpPr>
      <xdr:spPr>
        <a:xfrm>
          <a:off x="20094701" y="81832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456</xdr:row>
      <xdr:rowOff>40642</xdr:rowOff>
    </xdr:from>
    <xdr:to>
      <xdr:col>9</xdr:col>
      <xdr:colOff>150622</xdr:colOff>
      <xdr:row>457</xdr:row>
      <xdr:rowOff>53976</xdr:rowOff>
    </xdr:to>
    <xdr:sp macro="_xll.PtreeEvent_ObjectClick" textlink="">
      <xdr:nvSpPr>
        <xdr:cNvPr id="917" name="PTObj_DNode_1_226">
          <a:extLst>
            <a:ext uri="{FF2B5EF4-FFF2-40B4-BE49-F238E27FC236}">
              <a16:creationId xmlns:a16="http://schemas.microsoft.com/office/drawing/2014/main" id="{EAA4EF35-2702-4C88-A3D4-7238F069DF50}"/>
            </a:ext>
          </a:extLst>
        </xdr:cNvPr>
        <xdr:cNvSpPr/>
      </xdr:nvSpPr>
      <xdr:spPr>
        <a:xfrm>
          <a:off x="16969867" y="825652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456</xdr:row>
      <xdr:rowOff>41765</xdr:rowOff>
    </xdr:from>
    <xdr:ext cx="568424" cy="180627"/>
    <xdr:sp macro="_xll.PtreeEvent_ObjectClick" textlink="">
      <xdr:nvSpPr>
        <xdr:cNvPr id="920" name="PTObj_DBranchName_1_226">
          <a:extLst>
            <a:ext uri="{FF2B5EF4-FFF2-40B4-BE49-F238E27FC236}">
              <a16:creationId xmlns:a16="http://schemas.microsoft.com/office/drawing/2014/main" id="{F22B71F3-39A1-4098-81AC-8B01E73FA5AA}"/>
            </a:ext>
          </a:extLst>
        </xdr:cNvPr>
        <xdr:cNvSpPr txBox="1"/>
      </xdr:nvSpPr>
      <xdr:spPr>
        <a:xfrm>
          <a:off x="15820834" y="825663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458</xdr:row>
      <xdr:rowOff>44450</xdr:rowOff>
    </xdr:from>
    <xdr:to>
      <xdr:col>10</xdr:col>
      <xdr:colOff>131573</xdr:colOff>
      <xdr:row>459</xdr:row>
      <xdr:rowOff>57784</xdr:rowOff>
    </xdr:to>
    <xdr:sp macro="_xll.PtreeEvent_ObjectClick" textlink="">
      <xdr:nvSpPr>
        <xdr:cNvPr id="921" name="PTObj_DNode_1_227">
          <a:extLst>
            <a:ext uri="{FF2B5EF4-FFF2-40B4-BE49-F238E27FC236}">
              <a16:creationId xmlns:a16="http://schemas.microsoft.com/office/drawing/2014/main" id="{38BC8592-C653-4815-85CE-E52FDBA03730}"/>
            </a:ext>
          </a:extLst>
        </xdr:cNvPr>
        <xdr:cNvSpPr/>
      </xdr:nvSpPr>
      <xdr:spPr>
        <a:xfrm>
          <a:off x="18394807" y="82931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458</xdr:row>
      <xdr:rowOff>47484</xdr:rowOff>
    </xdr:from>
    <xdr:ext cx="514858" cy="180627"/>
    <xdr:sp macro="_xll.PtreeEvent_ObjectClick" textlink="">
      <xdr:nvSpPr>
        <xdr:cNvPr id="924" name="PTObj_DBranchName_1_227">
          <a:extLst>
            <a:ext uri="{FF2B5EF4-FFF2-40B4-BE49-F238E27FC236}">
              <a16:creationId xmlns:a16="http://schemas.microsoft.com/office/drawing/2014/main" id="{7DC0613E-5F88-4836-9D4B-AB873A5CD4DA}"/>
            </a:ext>
          </a:extLst>
        </xdr:cNvPr>
        <xdr:cNvSpPr txBox="1"/>
      </xdr:nvSpPr>
      <xdr:spPr>
        <a:xfrm>
          <a:off x="17244820" y="82934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460</xdr:row>
      <xdr:rowOff>48258</xdr:rowOff>
    </xdr:from>
    <xdr:to>
      <xdr:col>11</xdr:col>
      <xdr:colOff>135382</xdr:colOff>
      <xdr:row>461</xdr:row>
      <xdr:rowOff>53971</xdr:rowOff>
    </xdr:to>
    <xdr:sp macro="_xll.PtreeEvent_ObjectClick" textlink="">
      <xdr:nvSpPr>
        <xdr:cNvPr id="925" name="PTObj_DNode_1_228">
          <a:extLst>
            <a:ext uri="{FF2B5EF4-FFF2-40B4-BE49-F238E27FC236}">
              <a16:creationId xmlns:a16="http://schemas.microsoft.com/office/drawing/2014/main" id="{9AE69762-DA53-4C23-B49F-F7C1F2845D98}"/>
            </a:ext>
          </a:extLst>
        </xdr:cNvPr>
        <xdr:cNvSpPr/>
      </xdr:nvSpPr>
      <xdr:spPr>
        <a:xfrm>
          <a:off x="19819747" y="832967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460</xdr:row>
      <xdr:rowOff>51291</xdr:rowOff>
    </xdr:from>
    <xdr:ext cx="514858" cy="180627"/>
    <xdr:sp macro="_xll.PtreeEvent_ObjectClick" textlink="">
      <xdr:nvSpPr>
        <xdr:cNvPr id="928" name="PTObj_DBranchName_1_228">
          <a:extLst>
            <a:ext uri="{FF2B5EF4-FFF2-40B4-BE49-F238E27FC236}">
              <a16:creationId xmlns:a16="http://schemas.microsoft.com/office/drawing/2014/main" id="{A5261803-12A7-45B2-B223-D15815CD65B1}"/>
            </a:ext>
          </a:extLst>
        </xdr:cNvPr>
        <xdr:cNvSpPr txBox="1"/>
      </xdr:nvSpPr>
      <xdr:spPr>
        <a:xfrm>
          <a:off x="18666904" y="83299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462</xdr:row>
      <xdr:rowOff>59691</xdr:rowOff>
    </xdr:from>
    <xdr:to>
      <xdr:col>12</xdr:col>
      <xdr:colOff>131572</xdr:colOff>
      <xdr:row>463</xdr:row>
      <xdr:rowOff>53976</xdr:rowOff>
    </xdr:to>
    <xdr:sp macro="_xll.PtreeEvent_ObjectClick" textlink="">
      <xdr:nvSpPr>
        <xdr:cNvPr id="929" name="PTObj_DNode_1_229">
          <a:extLst>
            <a:ext uri="{FF2B5EF4-FFF2-40B4-BE49-F238E27FC236}">
              <a16:creationId xmlns:a16="http://schemas.microsoft.com/office/drawing/2014/main" id="{1F8E1E29-DC2B-403B-8B68-65BB9AAE31CC}"/>
            </a:ext>
          </a:extLst>
        </xdr:cNvPr>
        <xdr:cNvSpPr/>
      </xdr:nvSpPr>
      <xdr:spPr>
        <a:xfrm rot="-5400000">
          <a:off x="21248498" y="836663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462</xdr:row>
      <xdr:rowOff>57004</xdr:rowOff>
    </xdr:from>
    <xdr:ext cx="514858" cy="180627"/>
    <xdr:sp macro="_xll.PtreeEvent_ObjectClick" textlink="">
      <xdr:nvSpPr>
        <xdr:cNvPr id="932" name="PTObj_DBranchName_1_229">
          <a:extLst>
            <a:ext uri="{FF2B5EF4-FFF2-40B4-BE49-F238E27FC236}">
              <a16:creationId xmlns:a16="http://schemas.microsoft.com/office/drawing/2014/main" id="{9B92EF26-CCC0-4C8E-8E6C-F6FD736AE345}"/>
            </a:ext>
          </a:extLst>
        </xdr:cNvPr>
        <xdr:cNvSpPr txBox="1"/>
      </xdr:nvSpPr>
      <xdr:spPr>
        <a:xfrm>
          <a:off x="20094701" y="836674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474</xdr:row>
      <xdr:rowOff>74929</xdr:rowOff>
    </xdr:from>
    <xdr:to>
      <xdr:col>8</xdr:col>
      <xdr:colOff>154432</xdr:colOff>
      <xdr:row>475</xdr:row>
      <xdr:rowOff>76833</xdr:rowOff>
    </xdr:to>
    <xdr:sp macro="_xll.PtreeEvent_ObjectClick" textlink="">
      <xdr:nvSpPr>
        <xdr:cNvPr id="933" name="PTObj_DNode_1_235">
          <a:extLst>
            <a:ext uri="{FF2B5EF4-FFF2-40B4-BE49-F238E27FC236}">
              <a16:creationId xmlns:a16="http://schemas.microsoft.com/office/drawing/2014/main" id="{C15296DE-148E-40DE-8E0B-CFB4A2580A98}"/>
            </a:ext>
          </a:extLst>
        </xdr:cNvPr>
        <xdr:cNvSpPr/>
      </xdr:nvSpPr>
      <xdr:spPr>
        <a:xfrm>
          <a:off x="15544927" y="85857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474</xdr:row>
      <xdr:rowOff>76057</xdr:rowOff>
    </xdr:from>
    <xdr:ext cx="568425" cy="180627"/>
    <xdr:sp macro="_xll.PtreeEvent_ObjectClick" textlink="">
      <xdr:nvSpPr>
        <xdr:cNvPr id="936" name="PTObj_DBranchName_1_235">
          <a:extLst>
            <a:ext uri="{FF2B5EF4-FFF2-40B4-BE49-F238E27FC236}">
              <a16:creationId xmlns:a16="http://schemas.microsoft.com/office/drawing/2014/main" id="{E87BDDE3-B255-4944-BB89-DCE4701DD59C}"/>
            </a:ext>
          </a:extLst>
        </xdr:cNvPr>
        <xdr:cNvSpPr txBox="1"/>
      </xdr:nvSpPr>
      <xdr:spPr>
        <a:xfrm>
          <a:off x="14400657" y="85858207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466</xdr:row>
      <xdr:rowOff>59692</xdr:rowOff>
    </xdr:from>
    <xdr:to>
      <xdr:col>9</xdr:col>
      <xdr:colOff>150622</xdr:colOff>
      <xdr:row>467</xdr:row>
      <xdr:rowOff>53976</xdr:rowOff>
    </xdr:to>
    <xdr:sp macro="_xll.PtreeEvent_ObjectClick" textlink="">
      <xdr:nvSpPr>
        <xdr:cNvPr id="937" name="PTObj_DNode_1_231">
          <a:extLst>
            <a:ext uri="{FF2B5EF4-FFF2-40B4-BE49-F238E27FC236}">
              <a16:creationId xmlns:a16="http://schemas.microsoft.com/office/drawing/2014/main" id="{B9E7C826-DFEB-4F75-AAD6-47598EBEC200}"/>
            </a:ext>
          </a:extLst>
        </xdr:cNvPr>
        <xdr:cNvSpPr/>
      </xdr:nvSpPr>
      <xdr:spPr>
        <a:xfrm>
          <a:off x="16969867" y="843940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466</xdr:row>
      <xdr:rowOff>57005</xdr:rowOff>
    </xdr:from>
    <xdr:ext cx="568424" cy="180627"/>
    <xdr:sp macro="_xll.PtreeEvent_ObjectClick" textlink="">
      <xdr:nvSpPr>
        <xdr:cNvPr id="940" name="PTObj_DBranchName_1_231">
          <a:extLst>
            <a:ext uri="{FF2B5EF4-FFF2-40B4-BE49-F238E27FC236}">
              <a16:creationId xmlns:a16="http://schemas.microsoft.com/office/drawing/2014/main" id="{D6CA5E5A-42FA-45ED-980F-D86DF96D8D51}"/>
            </a:ext>
          </a:extLst>
        </xdr:cNvPr>
        <xdr:cNvSpPr txBox="1"/>
      </xdr:nvSpPr>
      <xdr:spPr>
        <a:xfrm>
          <a:off x="15820834" y="843913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468</xdr:row>
      <xdr:rowOff>63500</xdr:rowOff>
    </xdr:from>
    <xdr:to>
      <xdr:col>10</xdr:col>
      <xdr:colOff>135383</xdr:colOff>
      <xdr:row>469</xdr:row>
      <xdr:rowOff>55879</xdr:rowOff>
    </xdr:to>
    <xdr:sp macro="_xll.PtreeEvent_ObjectClick" textlink="">
      <xdr:nvSpPr>
        <xdr:cNvPr id="941" name="PTObj_DNode_1_232">
          <a:extLst>
            <a:ext uri="{FF2B5EF4-FFF2-40B4-BE49-F238E27FC236}">
              <a16:creationId xmlns:a16="http://schemas.microsoft.com/office/drawing/2014/main" id="{56B7F786-C429-4385-94F7-2C1114D67499}"/>
            </a:ext>
          </a:extLst>
        </xdr:cNvPr>
        <xdr:cNvSpPr/>
      </xdr:nvSpPr>
      <xdr:spPr>
        <a:xfrm>
          <a:off x="18394807" y="84759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468</xdr:row>
      <xdr:rowOff>60819</xdr:rowOff>
    </xdr:from>
    <xdr:ext cx="514858" cy="180627"/>
    <xdr:sp macro="_xll.PtreeEvent_ObjectClick" textlink="">
      <xdr:nvSpPr>
        <xdr:cNvPr id="944" name="PTObj_DBranchName_1_232">
          <a:extLst>
            <a:ext uri="{FF2B5EF4-FFF2-40B4-BE49-F238E27FC236}">
              <a16:creationId xmlns:a16="http://schemas.microsoft.com/office/drawing/2014/main" id="{EEB8B779-6F82-467A-B4C5-C1938CE3AC00}"/>
            </a:ext>
          </a:extLst>
        </xdr:cNvPr>
        <xdr:cNvSpPr txBox="1"/>
      </xdr:nvSpPr>
      <xdr:spPr>
        <a:xfrm>
          <a:off x="17244820" y="847571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470</xdr:row>
      <xdr:rowOff>67308</xdr:rowOff>
    </xdr:from>
    <xdr:to>
      <xdr:col>11</xdr:col>
      <xdr:colOff>131572</xdr:colOff>
      <xdr:row>471</xdr:row>
      <xdr:rowOff>59686</xdr:rowOff>
    </xdr:to>
    <xdr:sp macro="_xll.PtreeEvent_ObjectClick" textlink="">
      <xdr:nvSpPr>
        <xdr:cNvPr id="945" name="PTObj_DNode_1_233">
          <a:extLst>
            <a:ext uri="{FF2B5EF4-FFF2-40B4-BE49-F238E27FC236}">
              <a16:creationId xmlns:a16="http://schemas.microsoft.com/office/drawing/2014/main" id="{4C970AEE-13DC-4724-AB2C-9BF8967F0504}"/>
            </a:ext>
          </a:extLst>
        </xdr:cNvPr>
        <xdr:cNvSpPr/>
      </xdr:nvSpPr>
      <xdr:spPr>
        <a:xfrm>
          <a:off x="19819747" y="851255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470</xdr:row>
      <xdr:rowOff>66531</xdr:rowOff>
    </xdr:from>
    <xdr:ext cx="514858" cy="180627"/>
    <xdr:sp macro="_xll.PtreeEvent_ObjectClick" textlink="">
      <xdr:nvSpPr>
        <xdr:cNvPr id="948" name="PTObj_DBranchName_1_233">
          <a:extLst>
            <a:ext uri="{FF2B5EF4-FFF2-40B4-BE49-F238E27FC236}">
              <a16:creationId xmlns:a16="http://schemas.microsoft.com/office/drawing/2014/main" id="{A70469C3-3BAC-4F6B-BEEF-99B2DDE2DAD6}"/>
            </a:ext>
          </a:extLst>
        </xdr:cNvPr>
        <xdr:cNvSpPr txBox="1"/>
      </xdr:nvSpPr>
      <xdr:spPr>
        <a:xfrm>
          <a:off x="18666904" y="85124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472</xdr:row>
      <xdr:rowOff>73978</xdr:rowOff>
    </xdr:from>
    <xdr:to>
      <xdr:col>12</xdr:col>
      <xdr:colOff>136335</xdr:colOff>
      <xdr:row>473</xdr:row>
      <xdr:rowOff>60643</xdr:rowOff>
    </xdr:to>
    <xdr:sp macro="_xll.PtreeEvent_ObjectClick" textlink="">
      <xdr:nvSpPr>
        <xdr:cNvPr id="949" name="PTObj_DNode_1_234">
          <a:extLst>
            <a:ext uri="{FF2B5EF4-FFF2-40B4-BE49-F238E27FC236}">
              <a16:creationId xmlns:a16="http://schemas.microsoft.com/office/drawing/2014/main" id="{F9B83F1C-E8D3-4058-8174-2346A25E8573}"/>
            </a:ext>
          </a:extLst>
        </xdr:cNvPr>
        <xdr:cNvSpPr/>
      </xdr:nvSpPr>
      <xdr:spPr>
        <a:xfrm rot="-5400000">
          <a:off x="21248498" y="854894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472</xdr:row>
      <xdr:rowOff>70339</xdr:rowOff>
    </xdr:from>
    <xdr:ext cx="514858" cy="180627"/>
    <xdr:sp macro="_xll.PtreeEvent_ObjectClick" textlink="">
      <xdr:nvSpPr>
        <xdr:cNvPr id="952" name="PTObj_DBranchName_1_234">
          <a:extLst>
            <a:ext uri="{FF2B5EF4-FFF2-40B4-BE49-F238E27FC236}">
              <a16:creationId xmlns:a16="http://schemas.microsoft.com/office/drawing/2014/main" id="{E822A5CF-2C88-4702-9BCE-AEAD21948BE8}"/>
            </a:ext>
          </a:extLst>
        </xdr:cNvPr>
        <xdr:cNvSpPr txBox="1"/>
      </xdr:nvSpPr>
      <xdr:spPr>
        <a:xfrm>
          <a:off x="20094701" y="85490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476</xdr:row>
      <xdr:rowOff>78742</xdr:rowOff>
    </xdr:from>
    <xdr:to>
      <xdr:col>9</xdr:col>
      <xdr:colOff>150622</xdr:colOff>
      <xdr:row>477</xdr:row>
      <xdr:rowOff>95886</xdr:rowOff>
    </xdr:to>
    <xdr:sp macro="_xll.PtreeEvent_ObjectClick" textlink="">
      <xdr:nvSpPr>
        <xdr:cNvPr id="953" name="PTObj_DNode_1_236">
          <a:extLst>
            <a:ext uri="{FF2B5EF4-FFF2-40B4-BE49-F238E27FC236}">
              <a16:creationId xmlns:a16="http://schemas.microsoft.com/office/drawing/2014/main" id="{E29D4301-9F2B-4124-917C-233C057E3C24}"/>
            </a:ext>
          </a:extLst>
        </xdr:cNvPr>
        <xdr:cNvSpPr/>
      </xdr:nvSpPr>
      <xdr:spPr>
        <a:xfrm>
          <a:off x="16969867" y="862228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476</xdr:row>
      <xdr:rowOff>79865</xdr:rowOff>
    </xdr:from>
    <xdr:ext cx="568424" cy="180627"/>
    <xdr:sp macro="_xll.PtreeEvent_ObjectClick" textlink="">
      <xdr:nvSpPr>
        <xdr:cNvPr id="956" name="PTObj_DBranchName_1_236">
          <a:extLst>
            <a:ext uri="{FF2B5EF4-FFF2-40B4-BE49-F238E27FC236}">
              <a16:creationId xmlns:a16="http://schemas.microsoft.com/office/drawing/2014/main" id="{5B4BE455-346A-4831-9A75-5B95240BC0FE}"/>
            </a:ext>
          </a:extLst>
        </xdr:cNvPr>
        <xdr:cNvSpPr txBox="1"/>
      </xdr:nvSpPr>
      <xdr:spPr>
        <a:xfrm>
          <a:off x="15820834" y="862239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478</xdr:row>
      <xdr:rowOff>82550</xdr:rowOff>
    </xdr:from>
    <xdr:to>
      <xdr:col>10</xdr:col>
      <xdr:colOff>135383</xdr:colOff>
      <xdr:row>479</xdr:row>
      <xdr:rowOff>92074</xdr:rowOff>
    </xdr:to>
    <xdr:sp macro="_xll.PtreeEvent_ObjectClick" textlink="">
      <xdr:nvSpPr>
        <xdr:cNvPr id="957" name="PTObj_DNode_1_237">
          <a:extLst>
            <a:ext uri="{FF2B5EF4-FFF2-40B4-BE49-F238E27FC236}">
              <a16:creationId xmlns:a16="http://schemas.microsoft.com/office/drawing/2014/main" id="{305C2563-3FC2-47C6-AF07-DD1649F51316}"/>
            </a:ext>
          </a:extLst>
        </xdr:cNvPr>
        <xdr:cNvSpPr/>
      </xdr:nvSpPr>
      <xdr:spPr>
        <a:xfrm>
          <a:off x="18394807" y="86588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478</xdr:row>
      <xdr:rowOff>85584</xdr:rowOff>
    </xdr:from>
    <xdr:ext cx="514858" cy="180627"/>
    <xdr:sp macro="_xll.PtreeEvent_ObjectClick" textlink="">
      <xdr:nvSpPr>
        <xdr:cNvPr id="960" name="PTObj_DBranchName_1_237">
          <a:extLst>
            <a:ext uri="{FF2B5EF4-FFF2-40B4-BE49-F238E27FC236}">
              <a16:creationId xmlns:a16="http://schemas.microsoft.com/office/drawing/2014/main" id="{0E1E2BE4-7B83-4A6A-9AD3-38BB00C66399}"/>
            </a:ext>
          </a:extLst>
        </xdr:cNvPr>
        <xdr:cNvSpPr txBox="1"/>
      </xdr:nvSpPr>
      <xdr:spPr>
        <a:xfrm>
          <a:off x="17244820" y="86591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480</xdr:row>
      <xdr:rowOff>86358</xdr:rowOff>
    </xdr:from>
    <xdr:to>
      <xdr:col>11</xdr:col>
      <xdr:colOff>131572</xdr:colOff>
      <xdr:row>481</xdr:row>
      <xdr:rowOff>95881</xdr:rowOff>
    </xdr:to>
    <xdr:sp macro="_xll.PtreeEvent_ObjectClick" textlink="">
      <xdr:nvSpPr>
        <xdr:cNvPr id="961" name="PTObj_DNode_1_238">
          <a:extLst>
            <a:ext uri="{FF2B5EF4-FFF2-40B4-BE49-F238E27FC236}">
              <a16:creationId xmlns:a16="http://schemas.microsoft.com/office/drawing/2014/main" id="{FC0DBD4D-D29B-4B4A-B551-82B290708498}"/>
            </a:ext>
          </a:extLst>
        </xdr:cNvPr>
        <xdr:cNvSpPr/>
      </xdr:nvSpPr>
      <xdr:spPr>
        <a:xfrm>
          <a:off x="19819747" y="869543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480</xdr:row>
      <xdr:rowOff>89391</xdr:rowOff>
    </xdr:from>
    <xdr:ext cx="514858" cy="180627"/>
    <xdr:sp macro="_xll.PtreeEvent_ObjectClick" textlink="">
      <xdr:nvSpPr>
        <xdr:cNvPr id="964" name="PTObj_DBranchName_1_238">
          <a:extLst>
            <a:ext uri="{FF2B5EF4-FFF2-40B4-BE49-F238E27FC236}">
              <a16:creationId xmlns:a16="http://schemas.microsoft.com/office/drawing/2014/main" id="{A6CE1DFE-67C6-4B5B-BF17-B5AD31B47EFC}"/>
            </a:ext>
          </a:extLst>
        </xdr:cNvPr>
        <xdr:cNvSpPr txBox="1"/>
      </xdr:nvSpPr>
      <xdr:spPr>
        <a:xfrm>
          <a:off x="18666904" y="86957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482</xdr:row>
      <xdr:rowOff>97791</xdr:rowOff>
    </xdr:from>
    <xdr:to>
      <xdr:col>12</xdr:col>
      <xdr:colOff>135382</xdr:colOff>
      <xdr:row>483</xdr:row>
      <xdr:rowOff>95886</xdr:rowOff>
    </xdr:to>
    <xdr:sp macro="_xll.PtreeEvent_ObjectClick" textlink="">
      <xdr:nvSpPr>
        <xdr:cNvPr id="965" name="PTObj_DNode_1_239">
          <a:extLst>
            <a:ext uri="{FF2B5EF4-FFF2-40B4-BE49-F238E27FC236}">
              <a16:creationId xmlns:a16="http://schemas.microsoft.com/office/drawing/2014/main" id="{698BAA08-FA99-43DE-AD4B-D6CE452914BA}"/>
            </a:ext>
          </a:extLst>
        </xdr:cNvPr>
        <xdr:cNvSpPr/>
      </xdr:nvSpPr>
      <xdr:spPr>
        <a:xfrm rot="-5400000">
          <a:off x="21248498" y="873239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482</xdr:row>
      <xdr:rowOff>95104</xdr:rowOff>
    </xdr:from>
    <xdr:ext cx="514858" cy="180627"/>
    <xdr:sp macro="_xll.PtreeEvent_ObjectClick" textlink="">
      <xdr:nvSpPr>
        <xdr:cNvPr id="968" name="PTObj_DBranchName_1_239">
          <a:extLst>
            <a:ext uri="{FF2B5EF4-FFF2-40B4-BE49-F238E27FC236}">
              <a16:creationId xmlns:a16="http://schemas.microsoft.com/office/drawing/2014/main" id="{E07FE9C7-CC56-4E88-8AF0-9C86791125B1}"/>
            </a:ext>
          </a:extLst>
        </xdr:cNvPr>
        <xdr:cNvSpPr txBox="1"/>
      </xdr:nvSpPr>
      <xdr:spPr>
        <a:xfrm>
          <a:off x="20094701" y="873250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1411732</xdr:colOff>
      <xdr:row>565</xdr:row>
      <xdr:rowOff>65404</xdr:rowOff>
    </xdr:from>
    <xdr:to>
      <xdr:col>5</xdr:col>
      <xdr:colOff>173482</xdr:colOff>
      <xdr:row>566</xdr:row>
      <xdr:rowOff>55878</xdr:rowOff>
    </xdr:to>
    <xdr:sp macro="_xll.PtreeEvent_ObjectClick" textlink="">
      <xdr:nvSpPr>
        <xdr:cNvPr id="969" name="PTObj_DNode_1_280">
          <a:extLst>
            <a:ext uri="{FF2B5EF4-FFF2-40B4-BE49-F238E27FC236}">
              <a16:creationId xmlns:a16="http://schemas.microsoft.com/office/drawing/2014/main" id="{CD5C6A5B-1EE4-4E15-A6ED-542650D68E73}"/>
            </a:ext>
          </a:extLst>
        </xdr:cNvPr>
        <xdr:cNvSpPr/>
      </xdr:nvSpPr>
      <xdr:spPr>
        <a:xfrm>
          <a:off x="11270107" y="102316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565</xdr:row>
      <xdr:rowOff>64627</xdr:rowOff>
    </xdr:from>
    <xdr:ext cx="566520" cy="180627"/>
    <xdr:sp macro="_xll.PtreeEvent_ObjectClick" textlink="">
      <xdr:nvSpPr>
        <xdr:cNvPr id="972" name="PTObj_DBranchName_1_280">
          <a:extLst>
            <a:ext uri="{FF2B5EF4-FFF2-40B4-BE49-F238E27FC236}">
              <a16:creationId xmlns:a16="http://schemas.microsoft.com/office/drawing/2014/main" id="{D90ECC19-5D72-4CA1-AA5A-C5430F90360B}"/>
            </a:ext>
          </a:extLst>
        </xdr:cNvPr>
        <xdr:cNvSpPr txBox="1"/>
      </xdr:nvSpPr>
      <xdr:spPr>
        <a:xfrm>
          <a:off x="10124885" y="10231550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1407922</xdr:colOff>
      <xdr:row>524</xdr:row>
      <xdr:rowOff>170179</xdr:rowOff>
    </xdr:from>
    <xdr:to>
      <xdr:col>6</xdr:col>
      <xdr:colOff>171577</xdr:colOff>
      <xdr:row>525</xdr:row>
      <xdr:rowOff>168273</xdr:rowOff>
    </xdr:to>
    <xdr:sp macro="_xll.PtreeEvent_ObjectClick" textlink="">
      <xdr:nvSpPr>
        <xdr:cNvPr id="973" name="PTObj_DNode_1_260">
          <a:extLst>
            <a:ext uri="{FF2B5EF4-FFF2-40B4-BE49-F238E27FC236}">
              <a16:creationId xmlns:a16="http://schemas.microsoft.com/office/drawing/2014/main" id="{BF2F751D-FC21-412E-9934-28D7E3E707ED}"/>
            </a:ext>
          </a:extLst>
        </xdr:cNvPr>
        <xdr:cNvSpPr/>
      </xdr:nvSpPr>
      <xdr:spPr>
        <a:xfrm>
          <a:off x="12695047" y="950010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524</xdr:row>
      <xdr:rowOff>175117</xdr:rowOff>
    </xdr:from>
    <xdr:ext cx="568424" cy="180627"/>
    <xdr:sp macro="_xll.PtreeEvent_ObjectClick" textlink="">
      <xdr:nvSpPr>
        <xdr:cNvPr id="976" name="PTObj_DBranchName_1_260">
          <a:extLst>
            <a:ext uri="{FF2B5EF4-FFF2-40B4-BE49-F238E27FC236}">
              <a16:creationId xmlns:a16="http://schemas.microsoft.com/office/drawing/2014/main" id="{5E3EE7E0-26BF-447F-BA94-031F932641C3}"/>
            </a:ext>
          </a:extLst>
        </xdr:cNvPr>
        <xdr:cNvSpPr txBox="1"/>
      </xdr:nvSpPr>
      <xdr:spPr>
        <a:xfrm>
          <a:off x="11548872" y="95006017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504</xdr:row>
      <xdr:rowOff>132079</xdr:rowOff>
    </xdr:from>
    <xdr:to>
      <xdr:col>7</xdr:col>
      <xdr:colOff>167768</xdr:colOff>
      <xdr:row>505</xdr:row>
      <xdr:rowOff>133983</xdr:rowOff>
    </xdr:to>
    <xdr:sp macro="_xll.PtreeEvent_ObjectClick" textlink="">
      <xdr:nvSpPr>
        <xdr:cNvPr id="977" name="PTObj_DNode_1_250">
          <a:extLst>
            <a:ext uri="{FF2B5EF4-FFF2-40B4-BE49-F238E27FC236}">
              <a16:creationId xmlns:a16="http://schemas.microsoft.com/office/drawing/2014/main" id="{7D116AF4-CB0F-493C-A32D-C6DD539614ED}"/>
            </a:ext>
          </a:extLst>
        </xdr:cNvPr>
        <xdr:cNvSpPr/>
      </xdr:nvSpPr>
      <xdr:spPr>
        <a:xfrm>
          <a:off x="14119988" y="91343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504</xdr:row>
      <xdr:rowOff>137017</xdr:rowOff>
    </xdr:from>
    <xdr:ext cx="566520" cy="180627"/>
    <xdr:sp macro="_xll.PtreeEvent_ObjectClick" textlink="">
      <xdr:nvSpPr>
        <xdr:cNvPr id="980" name="PTObj_DBranchName_1_250">
          <a:extLst>
            <a:ext uri="{FF2B5EF4-FFF2-40B4-BE49-F238E27FC236}">
              <a16:creationId xmlns:a16="http://schemas.microsoft.com/office/drawing/2014/main" id="{421C4885-2319-4D59-A229-00389568F817}"/>
            </a:ext>
          </a:extLst>
        </xdr:cNvPr>
        <xdr:cNvSpPr txBox="1"/>
      </xdr:nvSpPr>
      <xdr:spPr>
        <a:xfrm>
          <a:off x="12976669" y="91348417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494</xdr:row>
      <xdr:rowOff>113029</xdr:rowOff>
    </xdr:from>
    <xdr:to>
      <xdr:col>8</xdr:col>
      <xdr:colOff>154432</xdr:colOff>
      <xdr:row>495</xdr:row>
      <xdr:rowOff>114933</xdr:rowOff>
    </xdr:to>
    <xdr:sp macro="_xll.PtreeEvent_ObjectClick" textlink="">
      <xdr:nvSpPr>
        <xdr:cNvPr id="981" name="PTObj_DNode_1_245">
          <a:extLst>
            <a:ext uri="{FF2B5EF4-FFF2-40B4-BE49-F238E27FC236}">
              <a16:creationId xmlns:a16="http://schemas.microsoft.com/office/drawing/2014/main" id="{11E5C48D-365A-4FB4-AD3B-CE0793F0A70B}"/>
            </a:ext>
          </a:extLst>
        </xdr:cNvPr>
        <xdr:cNvSpPr/>
      </xdr:nvSpPr>
      <xdr:spPr>
        <a:xfrm>
          <a:off x="15544927" y="89514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494</xdr:row>
      <xdr:rowOff>114157</xdr:rowOff>
    </xdr:from>
    <xdr:ext cx="566519" cy="180627"/>
    <xdr:sp macro="_xll.PtreeEvent_ObjectClick" textlink="">
      <xdr:nvSpPr>
        <xdr:cNvPr id="984" name="PTObj_DBranchName_1_245">
          <a:extLst>
            <a:ext uri="{FF2B5EF4-FFF2-40B4-BE49-F238E27FC236}">
              <a16:creationId xmlns:a16="http://schemas.microsoft.com/office/drawing/2014/main" id="{2A375778-AE6F-4204-B8DB-9EA1F9351887}"/>
            </a:ext>
          </a:extLst>
        </xdr:cNvPr>
        <xdr:cNvSpPr txBox="1"/>
      </xdr:nvSpPr>
      <xdr:spPr>
        <a:xfrm>
          <a:off x="14398752" y="89515807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486</xdr:row>
      <xdr:rowOff>97792</xdr:rowOff>
    </xdr:from>
    <xdr:to>
      <xdr:col>9</xdr:col>
      <xdr:colOff>150622</xdr:colOff>
      <xdr:row>487</xdr:row>
      <xdr:rowOff>92076</xdr:rowOff>
    </xdr:to>
    <xdr:sp macro="_xll.PtreeEvent_ObjectClick" textlink="">
      <xdr:nvSpPr>
        <xdr:cNvPr id="985" name="PTObj_DNode_1_241">
          <a:extLst>
            <a:ext uri="{FF2B5EF4-FFF2-40B4-BE49-F238E27FC236}">
              <a16:creationId xmlns:a16="http://schemas.microsoft.com/office/drawing/2014/main" id="{422B9F8D-83E0-48C0-9927-624B51A09634}"/>
            </a:ext>
          </a:extLst>
        </xdr:cNvPr>
        <xdr:cNvSpPr/>
      </xdr:nvSpPr>
      <xdr:spPr>
        <a:xfrm>
          <a:off x="16969867" y="880516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486</xdr:row>
      <xdr:rowOff>95105</xdr:rowOff>
    </xdr:from>
    <xdr:ext cx="568424" cy="180627"/>
    <xdr:sp macro="_xll.PtreeEvent_ObjectClick" textlink="">
      <xdr:nvSpPr>
        <xdr:cNvPr id="988" name="PTObj_DBranchName_1_241">
          <a:extLst>
            <a:ext uri="{FF2B5EF4-FFF2-40B4-BE49-F238E27FC236}">
              <a16:creationId xmlns:a16="http://schemas.microsoft.com/office/drawing/2014/main" id="{71177D94-7132-450D-A50A-B57828159CE5}"/>
            </a:ext>
          </a:extLst>
        </xdr:cNvPr>
        <xdr:cNvSpPr txBox="1"/>
      </xdr:nvSpPr>
      <xdr:spPr>
        <a:xfrm>
          <a:off x="15820834" y="880489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488</xdr:row>
      <xdr:rowOff>101600</xdr:rowOff>
    </xdr:from>
    <xdr:to>
      <xdr:col>10</xdr:col>
      <xdr:colOff>135383</xdr:colOff>
      <xdr:row>489</xdr:row>
      <xdr:rowOff>93979</xdr:rowOff>
    </xdr:to>
    <xdr:sp macro="_xll.PtreeEvent_ObjectClick" textlink="">
      <xdr:nvSpPr>
        <xdr:cNvPr id="989" name="PTObj_DNode_1_242">
          <a:extLst>
            <a:ext uri="{FF2B5EF4-FFF2-40B4-BE49-F238E27FC236}">
              <a16:creationId xmlns:a16="http://schemas.microsoft.com/office/drawing/2014/main" id="{899905D8-27DD-41E3-B491-54149BEAEA47}"/>
            </a:ext>
          </a:extLst>
        </xdr:cNvPr>
        <xdr:cNvSpPr/>
      </xdr:nvSpPr>
      <xdr:spPr>
        <a:xfrm>
          <a:off x="18394807" y="88417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488</xdr:row>
      <xdr:rowOff>98919</xdr:rowOff>
    </xdr:from>
    <xdr:ext cx="514858" cy="180627"/>
    <xdr:sp macro="_xll.PtreeEvent_ObjectClick" textlink="">
      <xdr:nvSpPr>
        <xdr:cNvPr id="992" name="PTObj_DBranchName_1_242">
          <a:extLst>
            <a:ext uri="{FF2B5EF4-FFF2-40B4-BE49-F238E27FC236}">
              <a16:creationId xmlns:a16="http://schemas.microsoft.com/office/drawing/2014/main" id="{59886E96-5484-4969-8072-275244C9590D}"/>
            </a:ext>
          </a:extLst>
        </xdr:cNvPr>
        <xdr:cNvSpPr txBox="1"/>
      </xdr:nvSpPr>
      <xdr:spPr>
        <a:xfrm>
          <a:off x="17244820" y="884147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490</xdr:row>
      <xdr:rowOff>105408</xdr:rowOff>
    </xdr:from>
    <xdr:to>
      <xdr:col>11</xdr:col>
      <xdr:colOff>131572</xdr:colOff>
      <xdr:row>491</xdr:row>
      <xdr:rowOff>97786</xdr:rowOff>
    </xdr:to>
    <xdr:sp macro="_xll.PtreeEvent_ObjectClick" textlink="">
      <xdr:nvSpPr>
        <xdr:cNvPr id="993" name="PTObj_DNode_1_243">
          <a:extLst>
            <a:ext uri="{FF2B5EF4-FFF2-40B4-BE49-F238E27FC236}">
              <a16:creationId xmlns:a16="http://schemas.microsoft.com/office/drawing/2014/main" id="{10106AFB-82E4-4FFE-988B-389B0720E4B5}"/>
            </a:ext>
          </a:extLst>
        </xdr:cNvPr>
        <xdr:cNvSpPr/>
      </xdr:nvSpPr>
      <xdr:spPr>
        <a:xfrm>
          <a:off x="19819747" y="887831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490</xdr:row>
      <xdr:rowOff>104631</xdr:rowOff>
    </xdr:from>
    <xdr:ext cx="514858" cy="180627"/>
    <xdr:sp macro="_xll.PtreeEvent_ObjectClick" textlink="">
      <xdr:nvSpPr>
        <xdr:cNvPr id="996" name="PTObj_DBranchName_1_243">
          <a:extLst>
            <a:ext uri="{FF2B5EF4-FFF2-40B4-BE49-F238E27FC236}">
              <a16:creationId xmlns:a16="http://schemas.microsoft.com/office/drawing/2014/main" id="{8D10732E-A112-4B20-AEF0-89BB59FFF5AF}"/>
            </a:ext>
          </a:extLst>
        </xdr:cNvPr>
        <xdr:cNvSpPr txBox="1"/>
      </xdr:nvSpPr>
      <xdr:spPr>
        <a:xfrm>
          <a:off x="18666904" y="88782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492</xdr:row>
      <xdr:rowOff>112078</xdr:rowOff>
    </xdr:from>
    <xdr:to>
      <xdr:col>12</xdr:col>
      <xdr:colOff>136335</xdr:colOff>
      <xdr:row>493</xdr:row>
      <xdr:rowOff>98743</xdr:rowOff>
    </xdr:to>
    <xdr:sp macro="_xll.PtreeEvent_ObjectClick" textlink="">
      <xdr:nvSpPr>
        <xdr:cNvPr id="997" name="PTObj_DNode_1_244">
          <a:extLst>
            <a:ext uri="{FF2B5EF4-FFF2-40B4-BE49-F238E27FC236}">
              <a16:creationId xmlns:a16="http://schemas.microsoft.com/office/drawing/2014/main" id="{6CDBDA67-46E6-4CC5-ABA3-89DE1C0FE18A}"/>
            </a:ext>
          </a:extLst>
        </xdr:cNvPr>
        <xdr:cNvSpPr/>
      </xdr:nvSpPr>
      <xdr:spPr>
        <a:xfrm rot="-5400000">
          <a:off x="21248498" y="891470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492</xdr:row>
      <xdr:rowOff>108439</xdr:rowOff>
    </xdr:from>
    <xdr:ext cx="514858" cy="180627"/>
    <xdr:sp macro="_xll.PtreeEvent_ObjectClick" textlink="">
      <xdr:nvSpPr>
        <xdr:cNvPr id="1000" name="PTObj_DBranchName_1_244">
          <a:extLst>
            <a:ext uri="{FF2B5EF4-FFF2-40B4-BE49-F238E27FC236}">
              <a16:creationId xmlns:a16="http://schemas.microsoft.com/office/drawing/2014/main" id="{66F1A4E2-8C98-4BCA-9FE6-127752A2C3C4}"/>
            </a:ext>
          </a:extLst>
        </xdr:cNvPr>
        <xdr:cNvSpPr txBox="1"/>
      </xdr:nvSpPr>
      <xdr:spPr>
        <a:xfrm>
          <a:off x="20094701" y="89148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496</xdr:row>
      <xdr:rowOff>116842</xdr:rowOff>
    </xdr:from>
    <xdr:to>
      <xdr:col>9</xdr:col>
      <xdr:colOff>150622</xdr:colOff>
      <xdr:row>497</xdr:row>
      <xdr:rowOff>133986</xdr:rowOff>
    </xdr:to>
    <xdr:sp macro="_xll.PtreeEvent_ObjectClick" textlink="">
      <xdr:nvSpPr>
        <xdr:cNvPr id="1001" name="PTObj_DNode_1_246">
          <a:extLst>
            <a:ext uri="{FF2B5EF4-FFF2-40B4-BE49-F238E27FC236}">
              <a16:creationId xmlns:a16="http://schemas.microsoft.com/office/drawing/2014/main" id="{95937746-B9C2-4373-B87A-10A276D4B41D}"/>
            </a:ext>
          </a:extLst>
        </xdr:cNvPr>
        <xdr:cNvSpPr/>
      </xdr:nvSpPr>
      <xdr:spPr>
        <a:xfrm>
          <a:off x="16969867" y="898804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496</xdr:row>
      <xdr:rowOff>117965</xdr:rowOff>
    </xdr:from>
    <xdr:ext cx="568424" cy="180627"/>
    <xdr:sp macro="_xll.PtreeEvent_ObjectClick" textlink="">
      <xdr:nvSpPr>
        <xdr:cNvPr id="1004" name="PTObj_DBranchName_1_246">
          <a:extLst>
            <a:ext uri="{FF2B5EF4-FFF2-40B4-BE49-F238E27FC236}">
              <a16:creationId xmlns:a16="http://schemas.microsoft.com/office/drawing/2014/main" id="{EBFF2E9C-2110-425E-93A4-9EAB48C728AB}"/>
            </a:ext>
          </a:extLst>
        </xdr:cNvPr>
        <xdr:cNvSpPr txBox="1"/>
      </xdr:nvSpPr>
      <xdr:spPr>
        <a:xfrm>
          <a:off x="15820834" y="898815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498</xdr:row>
      <xdr:rowOff>120650</xdr:rowOff>
    </xdr:from>
    <xdr:to>
      <xdr:col>10</xdr:col>
      <xdr:colOff>135383</xdr:colOff>
      <xdr:row>499</xdr:row>
      <xdr:rowOff>130174</xdr:rowOff>
    </xdr:to>
    <xdr:sp macro="_xll.PtreeEvent_ObjectClick" textlink="">
      <xdr:nvSpPr>
        <xdr:cNvPr id="1005" name="PTObj_DNode_1_247">
          <a:extLst>
            <a:ext uri="{FF2B5EF4-FFF2-40B4-BE49-F238E27FC236}">
              <a16:creationId xmlns:a16="http://schemas.microsoft.com/office/drawing/2014/main" id="{1817F68C-A17A-4CB0-BF04-60EF0D319065}"/>
            </a:ext>
          </a:extLst>
        </xdr:cNvPr>
        <xdr:cNvSpPr/>
      </xdr:nvSpPr>
      <xdr:spPr>
        <a:xfrm>
          <a:off x="18394807" y="90246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498</xdr:row>
      <xdr:rowOff>123684</xdr:rowOff>
    </xdr:from>
    <xdr:ext cx="514858" cy="180627"/>
    <xdr:sp macro="_xll.PtreeEvent_ObjectClick" textlink="">
      <xdr:nvSpPr>
        <xdr:cNvPr id="1008" name="PTObj_DBranchName_1_247">
          <a:extLst>
            <a:ext uri="{FF2B5EF4-FFF2-40B4-BE49-F238E27FC236}">
              <a16:creationId xmlns:a16="http://schemas.microsoft.com/office/drawing/2014/main" id="{1FD219CB-5DB2-4F7D-958E-A7741E160CB7}"/>
            </a:ext>
          </a:extLst>
        </xdr:cNvPr>
        <xdr:cNvSpPr txBox="1"/>
      </xdr:nvSpPr>
      <xdr:spPr>
        <a:xfrm>
          <a:off x="17244820" y="90249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500</xdr:row>
      <xdr:rowOff>124458</xdr:rowOff>
    </xdr:from>
    <xdr:to>
      <xdr:col>11</xdr:col>
      <xdr:colOff>131572</xdr:colOff>
      <xdr:row>501</xdr:row>
      <xdr:rowOff>133981</xdr:rowOff>
    </xdr:to>
    <xdr:sp macro="_xll.PtreeEvent_ObjectClick" textlink="">
      <xdr:nvSpPr>
        <xdr:cNvPr id="1009" name="PTObj_DNode_1_248">
          <a:extLst>
            <a:ext uri="{FF2B5EF4-FFF2-40B4-BE49-F238E27FC236}">
              <a16:creationId xmlns:a16="http://schemas.microsoft.com/office/drawing/2014/main" id="{F2842588-3640-4B2B-BCE7-CE14803DC063}"/>
            </a:ext>
          </a:extLst>
        </xdr:cNvPr>
        <xdr:cNvSpPr/>
      </xdr:nvSpPr>
      <xdr:spPr>
        <a:xfrm>
          <a:off x="19819747" y="906119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500</xdr:row>
      <xdr:rowOff>127491</xdr:rowOff>
    </xdr:from>
    <xdr:ext cx="514858" cy="180627"/>
    <xdr:sp macro="_xll.PtreeEvent_ObjectClick" textlink="">
      <xdr:nvSpPr>
        <xdr:cNvPr id="1012" name="PTObj_DBranchName_1_248">
          <a:extLst>
            <a:ext uri="{FF2B5EF4-FFF2-40B4-BE49-F238E27FC236}">
              <a16:creationId xmlns:a16="http://schemas.microsoft.com/office/drawing/2014/main" id="{03A6DF4F-F756-41FF-9547-DB118368D1B0}"/>
            </a:ext>
          </a:extLst>
        </xdr:cNvPr>
        <xdr:cNvSpPr txBox="1"/>
      </xdr:nvSpPr>
      <xdr:spPr>
        <a:xfrm>
          <a:off x="18666904" y="90614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502</xdr:row>
      <xdr:rowOff>135891</xdr:rowOff>
    </xdr:from>
    <xdr:to>
      <xdr:col>12</xdr:col>
      <xdr:colOff>135382</xdr:colOff>
      <xdr:row>503</xdr:row>
      <xdr:rowOff>133986</xdr:rowOff>
    </xdr:to>
    <xdr:sp macro="_xll.PtreeEvent_ObjectClick" textlink="">
      <xdr:nvSpPr>
        <xdr:cNvPr id="1013" name="PTObj_DNode_1_249">
          <a:extLst>
            <a:ext uri="{FF2B5EF4-FFF2-40B4-BE49-F238E27FC236}">
              <a16:creationId xmlns:a16="http://schemas.microsoft.com/office/drawing/2014/main" id="{9A809708-C62D-4CC6-A6C2-C15A6925F8CD}"/>
            </a:ext>
          </a:extLst>
        </xdr:cNvPr>
        <xdr:cNvSpPr/>
      </xdr:nvSpPr>
      <xdr:spPr>
        <a:xfrm rot="-5400000">
          <a:off x="21248498" y="909815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502</xdr:row>
      <xdr:rowOff>133204</xdr:rowOff>
    </xdr:from>
    <xdr:ext cx="514858" cy="180627"/>
    <xdr:sp macro="_xll.PtreeEvent_ObjectClick" textlink="">
      <xdr:nvSpPr>
        <xdr:cNvPr id="1016" name="PTObj_DBranchName_1_249">
          <a:extLst>
            <a:ext uri="{FF2B5EF4-FFF2-40B4-BE49-F238E27FC236}">
              <a16:creationId xmlns:a16="http://schemas.microsoft.com/office/drawing/2014/main" id="{D85147EF-DC60-4F24-8D87-B6E393378415}"/>
            </a:ext>
          </a:extLst>
        </xdr:cNvPr>
        <xdr:cNvSpPr txBox="1"/>
      </xdr:nvSpPr>
      <xdr:spPr>
        <a:xfrm>
          <a:off x="20094701" y="909826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514</xdr:row>
      <xdr:rowOff>151129</xdr:rowOff>
    </xdr:from>
    <xdr:to>
      <xdr:col>8</xdr:col>
      <xdr:colOff>154432</xdr:colOff>
      <xdr:row>515</xdr:row>
      <xdr:rowOff>153033</xdr:rowOff>
    </xdr:to>
    <xdr:sp macro="_xll.PtreeEvent_ObjectClick" textlink="">
      <xdr:nvSpPr>
        <xdr:cNvPr id="1017" name="PTObj_DNode_1_255">
          <a:extLst>
            <a:ext uri="{FF2B5EF4-FFF2-40B4-BE49-F238E27FC236}">
              <a16:creationId xmlns:a16="http://schemas.microsoft.com/office/drawing/2014/main" id="{85128770-7452-473F-BEAB-2DFBCA53E3D9}"/>
            </a:ext>
          </a:extLst>
        </xdr:cNvPr>
        <xdr:cNvSpPr/>
      </xdr:nvSpPr>
      <xdr:spPr>
        <a:xfrm>
          <a:off x="15544927" y="931722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514</xdr:row>
      <xdr:rowOff>152257</xdr:rowOff>
    </xdr:from>
    <xdr:ext cx="568425" cy="180627"/>
    <xdr:sp macro="_xll.PtreeEvent_ObjectClick" textlink="">
      <xdr:nvSpPr>
        <xdr:cNvPr id="1020" name="PTObj_DBranchName_1_255">
          <a:extLst>
            <a:ext uri="{FF2B5EF4-FFF2-40B4-BE49-F238E27FC236}">
              <a16:creationId xmlns:a16="http://schemas.microsoft.com/office/drawing/2014/main" id="{FC6CEBDE-3E1A-476E-ACC6-4BED5BC8FE02}"/>
            </a:ext>
          </a:extLst>
        </xdr:cNvPr>
        <xdr:cNvSpPr txBox="1"/>
      </xdr:nvSpPr>
      <xdr:spPr>
        <a:xfrm>
          <a:off x="14400657" y="93173407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506</xdr:row>
      <xdr:rowOff>135892</xdr:rowOff>
    </xdr:from>
    <xdr:to>
      <xdr:col>9</xdr:col>
      <xdr:colOff>150622</xdr:colOff>
      <xdr:row>507</xdr:row>
      <xdr:rowOff>133986</xdr:rowOff>
    </xdr:to>
    <xdr:sp macro="_xll.PtreeEvent_ObjectClick" textlink="">
      <xdr:nvSpPr>
        <xdr:cNvPr id="1021" name="PTObj_DNode_1_251">
          <a:extLst>
            <a:ext uri="{FF2B5EF4-FFF2-40B4-BE49-F238E27FC236}">
              <a16:creationId xmlns:a16="http://schemas.microsoft.com/office/drawing/2014/main" id="{F0710F02-7CF6-4350-913F-495948BF511E}"/>
            </a:ext>
          </a:extLst>
        </xdr:cNvPr>
        <xdr:cNvSpPr/>
      </xdr:nvSpPr>
      <xdr:spPr>
        <a:xfrm>
          <a:off x="16969867" y="917092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506</xdr:row>
      <xdr:rowOff>133205</xdr:rowOff>
    </xdr:from>
    <xdr:ext cx="568424" cy="180627"/>
    <xdr:sp macro="_xll.PtreeEvent_ObjectClick" textlink="">
      <xdr:nvSpPr>
        <xdr:cNvPr id="1024" name="PTObj_DBranchName_1_251">
          <a:extLst>
            <a:ext uri="{FF2B5EF4-FFF2-40B4-BE49-F238E27FC236}">
              <a16:creationId xmlns:a16="http://schemas.microsoft.com/office/drawing/2014/main" id="{170DDB4D-EA76-4AD7-87E9-DA5F62B670DF}"/>
            </a:ext>
          </a:extLst>
        </xdr:cNvPr>
        <xdr:cNvSpPr txBox="1"/>
      </xdr:nvSpPr>
      <xdr:spPr>
        <a:xfrm>
          <a:off x="15820834" y="917065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508</xdr:row>
      <xdr:rowOff>139700</xdr:rowOff>
    </xdr:from>
    <xdr:to>
      <xdr:col>10</xdr:col>
      <xdr:colOff>131573</xdr:colOff>
      <xdr:row>509</xdr:row>
      <xdr:rowOff>135889</xdr:rowOff>
    </xdr:to>
    <xdr:sp macro="_xll.PtreeEvent_ObjectClick" textlink="">
      <xdr:nvSpPr>
        <xdr:cNvPr id="1025" name="PTObj_DNode_1_252">
          <a:extLst>
            <a:ext uri="{FF2B5EF4-FFF2-40B4-BE49-F238E27FC236}">
              <a16:creationId xmlns:a16="http://schemas.microsoft.com/office/drawing/2014/main" id="{C06547A1-08C8-4030-916A-29ECDCBA358D}"/>
            </a:ext>
          </a:extLst>
        </xdr:cNvPr>
        <xdr:cNvSpPr/>
      </xdr:nvSpPr>
      <xdr:spPr>
        <a:xfrm>
          <a:off x="18394807" y="92075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508</xdr:row>
      <xdr:rowOff>137019</xdr:rowOff>
    </xdr:from>
    <xdr:ext cx="514858" cy="180627"/>
    <xdr:sp macro="_xll.PtreeEvent_ObjectClick" textlink="">
      <xdr:nvSpPr>
        <xdr:cNvPr id="1028" name="PTObj_DBranchName_1_252">
          <a:extLst>
            <a:ext uri="{FF2B5EF4-FFF2-40B4-BE49-F238E27FC236}">
              <a16:creationId xmlns:a16="http://schemas.microsoft.com/office/drawing/2014/main" id="{19ECD889-6F73-4099-BED1-33EE2F31D9AA}"/>
            </a:ext>
          </a:extLst>
        </xdr:cNvPr>
        <xdr:cNvSpPr txBox="1"/>
      </xdr:nvSpPr>
      <xdr:spPr>
        <a:xfrm>
          <a:off x="17244820" y="920723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510</xdr:row>
      <xdr:rowOff>143508</xdr:rowOff>
    </xdr:from>
    <xdr:to>
      <xdr:col>11</xdr:col>
      <xdr:colOff>135382</xdr:colOff>
      <xdr:row>511</xdr:row>
      <xdr:rowOff>132076</xdr:rowOff>
    </xdr:to>
    <xdr:sp macro="_xll.PtreeEvent_ObjectClick" textlink="">
      <xdr:nvSpPr>
        <xdr:cNvPr id="1029" name="PTObj_DNode_1_253">
          <a:extLst>
            <a:ext uri="{FF2B5EF4-FFF2-40B4-BE49-F238E27FC236}">
              <a16:creationId xmlns:a16="http://schemas.microsoft.com/office/drawing/2014/main" id="{12E15EF2-EAF5-4C90-BBEC-AB11679FCFB1}"/>
            </a:ext>
          </a:extLst>
        </xdr:cNvPr>
        <xdr:cNvSpPr/>
      </xdr:nvSpPr>
      <xdr:spPr>
        <a:xfrm>
          <a:off x="19819747" y="924407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510</xdr:row>
      <xdr:rowOff>142731</xdr:rowOff>
    </xdr:from>
    <xdr:ext cx="514858" cy="180627"/>
    <xdr:sp macro="_xll.PtreeEvent_ObjectClick" textlink="">
      <xdr:nvSpPr>
        <xdr:cNvPr id="1032" name="PTObj_DBranchName_1_253">
          <a:extLst>
            <a:ext uri="{FF2B5EF4-FFF2-40B4-BE49-F238E27FC236}">
              <a16:creationId xmlns:a16="http://schemas.microsoft.com/office/drawing/2014/main" id="{A3EE4009-E23C-4D82-ADC5-39ED8804CCA2}"/>
            </a:ext>
          </a:extLst>
        </xdr:cNvPr>
        <xdr:cNvSpPr txBox="1"/>
      </xdr:nvSpPr>
      <xdr:spPr>
        <a:xfrm>
          <a:off x="18666904" y="92439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1384111</xdr:colOff>
      <xdr:row>512</xdr:row>
      <xdr:rowOff>150178</xdr:rowOff>
    </xdr:from>
    <xdr:to>
      <xdr:col>12</xdr:col>
      <xdr:colOff>132525</xdr:colOff>
      <xdr:row>513</xdr:row>
      <xdr:rowOff>133033</xdr:rowOff>
    </xdr:to>
    <xdr:sp macro="_xll.PtreeEvent_ObjectClick" textlink="">
      <xdr:nvSpPr>
        <xdr:cNvPr id="1033" name="PTObj_DNode_1_254">
          <a:extLst>
            <a:ext uri="{FF2B5EF4-FFF2-40B4-BE49-F238E27FC236}">
              <a16:creationId xmlns:a16="http://schemas.microsoft.com/office/drawing/2014/main" id="{B61FB79D-9FF5-4E57-9432-D56EFAA5C119}"/>
            </a:ext>
          </a:extLst>
        </xdr:cNvPr>
        <xdr:cNvSpPr/>
      </xdr:nvSpPr>
      <xdr:spPr>
        <a:xfrm rot="-5400000">
          <a:off x="21248498" y="92804616"/>
          <a:ext cx="175260" cy="18478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512</xdr:row>
      <xdr:rowOff>146539</xdr:rowOff>
    </xdr:from>
    <xdr:ext cx="514858" cy="180627"/>
    <xdr:sp macro="_xll.PtreeEvent_ObjectClick" textlink="">
      <xdr:nvSpPr>
        <xdr:cNvPr id="1036" name="PTObj_DBranchName_1_254">
          <a:extLst>
            <a:ext uri="{FF2B5EF4-FFF2-40B4-BE49-F238E27FC236}">
              <a16:creationId xmlns:a16="http://schemas.microsoft.com/office/drawing/2014/main" id="{0CF999C5-7AAB-41F0-BEDF-AE80DC9A997F}"/>
            </a:ext>
          </a:extLst>
        </xdr:cNvPr>
        <xdr:cNvSpPr txBox="1"/>
      </xdr:nvSpPr>
      <xdr:spPr>
        <a:xfrm>
          <a:off x="20094701" y="92805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516</xdr:row>
      <xdr:rowOff>154942</xdr:rowOff>
    </xdr:from>
    <xdr:to>
      <xdr:col>9</xdr:col>
      <xdr:colOff>150622</xdr:colOff>
      <xdr:row>517</xdr:row>
      <xdr:rowOff>168276</xdr:rowOff>
    </xdr:to>
    <xdr:sp macro="_xll.PtreeEvent_ObjectClick" textlink="">
      <xdr:nvSpPr>
        <xdr:cNvPr id="1037" name="PTObj_DNode_1_256">
          <a:extLst>
            <a:ext uri="{FF2B5EF4-FFF2-40B4-BE49-F238E27FC236}">
              <a16:creationId xmlns:a16="http://schemas.microsoft.com/office/drawing/2014/main" id="{62B20A6C-9E28-42E9-9162-DCBC338F05E8}"/>
            </a:ext>
          </a:extLst>
        </xdr:cNvPr>
        <xdr:cNvSpPr/>
      </xdr:nvSpPr>
      <xdr:spPr>
        <a:xfrm>
          <a:off x="16969867" y="935380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516</xdr:row>
      <xdr:rowOff>156065</xdr:rowOff>
    </xdr:from>
    <xdr:ext cx="568424" cy="180627"/>
    <xdr:sp macro="_xll.PtreeEvent_ObjectClick" textlink="">
      <xdr:nvSpPr>
        <xdr:cNvPr id="1040" name="PTObj_DBranchName_1_256">
          <a:extLst>
            <a:ext uri="{FF2B5EF4-FFF2-40B4-BE49-F238E27FC236}">
              <a16:creationId xmlns:a16="http://schemas.microsoft.com/office/drawing/2014/main" id="{9B94AD42-41C1-44BF-81AA-1000C3F8EAD3}"/>
            </a:ext>
          </a:extLst>
        </xdr:cNvPr>
        <xdr:cNvSpPr txBox="1"/>
      </xdr:nvSpPr>
      <xdr:spPr>
        <a:xfrm>
          <a:off x="15820834" y="9353916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518</xdr:row>
      <xdr:rowOff>158750</xdr:rowOff>
    </xdr:from>
    <xdr:to>
      <xdr:col>10</xdr:col>
      <xdr:colOff>131573</xdr:colOff>
      <xdr:row>519</xdr:row>
      <xdr:rowOff>172084</xdr:rowOff>
    </xdr:to>
    <xdr:sp macro="_xll.PtreeEvent_ObjectClick" textlink="">
      <xdr:nvSpPr>
        <xdr:cNvPr id="1041" name="PTObj_DNode_1_257">
          <a:extLst>
            <a:ext uri="{FF2B5EF4-FFF2-40B4-BE49-F238E27FC236}">
              <a16:creationId xmlns:a16="http://schemas.microsoft.com/office/drawing/2014/main" id="{5587EA4C-B5C9-4CCD-A404-7E6528830C22}"/>
            </a:ext>
          </a:extLst>
        </xdr:cNvPr>
        <xdr:cNvSpPr/>
      </xdr:nvSpPr>
      <xdr:spPr>
        <a:xfrm>
          <a:off x="18394807" y="93903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518</xdr:row>
      <xdr:rowOff>161784</xdr:rowOff>
    </xdr:from>
    <xdr:ext cx="514858" cy="180627"/>
    <xdr:sp macro="_xll.PtreeEvent_ObjectClick" textlink="">
      <xdr:nvSpPr>
        <xdr:cNvPr id="1044" name="PTObj_DBranchName_1_257">
          <a:extLst>
            <a:ext uri="{FF2B5EF4-FFF2-40B4-BE49-F238E27FC236}">
              <a16:creationId xmlns:a16="http://schemas.microsoft.com/office/drawing/2014/main" id="{C12C26EB-4064-4F7F-A74D-BABDD8051179}"/>
            </a:ext>
          </a:extLst>
        </xdr:cNvPr>
        <xdr:cNvSpPr txBox="1"/>
      </xdr:nvSpPr>
      <xdr:spPr>
        <a:xfrm>
          <a:off x="17244820" y="93906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520</xdr:row>
      <xdr:rowOff>162558</xdr:rowOff>
    </xdr:from>
    <xdr:to>
      <xdr:col>11</xdr:col>
      <xdr:colOff>135382</xdr:colOff>
      <xdr:row>521</xdr:row>
      <xdr:rowOff>168271</xdr:rowOff>
    </xdr:to>
    <xdr:sp macro="_xll.PtreeEvent_ObjectClick" textlink="">
      <xdr:nvSpPr>
        <xdr:cNvPr id="1045" name="PTObj_DNode_1_258">
          <a:extLst>
            <a:ext uri="{FF2B5EF4-FFF2-40B4-BE49-F238E27FC236}">
              <a16:creationId xmlns:a16="http://schemas.microsoft.com/office/drawing/2014/main" id="{1D6FE53C-7217-49A7-92C5-351F7798DE6E}"/>
            </a:ext>
          </a:extLst>
        </xdr:cNvPr>
        <xdr:cNvSpPr/>
      </xdr:nvSpPr>
      <xdr:spPr>
        <a:xfrm>
          <a:off x="19819747" y="942695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520</xdr:row>
      <xdr:rowOff>165591</xdr:rowOff>
    </xdr:from>
    <xdr:ext cx="514858" cy="180627"/>
    <xdr:sp macro="_xll.PtreeEvent_ObjectClick" textlink="">
      <xdr:nvSpPr>
        <xdr:cNvPr id="1048" name="PTObj_DBranchName_1_258">
          <a:extLst>
            <a:ext uri="{FF2B5EF4-FFF2-40B4-BE49-F238E27FC236}">
              <a16:creationId xmlns:a16="http://schemas.microsoft.com/office/drawing/2014/main" id="{B28BABC4-E085-472C-B865-A4B35F98EC83}"/>
            </a:ext>
          </a:extLst>
        </xdr:cNvPr>
        <xdr:cNvSpPr txBox="1"/>
      </xdr:nvSpPr>
      <xdr:spPr>
        <a:xfrm>
          <a:off x="18666904" y="94272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522</xdr:row>
      <xdr:rowOff>173991</xdr:rowOff>
    </xdr:from>
    <xdr:to>
      <xdr:col>12</xdr:col>
      <xdr:colOff>131572</xdr:colOff>
      <xdr:row>523</xdr:row>
      <xdr:rowOff>168276</xdr:rowOff>
    </xdr:to>
    <xdr:sp macro="_xll.PtreeEvent_ObjectClick" textlink="">
      <xdr:nvSpPr>
        <xdr:cNvPr id="1049" name="PTObj_DNode_1_259">
          <a:extLst>
            <a:ext uri="{FF2B5EF4-FFF2-40B4-BE49-F238E27FC236}">
              <a16:creationId xmlns:a16="http://schemas.microsoft.com/office/drawing/2014/main" id="{7CB9580B-9603-4FFC-9004-2CD6F3AE209E}"/>
            </a:ext>
          </a:extLst>
        </xdr:cNvPr>
        <xdr:cNvSpPr/>
      </xdr:nvSpPr>
      <xdr:spPr>
        <a:xfrm rot="-5400000">
          <a:off x="21248498" y="9463913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522</xdr:row>
      <xdr:rowOff>171304</xdr:rowOff>
    </xdr:from>
    <xdr:ext cx="514858" cy="180627"/>
    <xdr:sp macro="_xll.PtreeEvent_ObjectClick" textlink="">
      <xdr:nvSpPr>
        <xdr:cNvPr id="1052" name="PTObj_DBranchName_1_259">
          <a:extLst>
            <a:ext uri="{FF2B5EF4-FFF2-40B4-BE49-F238E27FC236}">
              <a16:creationId xmlns:a16="http://schemas.microsoft.com/office/drawing/2014/main" id="{42922EC5-1EF4-42A8-8415-7DD2A24E0EFB}"/>
            </a:ext>
          </a:extLst>
        </xdr:cNvPr>
        <xdr:cNvSpPr txBox="1"/>
      </xdr:nvSpPr>
      <xdr:spPr>
        <a:xfrm>
          <a:off x="20094701" y="946402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545</xdr:row>
      <xdr:rowOff>27304</xdr:rowOff>
    </xdr:from>
    <xdr:to>
      <xdr:col>7</xdr:col>
      <xdr:colOff>171578</xdr:colOff>
      <xdr:row>546</xdr:row>
      <xdr:rowOff>21588</xdr:rowOff>
    </xdr:to>
    <xdr:sp macro="_xll.PtreeEvent_ObjectClick" textlink="">
      <xdr:nvSpPr>
        <xdr:cNvPr id="1053" name="PTObj_DNode_1_270">
          <a:extLst>
            <a:ext uri="{FF2B5EF4-FFF2-40B4-BE49-F238E27FC236}">
              <a16:creationId xmlns:a16="http://schemas.microsoft.com/office/drawing/2014/main" id="{151DDFCB-31AB-4912-A759-1BCD3087E314}"/>
            </a:ext>
          </a:extLst>
        </xdr:cNvPr>
        <xdr:cNvSpPr/>
      </xdr:nvSpPr>
      <xdr:spPr>
        <a:xfrm>
          <a:off x="14119988" y="986586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545</xdr:row>
      <xdr:rowOff>26527</xdr:rowOff>
    </xdr:from>
    <xdr:ext cx="566520" cy="180627"/>
    <xdr:sp macro="_xll.PtreeEvent_ObjectClick" textlink="">
      <xdr:nvSpPr>
        <xdr:cNvPr id="1056" name="PTObj_DBranchName_1_270">
          <a:extLst>
            <a:ext uri="{FF2B5EF4-FFF2-40B4-BE49-F238E27FC236}">
              <a16:creationId xmlns:a16="http://schemas.microsoft.com/office/drawing/2014/main" id="{D8790112-A97E-4F3E-A51B-FDCE9CF68170}"/>
            </a:ext>
          </a:extLst>
        </xdr:cNvPr>
        <xdr:cNvSpPr txBox="1"/>
      </xdr:nvSpPr>
      <xdr:spPr>
        <a:xfrm>
          <a:off x="12974765" y="98657902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535</xdr:row>
      <xdr:rowOff>8254</xdr:rowOff>
    </xdr:from>
    <xdr:to>
      <xdr:col>8</xdr:col>
      <xdr:colOff>154432</xdr:colOff>
      <xdr:row>536</xdr:row>
      <xdr:rowOff>15873</xdr:rowOff>
    </xdr:to>
    <xdr:sp macro="_xll.PtreeEvent_ObjectClick" textlink="">
      <xdr:nvSpPr>
        <xdr:cNvPr id="1057" name="PTObj_DNode_1_265">
          <a:extLst>
            <a:ext uri="{FF2B5EF4-FFF2-40B4-BE49-F238E27FC236}">
              <a16:creationId xmlns:a16="http://schemas.microsoft.com/office/drawing/2014/main" id="{BB64256D-767A-4080-A533-8FEF982F7B2A}"/>
            </a:ext>
          </a:extLst>
        </xdr:cNvPr>
        <xdr:cNvSpPr/>
      </xdr:nvSpPr>
      <xdr:spPr>
        <a:xfrm>
          <a:off x="15544927" y="968298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535</xdr:row>
      <xdr:rowOff>11287</xdr:rowOff>
    </xdr:from>
    <xdr:ext cx="566519" cy="180627"/>
    <xdr:sp macro="_xll.PtreeEvent_ObjectClick" textlink="">
      <xdr:nvSpPr>
        <xdr:cNvPr id="1060" name="PTObj_DBranchName_1_265">
          <a:extLst>
            <a:ext uri="{FF2B5EF4-FFF2-40B4-BE49-F238E27FC236}">
              <a16:creationId xmlns:a16="http://schemas.microsoft.com/office/drawing/2014/main" id="{14E9C082-FFB5-4BD3-8D51-221494499874}"/>
            </a:ext>
          </a:extLst>
        </xdr:cNvPr>
        <xdr:cNvSpPr txBox="1"/>
      </xdr:nvSpPr>
      <xdr:spPr>
        <a:xfrm>
          <a:off x="14398752" y="96832912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526</xdr:row>
      <xdr:rowOff>173992</xdr:rowOff>
    </xdr:from>
    <xdr:to>
      <xdr:col>9</xdr:col>
      <xdr:colOff>150622</xdr:colOff>
      <xdr:row>527</xdr:row>
      <xdr:rowOff>172086</xdr:rowOff>
    </xdr:to>
    <xdr:sp macro="_xll.PtreeEvent_ObjectClick" textlink="">
      <xdr:nvSpPr>
        <xdr:cNvPr id="1061" name="PTObj_DNode_1_261">
          <a:extLst>
            <a:ext uri="{FF2B5EF4-FFF2-40B4-BE49-F238E27FC236}">
              <a16:creationId xmlns:a16="http://schemas.microsoft.com/office/drawing/2014/main" id="{826D2532-8E52-4C7E-A302-C2195EC68320}"/>
            </a:ext>
          </a:extLst>
        </xdr:cNvPr>
        <xdr:cNvSpPr/>
      </xdr:nvSpPr>
      <xdr:spPr>
        <a:xfrm>
          <a:off x="16969867" y="953668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526</xdr:row>
      <xdr:rowOff>171305</xdr:rowOff>
    </xdr:from>
    <xdr:ext cx="568424" cy="180627"/>
    <xdr:sp macro="_xll.PtreeEvent_ObjectClick" textlink="">
      <xdr:nvSpPr>
        <xdr:cNvPr id="1064" name="PTObj_DBranchName_1_261">
          <a:extLst>
            <a:ext uri="{FF2B5EF4-FFF2-40B4-BE49-F238E27FC236}">
              <a16:creationId xmlns:a16="http://schemas.microsoft.com/office/drawing/2014/main" id="{992B981E-5A94-4737-B61B-F712E6F91A3C}"/>
            </a:ext>
          </a:extLst>
        </xdr:cNvPr>
        <xdr:cNvSpPr txBox="1"/>
      </xdr:nvSpPr>
      <xdr:spPr>
        <a:xfrm>
          <a:off x="15820834" y="9536415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528</xdr:row>
      <xdr:rowOff>177800</xdr:rowOff>
    </xdr:from>
    <xdr:to>
      <xdr:col>10</xdr:col>
      <xdr:colOff>131573</xdr:colOff>
      <xdr:row>529</xdr:row>
      <xdr:rowOff>173989</xdr:rowOff>
    </xdr:to>
    <xdr:sp macro="_xll.PtreeEvent_ObjectClick" textlink="">
      <xdr:nvSpPr>
        <xdr:cNvPr id="1065" name="PTObj_DNode_1_262">
          <a:extLst>
            <a:ext uri="{FF2B5EF4-FFF2-40B4-BE49-F238E27FC236}">
              <a16:creationId xmlns:a16="http://schemas.microsoft.com/office/drawing/2014/main" id="{147B6A03-A683-454D-A5D7-B92759345E5E}"/>
            </a:ext>
          </a:extLst>
        </xdr:cNvPr>
        <xdr:cNvSpPr/>
      </xdr:nvSpPr>
      <xdr:spPr>
        <a:xfrm>
          <a:off x="18394807" y="957326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528</xdr:row>
      <xdr:rowOff>175119</xdr:rowOff>
    </xdr:from>
    <xdr:ext cx="514858" cy="180627"/>
    <xdr:sp macro="_xll.PtreeEvent_ObjectClick" textlink="">
      <xdr:nvSpPr>
        <xdr:cNvPr id="1068" name="PTObj_DBranchName_1_262">
          <a:extLst>
            <a:ext uri="{FF2B5EF4-FFF2-40B4-BE49-F238E27FC236}">
              <a16:creationId xmlns:a16="http://schemas.microsoft.com/office/drawing/2014/main" id="{A2FA8FED-FA5D-48C6-9536-BBF89DDDC2EF}"/>
            </a:ext>
          </a:extLst>
        </xdr:cNvPr>
        <xdr:cNvSpPr txBox="1"/>
      </xdr:nvSpPr>
      <xdr:spPr>
        <a:xfrm>
          <a:off x="17244820" y="957299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531</xdr:row>
      <xdr:rowOff>633</xdr:rowOff>
    </xdr:from>
    <xdr:to>
      <xdr:col>11</xdr:col>
      <xdr:colOff>135382</xdr:colOff>
      <xdr:row>532</xdr:row>
      <xdr:rowOff>2536</xdr:rowOff>
    </xdr:to>
    <xdr:sp macro="_xll.PtreeEvent_ObjectClick" textlink="">
      <xdr:nvSpPr>
        <xdr:cNvPr id="1069" name="PTObj_DNode_1_263">
          <a:extLst>
            <a:ext uri="{FF2B5EF4-FFF2-40B4-BE49-F238E27FC236}">
              <a16:creationId xmlns:a16="http://schemas.microsoft.com/office/drawing/2014/main" id="{E9C02DD5-5795-49CE-8A12-72EB624D3109}"/>
            </a:ext>
          </a:extLst>
        </xdr:cNvPr>
        <xdr:cNvSpPr/>
      </xdr:nvSpPr>
      <xdr:spPr>
        <a:xfrm>
          <a:off x="19819747" y="960983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531</xdr:row>
      <xdr:rowOff>1761</xdr:rowOff>
    </xdr:from>
    <xdr:ext cx="514858" cy="180627"/>
    <xdr:sp macro="_xll.PtreeEvent_ObjectClick" textlink="">
      <xdr:nvSpPr>
        <xdr:cNvPr id="1072" name="PTObj_DBranchName_1_263">
          <a:extLst>
            <a:ext uri="{FF2B5EF4-FFF2-40B4-BE49-F238E27FC236}">
              <a16:creationId xmlns:a16="http://schemas.microsoft.com/office/drawing/2014/main" id="{E14B4E01-EF9F-43FB-977F-35C2750B6167}"/>
            </a:ext>
          </a:extLst>
        </xdr:cNvPr>
        <xdr:cNvSpPr txBox="1"/>
      </xdr:nvSpPr>
      <xdr:spPr>
        <a:xfrm>
          <a:off x="18666904" y="96099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533</xdr:row>
      <xdr:rowOff>10161</xdr:rowOff>
    </xdr:from>
    <xdr:to>
      <xdr:col>12</xdr:col>
      <xdr:colOff>131572</xdr:colOff>
      <xdr:row>534</xdr:row>
      <xdr:rowOff>19686</xdr:rowOff>
    </xdr:to>
    <xdr:sp macro="_xll.PtreeEvent_ObjectClick" textlink="">
      <xdr:nvSpPr>
        <xdr:cNvPr id="1073" name="PTObj_DNode_1_264">
          <a:extLst>
            <a:ext uri="{FF2B5EF4-FFF2-40B4-BE49-F238E27FC236}">
              <a16:creationId xmlns:a16="http://schemas.microsoft.com/office/drawing/2014/main" id="{CEF45F45-6481-4DCE-945A-F0FE200DC5D6}"/>
            </a:ext>
          </a:extLst>
        </xdr:cNvPr>
        <xdr:cNvSpPr/>
      </xdr:nvSpPr>
      <xdr:spPr>
        <a:xfrm rot="-5400000">
          <a:off x="21248498" y="964660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533</xdr:row>
      <xdr:rowOff>7474</xdr:rowOff>
    </xdr:from>
    <xdr:ext cx="514858" cy="180627"/>
    <xdr:sp macro="_xll.PtreeEvent_ObjectClick" textlink="">
      <xdr:nvSpPr>
        <xdr:cNvPr id="1076" name="PTObj_DBranchName_1_264">
          <a:extLst>
            <a:ext uri="{FF2B5EF4-FFF2-40B4-BE49-F238E27FC236}">
              <a16:creationId xmlns:a16="http://schemas.microsoft.com/office/drawing/2014/main" id="{0C1B5AE0-042A-4570-817F-1102B512ACF2}"/>
            </a:ext>
          </a:extLst>
        </xdr:cNvPr>
        <xdr:cNvSpPr txBox="1"/>
      </xdr:nvSpPr>
      <xdr:spPr>
        <a:xfrm>
          <a:off x="20094701" y="964671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537</xdr:row>
      <xdr:rowOff>12067</xdr:rowOff>
    </xdr:from>
    <xdr:to>
      <xdr:col>9</xdr:col>
      <xdr:colOff>150622</xdr:colOff>
      <xdr:row>538</xdr:row>
      <xdr:rowOff>17781</xdr:rowOff>
    </xdr:to>
    <xdr:sp macro="_xll.PtreeEvent_ObjectClick" textlink="">
      <xdr:nvSpPr>
        <xdr:cNvPr id="1077" name="PTObj_DNode_1_266">
          <a:extLst>
            <a:ext uri="{FF2B5EF4-FFF2-40B4-BE49-F238E27FC236}">
              <a16:creationId xmlns:a16="http://schemas.microsoft.com/office/drawing/2014/main" id="{56955180-6DB7-4E3D-A262-0FD2656F6D9D}"/>
            </a:ext>
          </a:extLst>
        </xdr:cNvPr>
        <xdr:cNvSpPr/>
      </xdr:nvSpPr>
      <xdr:spPr>
        <a:xfrm>
          <a:off x="16969867" y="971956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537</xdr:row>
      <xdr:rowOff>17000</xdr:rowOff>
    </xdr:from>
    <xdr:ext cx="568424" cy="180627"/>
    <xdr:sp macro="_xll.PtreeEvent_ObjectClick" textlink="">
      <xdr:nvSpPr>
        <xdr:cNvPr id="1080" name="PTObj_DBranchName_1_266">
          <a:extLst>
            <a:ext uri="{FF2B5EF4-FFF2-40B4-BE49-F238E27FC236}">
              <a16:creationId xmlns:a16="http://schemas.microsoft.com/office/drawing/2014/main" id="{CE93D27A-34DE-4B41-A531-73EDE9464AEE}"/>
            </a:ext>
          </a:extLst>
        </xdr:cNvPr>
        <xdr:cNvSpPr txBox="1"/>
      </xdr:nvSpPr>
      <xdr:spPr>
        <a:xfrm>
          <a:off x="15820834" y="972005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539</xdr:row>
      <xdr:rowOff>15875</xdr:rowOff>
    </xdr:from>
    <xdr:to>
      <xdr:col>10</xdr:col>
      <xdr:colOff>131573</xdr:colOff>
      <xdr:row>540</xdr:row>
      <xdr:rowOff>17779</xdr:rowOff>
    </xdr:to>
    <xdr:sp macro="_xll.PtreeEvent_ObjectClick" textlink="">
      <xdr:nvSpPr>
        <xdr:cNvPr id="1081" name="PTObj_DNode_1_267">
          <a:extLst>
            <a:ext uri="{FF2B5EF4-FFF2-40B4-BE49-F238E27FC236}">
              <a16:creationId xmlns:a16="http://schemas.microsoft.com/office/drawing/2014/main" id="{BD9F6424-7966-4D81-953B-A519FA6C53EA}"/>
            </a:ext>
          </a:extLst>
        </xdr:cNvPr>
        <xdr:cNvSpPr/>
      </xdr:nvSpPr>
      <xdr:spPr>
        <a:xfrm>
          <a:off x="18394807" y="975614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539</xdr:row>
      <xdr:rowOff>20814</xdr:rowOff>
    </xdr:from>
    <xdr:ext cx="514858" cy="180627"/>
    <xdr:sp macro="_xll.PtreeEvent_ObjectClick" textlink="">
      <xdr:nvSpPr>
        <xdr:cNvPr id="1084" name="PTObj_DBranchName_1_267">
          <a:extLst>
            <a:ext uri="{FF2B5EF4-FFF2-40B4-BE49-F238E27FC236}">
              <a16:creationId xmlns:a16="http://schemas.microsoft.com/office/drawing/2014/main" id="{1AE8F49D-3E38-4FA0-929E-6E5CD6542BCB}"/>
            </a:ext>
          </a:extLst>
        </xdr:cNvPr>
        <xdr:cNvSpPr txBox="1"/>
      </xdr:nvSpPr>
      <xdr:spPr>
        <a:xfrm>
          <a:off x="17244820" y="97566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541</xdr:row>
      <xdr:rowOff>19683</xdr:rowOff>
    </xdr:from>
    <xdr:to>
      <xdr:col>11</xdr:col>
      <xdr:colOff>135382</xdr:colOff>
      <xdr:row>542</xdr:row>
      <xdr:rowOff>17776</xdr:rowOff>
    </xdr:to>
    <xdr:sp macro="_xll.PtreeEvent_ObjectClick" textlink="">
      <xdr:nvSpPr>
        <xdr:cNvPr id="1085" name="PTObj_DNode_1_268">
          <a:extLst>
            <a:ext uri="{FF2B5EF4-FFF2-40B4-BE49-F238E27FC236}">
              <a16:creationId xmlns:a16="http://schemas.microsoft.com/office/drawing/2014/main" id="{A2718E2D-6654-4687-B36D-7DBE06A1B543}"/>
            </a:ext>
          </a:extLst>
        </xdr:cNvPr>
        <xdr:cNvSpPr/>
      </xdr:nvSpPr>
      <xdr:spPr>
        <a:xfrm>
          <a:off x="19819747" y="979271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541</xdr:row>
      <xdr:rowOff>17001</xdr:rowOff>
    </xdr:from>
    <xdr:ext cx="514858" cy="180627"/>
    <xdr:sp macro="_xll.PtreeEvent_ObjectClick" textlink="">
      <xdr:nvSpPr>
        <xdr:cNvPr id="1088" name="PTObj_DBranchName_1_268">
          <a:extLst>
            <a:ext uri="{FF2B5EF4-FFF2-40B4-BE49-F238E27FC236}">
              <a16:creationId xmlns:a16="http://schemas.microsoft.com/office/drawing/2014/main" id="{374CDB2D-C044-40E9-AF79-F2E7CD2D1DEE}"/>
            </a:ext>
          </a:extLst>
        </xdr:cNvPr>
        <xdr:cNvSpPr txBox="1"/>
      </xdr:nvSpPr>
      <xdr:spPr>
        <a:xfrm>
          <a:off x="18666904" y="97924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543</xdr:row>
      <xdr:rowOff>23496</xdr:rowOff>
    </xdr:from>
    <xdr:to>
      <xdr:col>12</xdr:col>
      <xdr:colOff>131572</xdr:colOff>
      <xdr:row>544</xdr:row>
      <xdr:rowOff>17781</xdr:rowOff>
    </xdr:to>
    <xdr:sp macro="_xll.PtreeEvent_ObjectClick" textlink="">
      <xdr:nvSpPr>
        <xdr:cNvPr id="1089" name="PTObj_DNode_1_269">
          <a:extLst>
            <a:ext uri="{FF2B5EF4-FFF2-40B4-BE49-F238E27FC236}">
              <a16:creationId xmlns:a16="http://schemas.microsoft.com/office/drawing/2014/main" id="{ABBFD1F4-8455-40D5-9B13-761CC575DD27}"/>
            </a:ext>
          </a:extLst>
        </xdr:cNvPr>
        <xdr:cNvSpPr/>
      </xdr:nvSpPr>
      <xdr:spPr>
        <a:xfrm rot="-5400000">
          <a:off x="21248498" y="982891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543</xdr:row>
      <xdr:rowOff>20809</xdr:rowOff>
    </xdr:from>
    <xdr:ext cx="514858" cy="180627"/>
    <xdr:sp macro="_xll.PtreeEvent_ObjectClick" textlink="">
      <xdr:nvSpPr>
        <xdr:cNvPr id="1092" name="PTObj_DBranchName_1_269">
          <a:extLst>
            <a:ext uri="{FF2B5EF4-FFF2-40B4-BE49-F238E27FC236}">
              <a16:creationId xmlns:a16="http://schemas.microsoft.com/office/drawing/2014/main" id="{43AF86E3-75F3-4600-9D8C-3967D0F78CDD}"/>
            </a:ext>
          </a:extLst>
        </xdr:cNvPr>
        <xdr:cNvSpPr txBox="1"/>
      </xdr:nvSpPr>
      <xdr:spPr>
        <a:xfrm>
          <a:off x="20094701" y="98290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555</xdr:row>
      <xdr:rowOff>46354</xdr:rowOff>
    </xdr:from>
    <xdr:to>
      <xdr:col>8</xdr:col>
      <xdr:colOff>154432</xdr:colOff>
      <xdr:row>556</xdr:row>
      <xdr:rowOff>57783</xdr:rowOff>
    </xdr:to>
    <xdr:sp macro="_xll.PtreeEvent_ObjectClick" textlink="">
      <xdr:nvSpPr>
        <xdr:cNvPr id="1093" name="PTObj_DNode_1_275">
          <a:extLst>
            <a:ext uri="{FF2B5EF4-FFF2-40B4-BE49-F238E27FC236}">
              <a16:creationId xmlns:a16="http://schemas.microsoft.com/office/drawing/2014/main" id="{F5A0FD4E-5B9B-43E7-8A20-18647A7769A9}"/>
            </a:ext>
          </a:extLst>
        </xdr:cNvPr>
        <xdr:cNvSpPr/>
      </xdr:nvSpPr>
      <xdr:spPr>
        <a:xfrm>
          <a:off x="15544927" y="100487479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555</xdr:row>
      <xdr:rowOff>49387</xdr:rowOff>
    </xdr:from>
    <xdr:ext cx="568425" cy="180627"/>
    <xdr:sp macro="_xll.PtreeEvent_ObjectClick" textlink="">
      <xdr:nvSpPr>
        <xdr:cNvPr id="1096" name="PTObj_DBranchName_1_275">
          <a:extLst>
            <a:ext uri="{FF2B5EF4-FFF2-40B4-BE49-F238E27FC236}">
              <a16:creationId xmlns:a16="http://schemas.microsoft.com/office/drawing/2014/main" id="{B4BA020B-9B69-498D-A80A-9C7151C416AF}"/>
            </a:ext>
          </a:extLst>
        </xdr:cNvPr>
        <xdr:cNvSpPr txBox="1"/>
      </xdr:nvSpPr>
      <xdr:spPr>
        <a:xfrm>
          <a:off x="14400657" y="100490512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547</xdr:row>
      <xdr:rowOff>31117</xdr:rowOff>
    </xdr:from>
    <xdr:to>
      <xdr:col>9</xdr:col>
      <xdr:colOff>150622</xdr:colOff>
      <xdr:row>548</xdr:row>
      <xdr:rowOff>17781</xdr:rowOff>
    </xdr:to>
    <xdr:sp macro="_xll.PtreeEvent_ObjectClick" textlink="">
      <xdr:nvSpPr>
        <xdr:cNvPr id="1097" name="PTObj_DNode_1_271">
          <a:extLst>
            <a:ext uri="{FF2B5EF4-FFF2-40B4-BE49-F238E27FC236}">
              <a16:creationId xmlns:a16="http://schemas.microsoft.com/office/drawing/2014/main" id="{38BB7255-2AED-43CB-9A1A-66084C1D5B06}"/>
            </a:ext>
          </a:extLst>
        </xdr:cNvPr>
        <xdr:cNvSpPr/>
      </xdr:nvSpPr>
      <xdr:spPr>
        <a:xfrm>
          <a:off x="16969867" y="990244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547</xdr:row>
      <xdr:rowOff>30335</xdr:rowOff>
    </xdr:from>
    <xdr:ext cx="568424" cy="180627"/>
    <xdr:sp macro="_xll.PtreeEvent_ObjectClick" textlink="">
      <xdr:nvSpPr>
        <xdr:cNvPr id="1100" name="PTObj_DBranchName_1_271">
          <a:extLst>
            <a:ext uri="{FF2B5EF4-FFF2-40B4-BE49-F238E27FC236}">
              <a16:creationId xmlns:a16="http://schemas.microsoft.com/office/drawing/2014/main" id="{FECE4D7E-6F37-4FC8-874A-677EE15309D2}"/>
            </a:ext>
          </a:extLst>
        </xdr:cNvPr>
        <xdr:cNvSpPr txBox="1"/>
      </xdr:nvSpPr>
      <xdr:spPr>
        <a:xfrm>
          <a:off x="15820834" y="99023660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549</xdr:row>
      <xdr:rowOff>34925</xdr:rowOff>
    </xdr:from>
    <xdr:to>
      <xdr:col>10</xdr:col>
      <xdr:colOff>135383</xdr:colOff>
      <xdr:row>550</xdr:row>
      <xdr:rowOff>36829</xdr:rowOff>
    </xdr:to>
    <xdr:sp macro="_xll.PtreeEvent_ObjectClick" textlink="">
      <xdr:nvSpPr>
        <xdr:cNvPr id="1101" name="PTObj_DNode_1_272">
          <a:extLst>
            <a:ext uri="{FF2B5EF4-FFF2-40B4-BE49-F238E27FC236}">
              <a16:creationId xmlns:a16="http://schemas.microsoft.com/office/drawing/2014/main" id="{89F69867-F5E4-4B34-A993-3BE801117850}"/>
            </a:ext>
          </a:extLst>
        </xdr:cNvPr>
        <xdr:cNvSpPr/>
      </xdr:nvSpPr>
      <xdr:spPr>
        <a:xfrm>
          <a:off x="18394807" y="993902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549</xdr:row>
      <xdr:rowOff>36054</xdr:rowOff>
    </xdr:from>
    <xdr:ext cx="514858" cy="180627"/>
    <xdr:sp macro="_xll.PtreeEvent_ObjectClick" textlink="">
      <xdr:nvSpPr>
        <xdr:cNvPr id="1104" name="PTObj_DBranchName_1_272">
          <a:extLst>
            <a:ext uri="{FF2B5EF4-FFF2-40B4-BE49-F238E27FC236}">
              <a16:creationId xmlns:a16="http://schemas.microsoft.com/office/drawing/2014/main" id="{B150E5A9-5AAC-40CC-B1D0-0CD5082FCAD1}"/>
            </a:ext>
          </a:extLst>
        </xdr:cNvPr>
        <xdr:cNvSpPr txBox="1"/>
      </xdr:nvSpPr>
      <xdr:spPr>
        <a:xfrm>
          <a:off x="17244820" y="993913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551</xdr:row>
      <xdr:rowOff>38733</xdr:rowOff>
    </xdr:from>
    <xdr:to>
      <xdr:col>11</xdr:col>
      <xdr:colOff>131572</xdr:colOff>
      <xdr:row>552</xdr:row>
      <xdr:rowOff>40636</xdr:rowOff>
    </xdr:to>
    <xdr:sp macro="_xll.PtreeEvent_ObjectClick" textlink="">
      <xdr:nvSpPr>
        <xdr:cNvPr id="1105" name="PTObj_DNode_1_273">
          <a:extLst>
            <a:ext uri="{FF2B5EF4-FFF2-40B4-BE49-F238E27FC236}">
              <a16:creationId xmlns:a16="http://schemas.microsoft.com/office/drawing/2014/main" id="{573DC38A-2FAA-4EAB-BAF5-F54A42306756}"/>
            </a:ext>
          </a:extLst>
        </xdr:cNvPr>
        <xdr:cNvSpPr/>
      </xdr:nvSpPr>
      <xdr:spPr>
        <a:xfrm>
          <a:off x="19819747" y="997559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551</xdr:row>
      <xdr:rowOff>39861</xdr:rowOff>
    </xdr:from>
    <xdr:ext cx="514858" cy="180627"/>
    <xdr:sp macro="_xll.PtreeEvent_ObjectClick" textlink="">
      <xdr:nvSpPr>
        <xdr:cNvPr id="1108" name="PTObj_DBranchName_1_273">
          <a:extLst>
            <a:ext uri="{FF2B5EF4-FFF2-40B4-BE49-F238E27FC236}">
              <a16:creationId xmlns:a16="http://schemas.microsoft.com/office/drawing/2014/main" id="{CD3824A8-3A93-4B66-895B-2063D226310C}"/>
            </a:ext>
          </a:extLst>
        </xdr:cNvPr>
        <xdr:cNvSpPr txBox="1"/>
      </xdr:nvSpPr>
      <xdr:spPr>
        <a:xfrm>
          <a:off x="18666904" y="99757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553</xdr:row>
      <xdr:rowOff>48261</xdr:rowOff>
    </xdr:from>
    <xdr:to>
      <xdr:col>12</xdr:col>
      <xdr:colOff>135382</xdr:colOff>
      <xdr:row>554</xdr:row>
      <xdr:rowOff>53976</xdr:rowOff>
    </xdr:to>
    <xdr:sp macro="_xll.PtreeEvent_ObjectClick" textlink="">
      <xdr:nvSpPr>
        <xdr:cNvPr id="1109" name="PTObj_DNode_1_274">
          <a:extLst>
            <a:ext uri="{FF2B5EF4-FFF2-40B4-BE49-F238E27FC236}">
              <a16:creationId xmlns:a16="http://schemas.microsoft.com/office/drawing/2014/main" id="{EF53AA2E-B801-4FB1-9F9B-1F5527A84D06}"/>
            </a:ext>
          </a:extLst>
        </xdr:cNvPr>
        <xdr:cNvSpPr/>
      </xdr:nvSpPr>
      <xdr:spPr>
        <a:xfrm rot="-5400000">
          <a:off x="21248498" y="1001236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553</xdr:row>
      <xdr:rowOff>45574</xdr:rowOff>
    </xdr:from>
    <xdr:ext cx="514858" cy="180627"/>
    <xdr:sp macro="_xll.PtreeEvent_ObjectClick" textlink="">
      <xdr:nvSpPr>
        <xdr:cNvPr id="1112" name="PTObj_DBranchName_1_274">
          <a:extLst>
            <a:ext uri="{FF2B5EF4-FFF2-40B4-BE49-F238E27FC236}">
              <a16:creationId xmlns:a16="http://schemas.microsoft.com/office/drawing/2014/main" id="{BF25A3B5-36C6-4F85-AB91-24FF44322A2E}"/>
            </a:ext>
          </a:extLst>
        </xdr:cNvPr>
        <xdr:cNvSpPr txBox="1"/>
      </xdr:nvSpPr>
      <xdr:spPr>
        <a:xfrm>
          <a:off x="20094701" y="1001247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557</xdr:row>
      <xdr:rowOff>50167</xdr:rowOff>
    </xdr:from>
    <xdr:to>
      <xdr:col>9</xdr:col>
      <xdr:colOff>150622</xdr:colOff>
      <xdr:row>558</xdr:row>
      <xdr:rowOff>59691</xdr:rowOff>
    </xdr:to>
    <xdr:sp macro="_xll.PtreeEvent_ObjectClick" textlink="">
      <xdr:nvSpPr>
        <xdr:cNvPr id="1113" name="PTObj_DNode_1_276">
          <a:extLst>
            <a:ext uri="{FF2B5EF4-FFF2-40B4-BE49-F238E27FC236}">
              <a16:creationId xmlns:a16="http://schemas.microsoft.com/office/drawing/2014/main" id="{0CD2AC9E-BB52-4CA6-B624-EEFC76DB79EB}"/>
            </a:ext>
          </a:extLst>
        </xdr:cNvPr>
        <xdr:cNvSpPr/>
      </xdr:nvSpPr>
      <xdr:spPr>
        <a:xfrm>
          <a:off x="16969867" y="1008532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557</xdr:row>
      <xdr:rowOff>55100</xdr:rowOff>
    </xdr:from>
    <xdr:ext cx="568424" cy="180627"/>
    <xdr:sp macro="_xll.PtreeEvent_ObjectClick" textlink="">
      <xdr:nvSpPr>
        <xdr:cNvPr id="1116" name="PTObj_DBranchName_1_276">
          <a:extLst>
            <a:ext uri="{FF2B5EF4-FFF2-40B4-BE49-F238E27FC236}">
              <a16:creationId xmlns:a16="http://schemas.microsoft.com/office/drawing/2014/main" id="{D8C149EC-E796-4AD4-B588-236A1CE994C9}"/>
            </a:ext>
          </a:extLst>
        </xdr:cNvPr>
        <xdr:cNvSpPr txBox="1"/>
      </xdr:nvSpPr>
      <xdr:spPr>
        <a:xfrm>
          <a:off x="15820834" y="100858175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559</xdr:row>
      <xdr:rowOff>53975</xdr:rowOff>
    </xdr:from>
    <xdr:to>
      <xdr:col>10</xdr:col>
      <xdr:colOff>135383</xdr:colOff>
      <xdr:row>560</xdr:row>
      <xdr:rowOff>59689</xdr:rowOff>
    </xdr:to>
    <xdr:sp macro="_xll.PtreeEvent_ObjectClick" textlink="">
      <xdr:nvSpPr>
        <xdr:cNvPr id="1117" name="PTObj_DNode_1_277">
          <a:extLst>
            <a:ext uri="{FF2B5EF4-FFF2-40B4-BE49-F238E27FC236}">
              <a16:creationId xmlns:a16="http://schemas.microsoft.com/office/drawing/2014/main" id="{B573FBCB-C738-40E4-8452-8D68C686E5F2}"/>
            </a:ext>
          </a:extLst>
        </xdr:cNvPr>
        <xdr:cNvSpPr/>
      </xdr:nvSpPr>
      <xdr:spPr>
        <a:xfrm>
          <a:off x="18394807" y="1012190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559</xdr:row>
      <xdr:rowOff>58914</xdr:rowOff>
    </xdr:from>
    <xdr:ext cx="514858" cy="180627"/>
    <xdr:sp macro="_xll.PtreeEvent_ObjectClick" textlink="">
      <xdr:nvSpPr>
        <xdr:cNvPr id="1120" name="PTObj_DBranchName_1_277">
          <a:extLst>
            <a:ext uri="{FF2B5EF4-FFF2-40B4-BE49-F238E27FC236}">
              <a16:creationId xmlns:a16="http://schemas.microsoft.com/office/drawing/2014/main" id="{44A6915D-40C7-43B6-91AA-65D2DB80756B}"/>
            </a:ext>
          </a:extLst>
        </xdr:cNvPr>
        <xdr:cNvSpPr txBox="1"/>
      </xdr:nvSpPr>
      <xdr:spPr>
        <a:xfrm>
          <a:off x="17244820" y="101223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561</xdr:row>
      <xdr:rowOff>57783</xdr:rowOff>
    </xdr:from>
    <xdr:to>
      <xdr:col>11</xdr:col>
      <xdr:colOff>131572</xdr:colOff>
      <xdr:row>562</xdr:row>
      <xdr:rowOff>59686</xdr:rowOff>
    </xdr:to>
    <xdr:sp macro="_xll.PtreeEvent_ObjectClick" textlink="">
      <xdr:nvSpPr>
        <xdr:cNvPr id="1121" name="PTObj_DNode_1_278">
          <a:extLst>
            <a:ext uri="{FF2B5EF4-FFF2-40B4-BE49-F238E27FC236}">
              <a16:creationId xmlns:a16="http://schemas.microsoft.com/office/drawing/2014/main" id="{1DAC39CD-3504-4E3A-8CA0-8C3862CC9C2A}"/>
            </a:ext>
          </a:extLst>
        </xdr:cNvPr>
        <xdr:cNvSpPr/>
      </xdr:nvSpPr>
      <xdr:spPr>
        <a:xfrm>
          <a:off x="19819747" y="1015847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561</xdr:row>
      <xdr:rowOff>55101</xdr:rowOff>
    </xdr:from>
    <xdr:ext cx="514858" cy="180627"/>
    <xdr:sp macro="_xll.PtreeEvent_ObjectClick" textlink="">
      <xdr:nvSpPr>
        <xdr:cNvPr id="1124" name="PTObj_DBranchName_1_278">
          <a:extLst>
            <a:ext uri="{FF2B5EF4-FFF2-40B4-BE49-F238E27FC236}">
              <a16:creationId xmlns:a16="http://schemas.microsoft.com/office/drawing/2014/main" id="{C96DE231-4FE2-483F-A1BE-1C24AD2D71A2}"/>
            </a:ext>
          </a:extLst>
        </xdr:cNvPr>
        <xdr:cNvSpPr txBox="1"/>
      </xdr:nvSpPr>
      <xdr:spPr>
        <a:xfrm>
          <a:off x="18666904" y="101582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563</xdr:row>
      <xdr:rowOff>61596</xdr:rowOff>
    </xdr:from>
    <xdr:to>
      <xdr:col>12</xdr:col>
      <xdr:colOff>135382</xdr:colOff>
      <xdr:row>564</xdr:row>
      <xdr:rowOff>59691</xdr:rowOff>
    </xdr:to>
    <xdr:sp macro="_xll.PtreeEvent_ObjectClick" textlink="">
      <xdr:nvSpPr>
        <xdr:cNvPr id="1125" name="PTObj_DNode_1_279">
          <a:extLst>
            <a:ext uri="{FF2B5EF4-FFF2-40B4-BE49-F238E27FC236}">
              <a16:creationId xmlns:a16="http://schemas.microsoft.com/office/drawing/2014/main" id="{52D1EB22-B935-4F41-A466-26C356F70BEC}"/>
            </a:ext>
          </a:extLst>
        </xdr:cNvPr>
        <xdr:cNvSpPr/>
      </xdr:nvSpPr>
      <xdr:spPr>
        <a:xfrm rot="-5400000">
          <a:off x="21248498" y="101946711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563</xdr:row>
      <xdr:rowOff>58909</xdr:rowOff>
    </xdr:from>
    <xdr:ext cx="514858" cy="180627"/>
    <xdr:sp macro="_xll.PtreeEvent_ObjectClick" textlink="">
      <xdr:nvSpPr>
        <xdr:cNvPr id="1128" name="PTObj_DBranchName_1_279">
          <a:extLst>
            <a:ext uri="{FF2B5EF4-FFF2-40B4-BE49-F238E27FC236}">
              <a16:creationId xmlns:a16="http://schemas.microsoft.com/office/drawing/2014/main" id="{5109336B-4D5A-44C8-899B-9210EBC891EA}"/>
            </a:ext>
          </a:extLst>
        </xdr:cNvPr>
        <xdr:cNvSpPr txBox="1"/>
      </xdr:nvSpPr>
      <xdr:spPr>
        <a:xfrm>
          <a:off x="20094701" y="101947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605</xdr:row>
      <xdr:rowOff>141610</xdr:rowOff>
    </xdr:from>
    <xdr:to>
      <xdr:col>6</xdr:col>
      <xdr:colOff>167767</xdr:colOff>
      <xdr:row>606</xdr:row>
      <xdr:rowOff>132090</xdr:rowOff>
    </xdr:to>
    <xdr:sp macro="_xll.PtreeEvent_ObjectClick" textlink="">
      <xdr:nvSpPr>
        <xdr:cNvPr id="1129" name="PTObj_DNode_1_300">
          <a:extLst>
            <a:ext uri="{FF2B5EF4-FFF2-40B4-BE49-F238E27FC236}">
              <a16:creationId xmlns:a16="http://schemas.microsoft.com/office/drawing/2014/main" id="{C8D9D501-21BE-4276-84D8-EA632738CA02}"/>
            </a:ext>
          </a:extLst>
        </xdr:cNvPr>
        <xdr:cNvSpPr/>
      </xdr:nvSpPr>
      <xdr:spPr>
        <a:xfrm>
          <a:off x="12695047" y="109631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605</xdr:row>
      <xdr:rowOff>140821</xdr:rowOff>
    </xdr:from>
    <xdr:ext cx="566520" cy="180627"/>
    <xdr:sp macro="_xll.PtreeEvent_ObjectClick" textlink="">
      <xdr:nvSpPr>
        <xdr:cNvPr id="1132" name="PTObj_DBranchName_1_300">
          <a:extLst>
            <a:ext uri="{FF2B5EF4-FFF2-40B4-BE49-F238E27FC236}">
              <a16:creationId xmlns:a16="http://schemas.microsoft.com/office/drawing/2014/main" id="{5CD64FBA-5FFB-43C8-BE9B-D3344B191D81}"/>
            </a:ext>
          </a:extLst>
        </xdr:cNvPr>
        <xdr:cNvSpPr txBox="1"/>
      </xdr:nvSpPr>
      <xdr:spPr>
        <a:xfrm>
          <a:off x="11550776" y="1096306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585</xdr:row>
      <xdr:rowOff>103510</xdr:rowOff>
    </xdr:from>
    <xdr:to>
      <xdr:col>7</xdr:col>
      <xdr:colOff>171578</xdr:colOff>
      <xdr:row>586</xdr:row>
      <xdr:rowOff>97800</xdr:rowOff>
    </xdr:to>
    <xdr:sp macro="_xll.PtreeEvent_ObjectClick" textlink="">
      <xdr:nvSpPr>
        <xdr:cNvPr id="1133" name="PTObj_DNode_1_290">
          <a:extLst>
            <a:ext uri="{FF2B5EF4-FFF2-40B4-BE49-F238E27FC236}">
              <a16:creationId xmlns:a16="http://schemas.microsoft.com/office/drawing/2014/main" id="{ACA0A19D-4267-49D2-B221-EADE77322F32}"/>
            </a:ext>
          </a:extLst>
        </xdr:cNvPr>
        <xdr:cNvSpPr/>
      </xdr:nvSpPr>
      <xdr:spPr>
        <a:xfrm>
          <a:off x="14119988" y="10597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585</xdr:row>
      <xdr:rowOff>102721</xdr:rowOff>
    </xdr:from>
    <xdr:ext cx="566520" cy="180627"/>
    <xdr:sp macro="_xll.PtreeEvent_ObjectClick" textlink="">
      <xdr:nvSpPr>
        <xdr:cNvPr id="1136" name="PTObj_DBranchName_1_290">
          <a:extLst>
            <a:ext uri="{FF2B5EF4-FFF2-40B4-BE49-F238E27FC236}">
              <a16:creationId xmlns:a16="http://schemas.microsoft.com/office/drawing/2014/main" id="{8D71EB48-EA2A-4C39-8561-E351D218F9E5}"/>
            </a:ext>
          </a:extLst>
        </xdr:cNvPr>
        <xdr:cNvSpPr txBox="1"/>
      </xdr:nvSpPr>
      <xdr:spPr>
        <a:xfrm>
          <a:off x="12976669" y="105973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575</xdr:row>
      <xdr:rowOff>84460</xdr:rowOff>
    </xdr:from>
    <xdr:to>
      <xdr:col>8</xdr:col>
      <xdr:colOff>154432</xdr:colOff>
      <xdr:row>576</xdr:row>
      <xdr:rowOff>92085</xdr:rowOff>
    </xdr:to>
    <xdr:sp macro="_xll.PtreeEvent_ObjectClick" textlink="">
      <xdr:nvSpPr>
        <xdr:cNvPr id="1137" name="PTObj_DNode_1_285">
          <a:extLst>
            <a:ext uri="{FF2B5EF4-FFF2-40B4-BE49-F238E27FC236}">
              <a16:creationId xmlns:a16="http://schemas.microsoft.com/office/drawing/2014/main" id="{A610F08C-0707-4235-BC5E-7836D63C3691}"/>
            </a:ext>
          </a:extLst>
        </xdr:cNvPr>
        <xdr:cNvSpPr/>
      </xdr:nvSpPr>
      <xdr:spPr>
        <a:xfrm>
          <a:off x="15544927" y="10414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575</xdr:row>
      <xdr:rowOff>87481</xdr:rowOff>
    </xdr:from>
    <xdr:ext cx="566519" cy="180627"/>
    <xdr:sp macro="_xll.PtreeEvent_ObjectClick" textlink="">
      <xdr:nvSpPr>
        <xdr:cNvPr id="1140" name="PTObj_DBranchName_1_285">
          <a:extLst>
            <a:ext uri="{FF2B5EF4-FFF2-40B4-BE49-F238E27FC236}">
              <a16:creationId xmlns:a16="http://schemas.microsoft.com/office/drawing/2014/main" id="{7240AEDF-A538-46DD-9242-631047356339}"/>
            </a:ext>
          </a:extLst>
        </xdr:cNvPr>
        <xdr:cNvSpPr txBox="1"/>
      </xdr:nvSpPr>
      <xdr:spPr>
        <a:xfrm>
          <a:off x="14398752" y="10414810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567</xdr:row>
      <xdr:rowOff>69217</xdr:rowOff>
    </xdr:from>
    <xdr:to>
      <xdr:col>9</xdr:col>
      <xdr:colOff>150622</xdr:colOff>
      <xdr:row>568</xdr:row>
      <xdr:rowOff>59691</xdr:rowOff>
    </xdr:to>
    <xdr:sp macro="_xll.PtreeEvent_ObjectClick" textlink="">
      <xdr:nvSpPr>
        <xdr:cNvPr id="1141" name="PTObj_DNode_1_281">
          <a:extLst>
            <a:ext uri="{FF2B5EF4-FFF2-40B4-BE49-F238E27FC236}">
              <a16:creationId xmlns:a16="http://schemas.microsoft.com/office/drawing/2014/main" id="{46CB1658-827E-4D1B-89C7-E2849B83D6C1}"/>
            </a:ext>
          </a:extLst>
        </xdr:cNvPr>
        <xdr:cNvSpPr/>
      </xdr:nvSpPr>
      <xdr:spPr>
        <a:xfrm>
          <a:off x="16969867" y="102682042"/>
          <a:ext cx="182880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567</xdr:row>
      <xdr:rowOff>68435</xdr:rowOff>
    </xdr:from>
    <xdr:ext cx="568424" cy="180627"/>
    <xdr:sp macro="_xll.PtreeEvent_ObjectClick" textlink="">
      <xdr:nvSpPr>
        <xdr:cNvPr id="1144" name="PTObj_DBranchName_1_281">
          <a:extLst>
            <a:ext uri="{FF2B5EF4-FFF2-40B4-BE49-F238E27FC236}">
              <a16:creationId xmlns:a16="http://schemas.microsoft.com/office/drawing/2014/main" id="{46DFE43C-7A60-45A3-87E5-2B29D60A418E}"/>
            </a:ext>
          </a:extLst>
        </xdr:cNvPr>
        <xdr:cNvSpPr txBox="1"/>
      </xdr:nvSpPr>
      <xdr:spPr>
        <a:xfrm>
          <a:off x="15820834" y="102681260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569</xdr:row>
      <xdr:rowOff>73025</xdr:rowOff>
    </xdr:from>
    <xdr:to>
      <xdr:col>10</xdr:col>
      <xdr:colOff>131573</xdr:colOff>
      <xdr:row>570</xdr:row>
      <xdr:rowOff>74929</xdr:rowOff>
    </xdr:to>
    <xdr:sp macro="_xll.PtreeEvent_ObjectClick" textlink="">
      <xdr:nvSpPr>
        <xdr:cNvPr id="1145" name="PTObj_DNode_1_282">
          <a:extLst>
            <a:ext uri="{FF2B5EF4-FFF2-40B4-BE49-F238E27FC236}">
              <a16:creationId xmlns:a16="http://schemas.microsoft.com/office/drawing/2014/main" id="{49C678A5-6291-4E1B-8A8B-DDC0368DBAE9}"/>
            </a:ext>
          </a:extLst>
        </xdr:cNvPr>
        <xdr:cNvSpPr/>
      </xdr:nvSpPr>
      <xdr:spPr>
        <a:xfrm>
          <a:off x="18394807" y="103047800"/>
          <a:ext cx="182881" cy="182879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569</xdr:row>
      <xdr:rowOff>74154</xdr:rowOff>
    </xdr:from>
    <xdr:ext cx="514858" cy="180627"/>
    <xdr:sp macro="_xll.PtreeEvent_ObjectClick" textlink="">
      <xdr:nvSpPr>
        <xdr:cNvPr id="1148" name="PTObj_DBranchName_1_282">
          <a:extLst>
            <a:ext uri="{FF2B5EF4-FFF2-40B4-BE49-F238E27FC236}">
              <a16:creationId xmlns:a16="http://schemas.microsoft.com/office/drawing/2014/main" id="{320666C0-FAA4-4D1E-BE2D-25333CE212A5}"/>
            </a:ext>
          </a:extLst>
        </xdr:cNvPr>
        <xdr:cNvSpPr txBox="1"/>
      </xdr:nvSpPr>
      <xdr:spPr>
        <a:xfrm>
          <a:off x="17244820" y="1030489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571</xdr:row>
      <xdr:rowOff>76833</xdr:rowOff>
    </xdr:from>
    <xdr:to>
      <xdr:col>11</xdr:col>
      <xdr:colOff>135382</xdr:colOff>
      <xdr:row>572</xdr:row>
      <xdr:rowOff>78736</xdr:rowOff>
    </xdr:to>
    <xdr:sp macro="_xll.PtreeEvent_ObjectClick" textlink="">
      <xdr:nvSpPr>
        <xdr:cNvPr id="1149" name="PTObj_DNode_1_283">
          <a:extLst>
            <a:ext uri="{FF2B5EF4-FFF2-40B4-BE49-F238E27FC236}">
              <a16:creationId xmlns:a16="http://schemas.microsoft.com/office/drawing/2014/main" id="{25098C75-5251-4E0F-A516-BBDFB34F562C}"/>
            </a:ext>
          </a:extLst>
        </xdr:cNvPr>
        <xdr:cNvSpPr/>
      </xdr:nvSpPr>
      <xdr:spPr>
        <a:xfrm>
          <a:off x="19819747" y="103413558"/>
          <a:ext cx="182880" cy="182878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571</xdr:row>
      <xdr:rowOff>77961</xdr:rowOff>
    </xdr:from>
    <xdr:ext cx="514858" cy="180627"/>
    <xdr:sp macro="_xll.PtreeEvent_ObjectClick" textlink="">
      <xdr:nvSpPr>
        <xdr:cNvPr id="1152" name="PTObj_DBranchName_1_283">
          <a:extLst>
            <a:ext uri="{FF2B5EF4-FFF2-40B4-BE49-F238E27FC236}">
              <a16:creationId xmlns:a16="http://schemas.microsoft.com/office/drawing/2014/main" id="{677F9738-99CD-43FB-B4A4-4AE0F10D7D8D}"/>
            </a:ext>
          </a:extLst>
        </xdr:cNvPr>
        <xdr:cNvSpPr txBox="1"/>
      </xdr:nvSpPr>
      <xdr:spPr>
        <a:xfrm>
          <a:off x="18666904" y="103414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1385063</xdr:colOff>
      <xdr:row>573</xdr:row>
      <xdr:rowOff>86361</xdr:rowOff>
    </xdr:from>
    <xdr:to>
      <xdr:col>12</xdr:col>
      <xdr:colOff>131572</xdr:colOff>
      <xdr:row>574</xdr:row>
      <xdr:rowOff>95886</xdr:rowOff>
    </xdr:to>
    <xdr:sp macro="_xll.PtreeEvent_ObjectClick" textlink="">
      <xdr:nvSpPr>
        <xdr:cNvPr id="1153" name="PTObj_DNode_1_284">
          <a:extLst>
            <a:ext uri="{FF2B5EF4-FFF2-40B4-BE49-F238E27FC236}">
              <a16:creationId xmlns:a16="http://schemas.microsoft.com/office/drawing/2014/main" id="{2F95854E-3961-42C0-BD89-6ED575358D6C}"/>
            </a:ext>
          </a:extLst>
        </xdr:cNvPr>
        <xdr:cNvSpPr/>
      </xdr:nvSpPr>
      <xdr:spPr>
        <a:xfrm rot="-5400000">
          <a:off x="21248498" y="103781226"/>
          <a:ext cx="17526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573</xdr:row>
      <xdr:rowOff>83674</xdr:rowOff>
    </xdr:from>
    <xdr:ext cx="514858" cy="180627"/>
    <xdr:sp macro="_xll.PtreeEvent_ObjectClick" textlink="">
      <xdr:nvSpPr>
        <xdr:cNvPr id="1156" name="PTObj_DBranchName_1_284">
          <a:extLst>
            <a:ext uri="{FF2B5EF4-FFF2-40B4-BE49-F238E27FC236}">
              <a16:creationId xmlns:a16="http://schemas.microsoft.com/office/drawing/2014/main" id="{5D3FD8C3-0F68-4860-89D5-88C5DB9E0307}"/>
            </a:ext>
          </a:extLst>
        </xdr:cNvPr>
        <xdr:cNvSpPr txBox="1"/>
      </xdr:nvSpPr>
      <xdr:spPr>
        <a:xfrm>
          <a:off x="20094701" y="1037823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577</xdr:row>
      <xdr:rowOff>88267</xdr:rowOff>
    </xdr:from>
    <xdr:to>
      <xdr:col>9</xdr:col>
      <xdr:colOff>150622</xdr:colOff>
      <xdr:row>578</xdr:row>
      <xdr:rowOff>93987</xdr:rowOff>
    </xdr:to>
    <xdr:sp macro="_xll.PtreeEvent_ObjectClick" textlink="">
      <xdr:nvSpPr>
        <xdr:cNvPr id="1157" name="PTObj_DNode_1_286">
          <a:extLst>
            <a:ext uri="{FF2B5EF4-FFF2-40B4-BE49-F238E27FC236}">
              <a16:creationId xmlns:a16="http://schemas.microsoft.com/office/drawing/2014/main" id="{F0CE4088-7FB6-4F81-AF53-EADCF4BC6449}"/>
            </a:ext>
          </a:extLst>
        </xdr:cNvPr>
        <xdr:cNvSpPr/>
      </xdr:nvSpPr>
      <xdr:spPr>
        <a:xfrm>
          <a:off x="16969867" y="104510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577</xdr:row>
      <xdr:rowOff>93206</xdr:rowOff>
    </xdr:from>
    <xdr:ext cx="568424" cy="180627"/>
    <xdr:sp macro="_xll.PtreeEvent_ObjectClick" textlink="">
      <xdr:nvSpPr>
        <xdr:cNvPr id="1160" name="PTObj_DBranchName_1_286">
          <a:extLst>
            <a:ext uri="{FF2B5EF4-FFF2-40B4-BE49-F238E27FC236}">
              <a16:creationId xmlns:a16="http://schemas.microsoft.com/office/drawing/2014/main" id="{B8273A6C-547A-4F7F-8945-A670CC616C61}"/>
            </a:ext>
          </a:extLst>
        </xdr:cNvPr>
        <xdr:cNvSpPr txBox="1"/>
      </xdr:nvSpPr>
      <xdr:spPr>
        <a:xfrm>
          <a:off x="15820834" y="1045157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579</xdr:row>
      <xdr:rowOff>92075</xdr:rowOff>
    </xdr:from>
    <xdr:to>
      <xdr:col>10</xdr:col>
      <xdr:colOff>131573</xdr:colOff>
      <xdr:row>580</xdr:row>
      <xdr:rowOff>93985</xdr:rowOff>
    </xdr:to>
    <xdr:sp macro="_xll.PtreeEvent_ObjectClick" textlink="">
      <xdr:nvSpPr>
        <xdr:cNvPr id="1161" name="PTObj_DNode_1_287">
          <a:extLst>
            <a:ext uri="{FF2B5EF4-FFF2-40B4-BE49-F238E27FC236}">
              <a16:creationId xmlns:a16="http://schemas.microsoft.com/office/drawing/2014/main" id="{846D2246-8150-4DAB-8797-A6C95C71A204}"/>
            </a:ext>
          </a:extLst>
        </xdr:cNvPr>
        <xdr:cNvSpPr/>
      </xdr:nvSpPr>
      <xdr:spPr>
        <a:xfrm>
          <a:off x="18394807" y="104876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579</xdr:row>
      <xdr:rowOff>97014</xdr:rowOff>
    </xdr:from>
    <xdr:ext cx="514858" cy="180627"/>
    <xdr:sp macro="_xll.PtreeEvent_ObjectClick" textlink="">
      <xdr:nvSpPr>
        <xdr:cNvPr id="1164" name="PTObj_DBranchName_1_287">
          <a:extLst>
            <a:ext uri="{FF2B5EF4-FFF2-40B4-BE49-F238E27FC236}">
              <a16:creationId xmlns:a16="http://schemas.microsoft.com/office/drawing/2014/main" id="{C5A5B2A6-F17D-4245-8E64-CA526769D416}"/>
            </a:ext>
          </a:extLst>
        </xdr:cNvPr>
        <xdr:cNvSpPr txBox="1"/>
      </xdr:nvSpPr>
      <xdr:spPr>
        <a:xfrm>
          <a:off x="17244820" y="104881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581</xdr:row>
      <xdr:rowOff>95883</xdr:rowOff>
    </xdr:from>
    <xdr:to>
      <xdr:col>11</xdr:col>
      <xdr:colOff>135382</xdr:colOff>
      <xdr:row>582</xdr:row>
      <xdr:rowOff>93982</xdr:rowOff>
    </xdr:to>
    <xdr:sp macro="_xll.PtreeEvent_ObjectClick" textlink="">
      <xdr:nvSpPr>
        <xdr:cNvPr id="1165" name="PTObj_DNode_1_288">
          <a:extLst>
            <a:ext uri="{FF2B5EF4-FFF2-40B4-BE49-F238E27FC236}">
              <a16:creationId xmlns:a16="http://schemas.microsoft.com/office/drawing/2014/main" id="{04478958-BB19-488E-9CF9-0D57FA0F0DE6}"/>
            </a:ext>
          </a:extLst>
        </xdr:cNvPr>
        <xdr:cNvSpPr/>
      </xdr:nvSpPr>
      <xdr:spPr>
        <a:xfrm>
          <a:off x="19819747" y="105242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581</xdr:row>
      <xdr:rowOff>93201</xdr:rowOff>
    </xdr:from>
    <xdr:ext cx="514858" cy="180627"/>
    <xdr:sp macro="_xll.PtreeEvent_ObjectClick" textlink="">
      <xdr:nvSpPr>
        <xdr:cNvPr id="1168" name="PTObj_DBranchName_1_288">
          <a:extLst>
            <a:ext uri="{FF2B5EF4-FFF2-40B4-BE49-F238E27FC236}">
              <a16:creationId xmlns:a16="http://schemas.microsoft.com/office/drawing/2014/main" id="{0615BF8E-5939-40FC-AB78-46DED291B148}"/>
            </a:ext>
          </a:extLst>
        </xdr:cNvPr>
        <xdr:cNvSpPr txBox="1"/>
      </xdr:nvSpPr>
      <xdr:spPr>
        <a:xfrm>
          <a:off x="18666904" y="105239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583</xdr:row>
      <xdr:rowOff>99693</xdr:rowOff>
    </xdr:from>
    <xdr:to>
      <xdr:col>12</xdr:col>
      <xdr:colOff>131575</xdr:colOff>
      <xdr:row>584</xdr:row>
      <xdr:rowOff>93978</xdr:rowOff>
    </xdr:to>
    <xdr:sp macro="_xll.PtreeEvent_ObjectClick" textlink="">
      <xdr:nvSpPr>
        <xdr:cNvPr id="1169" name="PTObj_DNode_1_289">
          <a:extLst>
            <a:ext uri="{FF2B5EF4-FFF2-40B4-BE49-F238E27FC236}">
              <a16:creationId xmlns:a16="http://schemas.microsoft.com/office/drawing/2014/main" id="{483FAD81-22AA-4C42-95B0-B2B5AB135ECF}"/>
            </a:ext>
          </a:extLst>
        </xdr:cNvPr>
        <xdr:cNvSpPr/>
      </xdr:nvSpPr>
      <xdr:spPr>
        <a:xfrm rot="-5400000">
          <a:off x="21248498" y="1056043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583</xdr:row>
      <xdr:rowOff>97009</xdr:rowOff>
    </xdr:from>
    <xdr:ext cx="514858" cy="180627"/>
    <xdr:sp macro="_xll.PtreeEvent_ObjectClick" textlink="">
      <xdr:nvSpPr>
        <xdr:cNvPr id="1172" name="PTObj_DBranchName_1_289">
          <a:extLst>
            <a:ext uri="{FF2B5EF4-FFF2-40B4-BE49-F238E27FC236}">
              <a16:creationId xmlns:a16="http://schemas.microsoft.com/office/drawing/2014/main" id="{120D8B00-6297-4635-A927-BE376D32E497}"/>
            </a:ext>
          </a:extLst>
        </xdr:cNvPr>
        <xdr:cNvSpPr txBox="1"/>
      </xdr:nvSpPr>
      <xdr:spPr>
        <a:xfrm>
          <a:off x="20094701" y="105605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595</xdr:row>
      <xdr:rowOff>122560</xdr:rowOff>
    </xdr:from>
    <xdr:to>
      <xdr:col>8</xdr:col>
      <xdr:colOff>154432</xdr:colOff>
      <xdr:row>596</xdr:row>
      <xdr:rowOff>133995</xdr:rowOff>
    </xdr:to>
    <xdr:sp macro="_xll.PtreeEvent_ObjectClick" textlink="">
      <xdr:nvSpPr>
        <xdr:cNvPr id="1173" name="PTObj_DNode_1_295">
          <a:extLst>
            <a:ext uri="{FF2B5EF4-FFF2-40B4-BE49-F238E27FC236}">
              <a16:creationId xmlns:a16="http://schemas.microsoft.com/office/drawing/2014/main" id="{1CFBDE87-68C3-4CCE-81A4-E33D5DAAB872}"/>
            </a:ext>
          </a:extLst>
        </xdr:cNvPr>
        <xdr:cNvSpPr/>
      </xdr:nvSpPr>
      <xdr:spPr>
        <a:xfrm>
          <a:off x="15544927" y="107802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595</xdr:row>
      <xdr:rowOff>125581</xdr:rowOff>
    </xdr:from>
    <xdr:ext cx="568425" cy="180627"/>
    <xdr:sp macro="_xll.PtreeEvent_ObjectClick" textlink="">
      <xdr:nvSpPr>
        <xdr:cNvPr id="1176" name="PTObj_DBranchName_1_295">
          <a:extLst>
            <a:ext uri="{FF2B5EF4-FFF2-40B4-BE49-F238E27FC236}">
              <a16:creationId xmlns:a16="http://schemas.microsoft.com/office/drawing/2014/main" id="{D3919FF6-B964-45FE-A457-3CD8A48789C8}"/>
            </a:ext>
          </a:extLst>
        </xdr:cNvPr>
        <xdr:cNvSpPr txBox="1"/>
      </xdr:nvSpPr>
      <xdr:spPr>
        <a:xfrm>
          <a:off x="14400657" y="10780570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587</xdr:row>
      <xdr:rowOff>107317</xdr:rowOff>
    </xdr:from>
    <xdr:to>
      <xdr:col>9</xdr:col>
      <xdr:colOff>150622</xdr:colOff>
      <xdr:row>588</xdr:row>
      <xdr:rowOff>93987</xdr:rowOff>
    </xdr:to>
    <xdr:sp macro="_xll.PtreeEvent_ObjectClick" textlink="">
      <xdr:nvSpPr>
        <xdr:cNvPr id="1177" name="PTObj_DNode_1_291">
          <a:extLst>
            <a:ext uri="{FF2B5EF4-FFF2-40B4-BE49-F238E27FC236}">
              <a16:creationId xmlns:a16="http://schemas.microsoft.com/office/drawing/2014/main" id="{BC0AA1A5-D542-4917-8EEB-4AAB46757094}"/>
            </a:ext>
          </a:extLst>
        </xdr:cNvPr>
        <xdr:cNvSpPr/>
      </xdr:nvSpPr>
      <xdr:spPr>
        <a:xfrm>
          <a:off x="16969867" y="106339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587</xdr:row>
      <xdr:rowOff>106541</xdr:rowOff>
    </xdr:from>
    <xdr:ext cx="568424" cy="180627"/>
    <xdr:sp macro="_xll.PtreeEvent_ObjectClick" textlink="">
      <xdr:nvSpPr>
        <xdr:cNvPr id="1180" name="PTObj_DBranchName_1_291">
          <a:extLst>
            <a:ext uri="{FF2B5EF4-FFF2-40B4-BE49-F238E27FC236}">
              <a16:creationId xmlns:a16="http://schemas.microsoft.com/office/drawing/2014/main" id="{8A74F206-F4E6-4016-A3DD-5E8B01D12E48}"/>
            </a:ext>
          </a:extLst>
        </xdr:cNvPr>
        <xdr:cNvSpPr txBox="1"/>
      </xdr:nvSpPr>
      <xdr:spPr>
        <a:xfrm>
          <a:off x="15820834" y="1063388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589</xdr:row>
      <xdr:rowOff>111125</xdr:rowOff>
    </xdr:from>
    <xdr:to>
      <xdr:col>10</xdr:col>
      <xdr:colOff>135383</xdr:colOff>
      <xdr:row>590</xdr:row>
      <xdr:rowOff>113035</xdr:rowOff>
    </xdr:to>
    <xdr:sp macro="_xll.PtreeEvent_ObjectClick" textlink="">
      <xdr:nvSpPr>
        <xdr:cNvPr id="1181" name="PTObj_DNode_1_292">
          <a:extLst>
            <a:ext uri="{FF2B5EF4-FFF2-40B4-BE49-F238E27FC236}">
              <a16:creationId xmlns:a16="http://schemas.microsoft.com/office/drawing/2014/main" id="{B4502E6D-6FDD-4F10-851B-8CD1F5D39C1E}"/>
            </a:ext>
          </a:extLst>
        </xdr:cNvPr>
        <xdr:cNvSpPr/>
      </xdr:nvSpPr>
      <xdr:spPr>
        <a:xfrm>
          <a:off x="18394807" y="106705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589</xdr:row>
      <xdr:rowOff>112254</xdr:rowOff>
    </xdr:from>
    <xdr:ext cx="514858" cy="180627"/>
    <xdr:sp macro="_xll.PtreeEvent_ObjectClick" textlink="">
      <xdr:nvSpPr>
        <xdr:cNvPr id="1184" name="PTObj_DBranchName_1_292">
          <a:extLst>
            <a:ext uri="{FF2B5EF4-FFF2-40B4-BE49-F238E27FC236}">
              <a16:creationId xmlns:a16="http://schemas.microsoft.com/office/drawing/2014/main" id="{D2EC01F2-5454-4F80-AEEC-F44C47F0E8DE}"/>
            </a:ext>
          </a:extLst>
        </xdr:cNvPr>
        <xdr:cNvSpPr txBox="1"/>
      </xdr:nvSpPr>
      <xdr:spPr>
        <a:xfrm>
          <a:off x="17244820" y="1067065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591</xdr:row>
      <xdr:rowOff>114933</xdr:rowOff>
    </xdr:from>
    <xdr:to>
      <xdr:col>11</xdr:col>
      <xdr:colOff>131572</xdr:colOff>
      <xdr:row>592</xdr:row>
      <xdr:rowOff>116842</xdr:rowOff>
    </xdr:to>
    <xdr:sp macro="_xll.PtreeEvent_ObjectClick" textlink="">
      <xdr:nvSpPr>
        <xdr:cNvPr id="1185" name="PTObj_DNode_1_293">
          <a:extLst>
            <a:ext uri="{FF2B5EF4-FFF2-40B4-BE49-F238E27FC236}">
              <a16:creationId xmlns:a16="http://schemas.microsoft.com/office/drawing/2014/main" id="{C5006922-D7DA-4176-BFDB-FE17F9F4CE09}"/>
            </a:ext>
          </a:extLst>
        </xdr:cNvPr>
        <xdr:cNvSpPr/>
      </xdr:nvSpPr>
      <xdr:spPr>
        <a:xfrm>
          <a:off x="19819747" y="107071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591</xdr:row>
      <xdr:rowOff>116061</xdr:rowOff>
    </xdr:from>
    <xdr:ext cx="514858" cy="180627"/>
    <xdr:sp macro="_xll.PtreeEvent_ObjectClick" textlink="">
      <xdr:nvSpPr>
        <xdr:cNvPr id="1188" name="PTObj_DBranchName_1_293">
          <a:extLst>
            <a:ext uri="{FF2B5EF4-FFF2-40B4-BE49-F238E27FC236}">
              <a16:creationId xmlns:a16="http://schemas.microsoft.com/office/drawing/2014/main" id="{5E4C05D2-D6C5-4FDB-B923-DB57FE81B4AB}"/>
            </a:ext>
          </a:extLst>
        </xdr:cNvPr>
        <xdr:cNvSpPr txBox="1"/>
      </xdr:nvSpPr>
      <xdr:spPr>
        <a:xfrm>
          <a:off x="18666904" y="107072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593</xdr:row>
      <xdr:rowOff>124458</xdr:rowOff>
    </xdr:from>
    <xdr:to>
      <xdr:col>12</xdr:col>
      <xdr:colOff>135385</xdr:colOff>
      <xdr:row>594</xdr:row>
      <xdr:rowOff>130173</xdr:rowOff>
    </xdr:to>
    <xdr:sp macro="_xll.PtreeEvent_ObjectClick" textlink="">
      <xdr:nvSpPr>
        <xdr:cNvPr id="1189" name="PTObj_DNode_1_294">
          <a:extLst>
            <a:ext uri="{FF2B5EF4-FFF2-40B4-BE49-F238E27FC236}">
              <a16:creationId xmlns:a16="http://schemas.microsoft.com/office/drawing/2014/main" id="{159926AD-7FE3-4A8B-AEA0-EA2D9603CE07}"/>
            </a:ext>
          </a:extLst>
        </xdr:cNvPr>
        <xdr:cNvSpPr/>
      </xdr:nvSpPr>
      <xdr:spPr>
        <a:xfrm rot="-5400000">
          <a:off x="21248498" y="1074388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593</xdr:row>
      <xdr:rowOff>121774</xdr:rowOff>
    </xdr:from>
    <xdr:ext cx="514858" cy="180627"/>
    <xdr:sp macro="_xll.PtreeEvent_ObjectClick" textlink="">
      <xdr:nvSpPr>
        <xdr:cNvPr id="1192" name="PTObj_DBranchName_1_294">
          <a:extLst>
            <a:ext uri="{FF2B5EF4-FFF2-40B4-BE49-F238E27FC236}">
              <a16:creationId xmlns:a16="http://schemas.microsoft.com/office/drawing/2014/main" id="{68457EA0-5425-4118-AA4A-E744CC42CD4B}"/>
            </a:ext>
          </a:extLst>
        </xdr:cNvPr>
        <xdr:cNvSpPr txBox="1"/>
      </xdr:nvSpPr>
      <xdr:spPr>
        <a:xfrm>
          <a:off x="20094701" y="1074399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597</xdr:row>
      <xdr:rowOff>126367</xdr:rowOff>
    </xdr:from>
    <xdr:to>
      <xdr:col>9</xdr:col>
      <xdr:colOff>150622</xdr:colOff>
      <xdr:row>598</xdr:row>
      <xdr:rowOff>135897</xdr:rowOff>
    </xdr:to>
    <xdr:sp macro="_xll.PtreeEvent_ObjectClick" textlink="">
      <xdr:nvSpPr>
        <xdr:cNvPr id="1193" name="PTObj_DNode_1_296">
          <a:extLst>
            <a:ext uri="{FF2B5EF4-FFF2-40B4-BE49-F238E27FC236}">
              <a16:creationId xmlns:a16="http://schemas.microsoft.com/office/drawing/2014/main" id="{7EE09453-BA23-4478-82BC-DA7DDAA25DAF}"/>
            </a:ext>
          </a:extLst>
        </xdr:cNvPr>
        <xdr:cNvSpPr/>
      </xdr:nvSpPr>
      <xdr:spPr>
        <a:xfrm>
          <a:off x="16969867" y="108168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597</xdr:row>
      <xdr:rowOff>131306</xdr:rowOff>
    </xdr:from>
    <xdr:ext cx="568424" cy="180627"/>
    <xdr:sp macro="_xll.PtreeEvent_ObjectClick" textlink="">
      <xdr:nvSpPr>
        <xdr:cNvPr id="1196" name="PTObj_DBranchName_1_296">
          <a:extLst>
            <a:ext uri="{FF2B5EF4-FFF2-40B4-BE49-F238E27FC236}">
              <a16:creationId xmlns:a16="http://schemas.microsoft.com/office/drawing/2014/main" id="{D5392EC2-61EE-4722-8F36-FEA1798B37ED}"/>
            </a:ext>
          </a:extLst>
        </xdr:cNvPr>
        <xdr:cNvSpPr txBox="1"/>
      </xdr:nvSpPr>
      <xdr:spPr>
        <a:xfrm>
          <a:off x="15820834" y="1081733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599</xdr:row>
      <xdr:rowOff>130175</xdr:rowOff>
    </xdr:from>
    <xdr:to>
      <xdr:col>10</xdr:col>
      <xdr:colOff>135383</xdr:colOff>
      <xdr:row>600</xdr:row>
      <xdr:rowOff>135895</xdr:rowOff>
    </xdr:to>
    <xdr:sp macro="_xll.PtreeEvent_ObjectClick" textlink="">
      <xdr:nvSpPr>
        <xdr:cNvPr id="1197" name="PTObj_DNode_1_297">
          <a:extLst>
            <a:ext uri="{FF2B5EF4-FFF2-40B4-BE49-F238E27FC236}">
              <a16:creationId xmlns:a16="http://schemas.microsoft.com/office/drawing/2014/main" id="{79967E99-0ABD-4AF2-9951-E264E07515B7}"/>
            </a:ext>
          </a:extLst>
        </xdr:cNvPr>
        <xdr:cNvSpPr/>
      </xdr:nvSpPr>
      <xdr:spPr>
        <a:xfrm>
          <a:off x="18394807" y="108534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599</xdr:row>
      <xdr:rowOff>135114</xdr:rowOff>
    </xdr:from>
    <xdr:ext cx="514858" cy="180627"/>
    <xdr:sp macro="_xll.PtreeEvent_ObjectClick" textlink="">
      <xdr:nvSpPr>
        <xdr:cNvPr id="1200" name="PTObj_DBranchName_1_297">
          <a:extLst>
            <a:ext uri="{FF2B5EF4-FFF2-40B4-BE49-F238E27FC236}">
              <a16:creationId xmlns:a16="http://schemas.microsoft.com/office/drawing/2014/main" id="{70BA850B-70CB-46DE-B1BE-D0CB4049DFC5}"/>
            </a:ext>
          </a:extLst>
        </xdr:cNvPr>
        <xdr:cNvSpPr txBox="1"/>
      </xdr:nvSpPr>
      <xdr:spPr>
        <a:xfrm>
          <a:off x="17244820" y="108539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601</xdr:row>
      <xdr:rowOff>133983</xdr:rowOff>
    </xdr:from>
    <xdr:to>
      <xdr:col>11</xdr:col>
      <xdr:colOff>131572</xdr:colOff>
      <xdr:row>602</xdr:row>
      <xdr:rowOff>135892</xdr:rowOff>
    </xdr:to>
    <xdr:sp macro="_xll.PtreeEvent_ObjectClick" textlink="">
      <xdr:nvSpPr>
        <xdr:cNvPr id="1201" name="PTObj_DNode_1_298">
          <a:extLst>
            <a:ext uri="{FF2B5EF4-FFF2-40B4-BE49-F238E27FC236}">
              <a16:creationId xmlns:a16="http://schemas.microsoft.com/office/drawing/2014/main" id="{B5E4B6F2-A6F5-49A8-876E-47415FF2DA85}"/>
            </a:ext>
          </a:extLst>
        </xdr:cNvPr>
        <xdr:cNvSpPr/>
      </xdr:nvSpPr>
      <xdr:spPr>
        <a:xfrm>
          <a:off x="19819747" y="108899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601</xdr:row>
      <xdr:rowOff>131301</xdr:rowOff>
    </xdr:from>
    <xdr:ext cx="514858" cy="180627"/>
    <xdr:sp macro="_xll.PtreeEvent_ObjectClick" textlink="">
      <xdr:nvSpPr>
        <xdr:cNvPr id="1204" name="PTObj_DBranchName_1_298">
          <a:extLst>
            <a:ext uri="{FF2B5EF4-FFF2-40B4-BE49-F238E27FC236}">
              <a16:creationId xmlns:a16="http://schemas.microsoft.com/office/drawing/2014/main" id="{99B9CEEB-C969-4679-B166-D440685EDDF4}"/>
            </a:ext>
          </a:extLst>
        </xdr:cNvPr>
        <xdr:cNvSpPr txBox="1"/>
      </xdr:nvSpPr>
      <xdr:spPr>
        <a:xfrm>
          <a:off x="18666904" y="108897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603</xdr:row>
      <xdr:rowOff>137793</xdr:rowOff>
    </xdr:from>
    <xdr:to>
      <xdr:col>12</xdr:col>
      <xdr:colOff>135385</xdr:colOff>
      <xdr:row>604</xdr:row>
      <xdr:rowOff>135888</xdr:rowOff>
    </xdr:to>
    <xdr:sp macro="_xll.PtreeEvent_ObjectClick" textlink="">
      <xdr:nvSpPr>
        <xdr:cNvPr id="1205" name="PTObj_DNode_1_299">
          <a:extLst>
            <a:ext uri="{FF2B5EF4-FFF2-40B4-BE49-F238E27FC236}">
              <a16:creationId xmlns:a16="http://schemas.microsoft.com/office/drawing/2014/main" id="{9E4AB5CA-C8DD-4CBA-91AA-E9780F29E4AE}"/>
            </a:ext>
          </a:extLst>
        </xdr:cNvPr>
        <xdr:cNvSpPr/>
      </xdr:nvSpPr>
      <xdr:spPr>
        <a:xfrm rot="-5400000">
          <a:off x="21248498" y="1092619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603</xdr:row>
      <xdr:rowOff>135109</xdr:rowOff>
    </xdr:from>
    <xdr:ext cx="514858" cy="180627"/>
    <xdr:sp macro="_xll.PtreeEvent_ObjectClick" textlink="">
      <xdr:nvSpPr>
        <xdr:cNvPr id="1208" name="PTObj_DBranchName_1_299">
          <a:extLst>
            <a:ext uri="{FF2B5EF4-FFF2-40B4-BE49-F238E27FC236}">
              <a16:creationId xmlns:a16="http://schemas.microsoft.com/office/drawing/2014/main" id="{F1FB1D7F-8049-4AAA-A79C-F4760313F4C5}"/>
            </a:ext>
          </a:extLst>
        </xdr:cNvPr>
        <xdr:cNvSpPr txBox="1"/>
      </xdr:nvSpPr>
      <xdr:spPr>
        <a:xfrm>
          <a:off x="20094701" y="109263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625</xdr:row>
      <xdr:rowOff>179710</xdr:rowOff>
    </xdr:from>
    <xdr:to>
      <xdr:col>7</xdr:col>
      <xdr:colOff>167768</xdr:colOff>
      <xdr:row>627</xdr:row>
      <xdr:rowOff>645</xdr:rowOff>
    </xdr:to>
    <xdr:sp macro="_xll.PtreeEvent_ObjectClick" textlink="">
      <xdr:nvSpPr>
        <xdr:cNvPr id="1209" name="PTObj_DNode_1_310">
          <a:extLst>
            <a:ext uri="{FF2B5EF4-FFF2-40B4-BE49-F238E27FC236}">
              <a16:creationId xmlns:a16="http://schemas.microsoft.com/office/drawing/2014/main" id="{0CEDFA04-4E1A-4DF8-9740-85963780B96E}"/>
            </a:ext>
          </a:extLst>
        </xdr:cNvPr>
        <xdr:cNvSpPr/>
      </xdr:nvSpPr>
      <xdr:spPr>
        <a:xfrm>
          <a:off x="14119988" y="113289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625</xdr:row>
      <xdr:rowOff>178921</xdr:rowOff>
    </xdr:from>
    <xdr:ext cx="566520" cy="180627"/>
    <xdr:sp macro="_xll.PtreeEvent_ObjectClick" textlink="">
      <xdr:nvSpPr>
        <xdr:cNvPr id="1212" name="PTObj_DBranchName_1_310">
          <a:extLst>
            <a:ext uri="{FF2B5EF4-FFF2-40B4-BE49-F238E27FC236}">
              <a16:creationId xmlns:a16="http://schemas.microsoft.com/office/drawing/2014/main" id="{B0372A23-DB6B-4139-91FE-C78FC0A1925E}"/>
            </a:ext>
          </a:extLst>
        </xdr:cNvPr>
        <xdr:cNvSpPr txBox="1"/>
      </xdr:nvSpPr>
      <xdr:spPr>
        <a:xfrm>
          <a:off x="12974765" y="113288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615</xdr:row>
      <xdr:rowOff>160660</xdr:rowOff>
    </xdr:from>
    <xdr:to>
      <xdr:col>8</xdr:col>
      <xdr:colOff>154432</xdr:colOff>
      <xdr:row>616</xdr:row>
      <xdr:rowOff>172095</xdr:rowOff>
    </xdr:to>
    <xdr:sp macro="_xll.PtreeEvent_ObjectClick" textlink="">
      <xdr:nvSpPr>
        <xdr:cNvPr id="1213" name="PTObj_DNode_1_305">
          <a:extLst>
            <a:ext uri="{FF2B5EF4-FFF2-40B4-BE49-F238E27FC236}">
              <a16:creationId xmlns:a16="http://schemas.microsoft.com/office/drawing/2014/main" id="{96A2D25D-CD6B-4897-A9CB-034FAAC03F88}"/>
            </a:ext>
          </a:extLst>
        </xdr:cNvPr>
        <xdr:cNvSpPr/>
      </xdr:nvSpPr>
      <xdr:spPr>
        <a:xfrm>
          <a:off x="15544927" y="111460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615</xdr:row>
      <xdr:rowOff>163681</xdr:rowOff>
    </xdr:from>
    <xdr:ext cx="566519" cy="180627"/>
    <xdr:sp macro="_xll.PtreeEvent_ObjectClick" textlink="">
      <xdr:nvSpPr>
        <xdr:cNvPr id="1216" name="PTObj_DBranchName_1_305">
          <a:extLst>
            <a:ext uri="{FF2B5EF4-FFF2-40B4-BE49-F238E27FC236}">
              <a16:creationId xmlns:a16="http://schemas.microsoft.com/office/drawing/2014/main" id="{727A6AB0-67F3-4206-BD22-BE79F1FA7EEE}"/>
            </a:ext>
          </a:extLst>
        </xdr:cNvPr>
        <xdr:cNvSpPr txBox="1"/>
      </xdr:nvSpPr>
      <xdr:spPr>
        <a:xfrm>
          <a:off x="14398752" y="11146330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607</xdr:row>
      <xdr:rowOff>145417</xdr:rowOff>
    </xdr:from>
    <xdr:to>
      <xdr:col>9</xdr:col>
      <xdr:colOff>150622</xdr:colOff>
      <xdr:row>608</xdr:row>
      <xdr:rowOff>132087</xdr:rowOff>
    </xdr:to>
    <xdr:sp macro="_xll.PtreeEvent_ObjectClick" textlink="">
      <xdr:nvSpPr>
        <xdr:cNvPr id="1217" name="PTObj_DNode_1_301">
          <a:extLst>
            <a:ext uri="{FF2B5EF4-FFF2-40B4-BE49-F238E27FC236}">
              <a16:creationId xmlns:a16="http://schemas.microsoft.com/office/drawing/2014/main" id="{D66130E4-2B12-4137-A33B-990EEBE8FCE5}"/>
            </a:ext>
          </a:extLst>
        </xdr:cNvPr>
        <xdr:cNvSpPr/>
      </xdr:nvSpPr>
      <xdr:spPr>
        <a:xfrm>
          <a:off x="16969867" y="109997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607</xdr:row>
      <xdr:rowOff>144641</xdr:rowOff>
    </xdr:from>
    <xdr:ext cx="568424" cy="180627"/>
    <xdr:sp macro="_xll.PtreeEvent_ObjectClick" textlink="">
      <xdr:nvSpPr>
        <xdr:cNvPr id="1220" name="PTObj_DBranchName_1_301">
          <a:extLst>
            <a:ext uri="{FF2B5EF4-FFF2-40B4-BE49-F238E27FC236}">
              <a16:creationId xmlns:a16="http://schemas.microsoft.com/office/drawing/2014/main" id="{819D3F7D-763D-4944-853B-AE91E4D330C9}"/>
            </a:ext>
          </a:extLst>
        </xdr:cNvPr>
        <xdr:cNvSpPr txBox="1"/>
      </xdr:nvSpPr>
      <xdr:spPr>
        <a:xfrm>
          <a:off x="15820834" y="1099964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609</xdr:row>
      <xdr:rowOff>149225</xdr:rowOff>
    </xdr:from>
    <xdr:to>
      <xdr:col>10</xdr:col>
      <xdr:colOff>135383</xdr:colOff>
      <xdr:row>610</xdr:row>
      <xdr:rowOff>151135</xdr:rowOff>
    </xdr:to>
    <xdr:sp macro="_xll.PtreeEvent_ObjectClick" textlink="">
      <xdr:nvSpPr>
        <xdr:cNvPr id="1221" name="PTObj_DNode_1_302">
          <a:extLst>
            <a:ext uri="{FF2B5EF4-FFF2-40B4-BE49-F238E27FC236}">
              <a16:creationId xmlns:a16="http://schemas.microsoft.com/office/drawing/2014/main" id="{5DCF1207-053B-4045-8DA5-3652C42879D7}"/>
            </a:ext>
          </a:extLst>
        </xdr:cNvPr>
        <xdr:cNvSpPr/>
      </xdr:nvSpPr>
      <xdr:spPr>
        <a:xfrm>
          <a:off x="18394807" y="110363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609</xdr:row>
      <xdr:rowOff>150354</xdr:rowOff>
    </xdr:from>
    <xdr:ext cx="514858" cy="180627"/>
    <xdr:sp macro="_xll.PtreeEvent_ObjectClick" textlink="">
      <xdr:nvSpPr>
        <xdr:cNvPr id="1224" name="PTObj_DBranchName_1_302">
          <a:extLst>
            <a:ext uri="{FF2B5EF4-FFF2-40B4-BE49-F238E27FC236}">
              <a16:creationId xmlns:a16="http://schemas.microsoft.com/office/drawing/2014/main" id="{0A4290A0-0D80-432B-B032-1E52C4FA5560}"/>
            </a:ext>
          </a:extLst>
        </xdr:cNvPr>
        <xdr:cNvSpPr txBox="1"/>
      </xdr:nvSpPr>
      <xdr:spPr>
        <a:xfrm>
          <a:off x="17244820" y="1103641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611</xdr:row>
      <xdr:rowOff>153033</xdr:rowOff>
    </xdr:from>
    <xdr:to>
      <xdr:col>11</xdr:col>
      <xdr:colOff>131572</xdr:colOff>
      <xdr:row>612</xdr:row>
      <xdr:rowOff>154942</xdr:rowOff>
    </xdr:to>
    <xdr:sp macro="_xll.PtreeEvent_ObjectClick" textlink="">
      <xdr:nvSpPr>
        <xdr:cNvPr id="1225" name="PTObj_DNode_1_303">
          <a:extLst>
            <a:ext uri="{FF2B5EF4-FFF2-40B4-BE49-F238E27FC236}">
              <a16:creationId xmlns:a16="http://schemas.microsoft.com/office/drawing/2014/main" id="{BC78C9A8-24CF-4E3C-94B6-C78CD8033F6C}"/>
            </a:ext>
          </a:extLst>
        </xdr:cNvPr>
        <xdr:cNvSpPr/>
      </xdr:nvSpPr>
      <xdr:spPr>
        <a:xfrm>
          <a:off x="19819747" y="110728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611</xdr:row>
      <xdr:rowOff>154161</xdr:rowOff>
    </xdr:from>
    <xdr:ext cx="514858" cy="180627"/>
    <xdr:sp macro="_xll.PtreeEvent_ObjectClick" textlink="">
      <xdr:nvSpPr>
        <xdr:cNvPr id="1228" name="PTObj_DBranchName_1_303">
          <a:extLst>
            <a:ext uri="{FF2B5EF4-FFF2-40B4-BE49-F238E27FC236}">
              <a16:creationId xmlns:a16="http://schemas.microsoft.com/office/drawing/2014/main" id="{E93E5547-95C4-46FE-97D1-989B52BE785F}"/>
            </a:ext>
          </a:extLst>
        </xdr:cNvPr>
        <xdr:cNvSpPr txBox="1"/>
      </xdr:nvSpPr>
      <xdr:spPr>
        <a:xfrm>
          <a:off x="18666904" y="110729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613</xdr:row>
      <xdr:rowOff>162558</xdr:rowOff>
    </xdr:from>
    <xdr:to>
      <xdr:col>12</xdr:col>
      <xdr:colOff>135385</xdr:colOff>
      <xdr:row>614</xdr:row>
      <xdr:rowOff>168273</xdr:rowOff>
    </xdr:to>
    <xdr:sp macro="_xll.PtreeEvent_ObjectClick" textlink="">
      <xdr:nvSpPr>
        <xdr:cNvPr id="1229" name="PTObj_DNode_1_304">
          <a:extLst>
            <a:ext uri="{FF2B5EF4-FFF2-40B4-BE49-F238E27FC236}">
              <a16:creationId xmlns:a16="http://schemas.microsoft.com/office/drawing/2014/main" id="{54892135-88DC-4E1A-A926-F427AE25DE2A}"/>
            </a:ext>
          </a:extLst>
        </xdr:cNvPr>
        <xdr:cNvSpPr/>
      </xdr:nvSpPr>
      <xdr:spPr>
        <a:xfrm rot="-5400000">
          <a:off x="21248498" y="1110964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613</xdr:row>
      <xdr:rowOff>159874</xdr:rowOff>
    </xdr:from>
    <xdr:ext cx="514858" cy="180627"/>
    <xdr:sp macro="_xll.PtreeEvent_ObjectClick" textlink="">
      <xdr:nvSpPr>
        <xdr:cNvPr id="1232" name="PTObj_DBranchName_1_304">
          <a:extLst>
            <a:ext uri="{FF2B5EF4-FFF2-40B4-BE49-F238E27FC236}">
              <a16:creationId xmlns:a16="http://schemas.microsoft.com/office/drawing/2014/main" id="{3DB7CC53-F857-4247-9B00-427E7C212B40}"/>
            </a:ext>
          </a:extLst>
        </xdr:cNvPr>
        <xdr:cNvSpPr txBox="1"/>
      </xdr:nvSpPr>
      <xdr:spPr>
        <a:xfrm>
          <a:off x="20094701" y="1110975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617</xdr:row>
      <xdr:rowOff>164467</xdr:rowOff>
    </xdr:from>
    <xdr:to>
      <xdr:col>9</xdr:col>
      <xdr:colOff>150622</xdr:colOff>
      <xdr:row>618</xdr:row>
      <xdr:rowOff>173997</xdr:rowOff>
    </xdr:to>
    <xdr:sp macro="_xll.PtreeEvent_ObjectClick" textlink="">
      <xdr:nvSpPr>
        <xdr:cNvPr id="1233" name="PTObj_DNode_1_306">
          <a:extLst>
            <a:ext uri="{FF2B5EF4-FFF2-40B4-BE49-F238E27FC236}">
              <a16:creationId xmlns:a16="http://schemas.microsoft.com/office/drawing/2014/main" id="{A6D1DEF0-7BC3-4C7F-BE05-7D60729E7A70}"/>
            </a:ext>
          </a:extLst>
        </xdr:cNvPr>
        <xdr:cNvSpPr/>
      </xdr:nvSpPr>
      <xdr:spPr>
        <a:xfrm>
          <a:off x="16969867" y="111826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617</xdr:row>
      <xdr:rowOff>169406</xdr:rowOff>
    </xdr:from>
    <xdr:ext cx="568424" cy="180627"/>
    <xdr:sp macro="_xll.PtreeEvent_ObjectClick" textlink="">
      <xdr:nvSpPr>
        <xdr:cNvPr id="1236" name="PTObj_DBranchName_1_306">
          <a:extLst>
            <a:ext uri="{FF2B5EF4-FFF2-40B4-BE49-F238E27FC236}">
              <a16:creationId xmlns:a16="http://schemas.microsoft.com/office/drawing/2014/main" id="{B2795227-7861-41C1-8456-5A5F2CD76FE9}"/>
            </a:ext>
          </a:extLst>
        </xdr:cNvPr>
        <xdr:cNvSpPr txBox="1"/>
      </xdr:nvSpPr>
      <xdr:spPr>
        <a:xfrm>
          <a:off x="15820834" y="1118309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619</xdr:row>
      <xdr:rowOff>168275</xdr:rowOff>
    </xdr:from>
    <xdr:to>
      <xdr:col>10</xdr:col>
      <xdr:colOff>135383</xdr:colOff>
      <xdr:row>620</xdr:row>
      <xdr:rowOff>173995</xdr:rowOff>
    </xdr:to>
    <xdr:sp macro="_xll.PtreeEvent_ObjectClick" textlink="">
      <xdr:nvSpPr>
        <xdr:cNvPr id="1237" name="PTObj_DNode_1_307">
          <a:extLst>
            <a:ext uri="{FF2B5EF4-FFF2-40B4-BE49-F238E27FC236}">
              <a16:creationId xmlns:a16="http://schemas.microsoft.com/office/drawing/2014/main" id="{02E5D3F2-B603-4DED-8CD6-067B8D4CD78B}"/>
            </a:ext>
          </a:extLst>
        </xdr:cNvPr>
        <xdr:cNvSpPr/>
      </xdr:nvSpPr>
      <xdr:spPr>
        <a:xfrm>
          <a:off x="18394807" y="112191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619</xdr:row>
      <xdr:rowOff>173214</xdr:rowOff>
    </xdr:from>
    <xdr:ext cx="514858" cy="180627"/>
    <xdr:sp macro="_xll.PtreeEvent_ObjectClick" textlink="">
      <xdr:nvSpPr>
        <xdr:cNvPr id="1240" name="PTObj_DBranchName_1_307">
          <a:extLst>
            <a:ext uri="{FF2B5EF4-FFF2-40B4-BE49-F238E27FC236}">
              <a16:creationId xmlns:a16="http://schemas.microsoft.com/office/drawing/2014/main" id="{ACFB7BB2-FC37-4234-A3B8-211FD65F374F}"/>
            </a:ext>
          </a:extLst>
        </xdr:cNvPr>
        <xdr:cNvSpPr txBox="1"/>
      </xdr:nvSpPr>
      <xdr:spPr>
        <a:xfrm>
          <a:off x="17244820" y="112196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621</xdr:row>
      <xdr:rowOff>172083</xdr:rowOff>
    </xdr:from>
    <xdr:to>
      <xdr:col>11</xdr:col>
      <xdr:colOff>131572</xdr:colOff>
      <xdr:row>622</xdr:row>
      <xdr:rowOff>173992</xdr:rowOff>
    </xdr:to>
    <xdr:sp macro="_xll.PtreeEvent_ObjectClick" textlink="">
      <xdr:nvSpPr>
        <xdr:cNvPr id="1241" name="PTObj_DNode_1_308">
          <a:extLst>
            <a:ext uri="{FF2B5EF4-FFF2-40B4-BE49-F238E27FC236}">
              <a16:creationId xmlns:a16="http://schemas.microsoft.com/office/drawing/2014/main" id="{069AC523-0881-4DAE-8C23-14349A0DE554}"/>
            </a:ext>
          </a:extLst>
        </xdr:cNvPr>
        <xdr:cNvSpPr/>
      </xdr:nvSpPr>
      <xdr:spPr>
        <a:xfrm>
          <a:off x="19819747" y="112557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621</xdr:row>
      <xdr:rowOff>169401</xdr:rowOff>
    </xdr:from>
    <xdr:ext cx="514858" cy="180627"/>
    <xdr:sp macro="_xll.PtreeEvent_ObjectClick" textlink="">
      <xdr:nvSpPr>
        <xdr:cNvPr id="1244" name="PTObj_DBranchName_1_308">
          <a:extLst>
            <a:ext uri="{FF2B5EF4-FFF2-40B4-BE49-F238E27FC236}">
              <a16:creationId xmlns:a16="http://schemas.microsoft.com/office/drawing/2014/main" id="{FE820642-EA59-4BF4-BE58-8DE6658F87EC}"/>
            </a:ext>
          </a:extLst>
        </xdr:cNvPr>
        <xdr:cNvSpPr txBox="1"/>
      </xdr:nvSpPr>
      <xdr:spPr>
        <a:xfrm>
          <a:off x="18666904" y="112554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623</xdr:row>
      <xdr:rowOff>175893</xdr:rowOff>
    </xdr:from>
    <xdr:to>
      <xdr:col>12</xdr:col>
      <xdr:colOff>135385</xdr:colOff>
      <xdr:row>624</xdr:row>
      <xdr:rowOff>173988</xdr:rowOff>
    </xdr:to>
    <xdr:sp macro="_xll.PtreeEvent_ObjectClick" textlink="">
      <xdr:nvSpPr>
        <xdr:cNvPr id="1245" name="PTObj_DNode_1_309">
          <a:extLst>
            <a:ext uri="{FF2B5EF4-FFF2-40B4-BE49-F238E27FC236}">
              <a16:creationId xmlns:a16="http://schemas.microsoft.com/office/drawing/2014/main" id="{882544C3-8783-4179-8A14-AE3C5982609B}"/>
            </a:ext>
          </a:extLst>
        </xdr:cNvPr>
        <xdr:cNvSpPr/>
      </xdr:nvSpPr>
      <xdr:spPr>
        <a:xfrm rot="-5400000">
          <a:off x="21248498" y="1129195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623</xdr:row>
      <xdr:rowOff>173209</xdr:rowOff>
    </xdr:from>
    <xdr:ext cx="514858" cy="180627"/>
    <xdr:sp macro="_xll.PtreeEvent_ObjectClick" textlink="">
      <xdr:nvSpPr>
        <xdr:cNvPr id="1248" name="PTObj_DBranchName_1_309">
          <a:extLst>
            <a:ext uri="{FF2B5EF4-FFF2-40B4-BE49-F238E27FC236}">
              <a16:creationId xmlns:a16="http://schemas.microsoft.com/office/drawing/2014/main" id="{75F96299-80A3-4A62-AE5A-9D19D2C632B8}"/>
            </a:ext>
          </a:extLst>
        </xdr:cNvPr>
        <xdr:cNvSpPr txBox="1"/>
      </xdr:nvSpPr>
      <xdr:spPr>
        <a:xfrm>
          <a:off x="20094701" y="112920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636</xdr:row>
      <xdr:rowOff>17785</xdr:rowOff>
    </xdr:from>
    <xdr:to>
      <xdr:col>8</xdr:col>
      <xdr:colOff>154432</xdr:colOff>
      <xdr:row>637</xdr:row>
      <xdr:rowOff>19695</xdr:rowOff>
    </xdr:to>
    <xdr:sp macro="_xll.PtreeEvent_ObjectClick" textlink="">
      <xdr:nvSpPr>
        <xdr:cNvPr id="1249" name="PTObj_DNode_1_315">
          <a:extLst>
            <a:ext uri="{FF2B5EF4-FFF2-40B4-BE49-F238E27FC236}">
              <a16:creationId xmlns:a16="http://schemas.microsoft.com/office/drawing/2014/main" id="{D5FD517C-CA17-409E-AA0E-A3DAC01FD570}"/>
            </a:ext>
          </a:extLst>
        </xdr:cNvPr>
        <xdr:cNvSpPr/>
      </xdr:nvSpPr>
      <xdr:spPr>
        <a:xfrm>
          <a:off x="15544927" y="11511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636</xdr:row>
      <xdr:rowOff>22711</xdr:rowOff>
    </xdr:from>
    <xdr:ext cx="568425" cy="180627"/>
    <xdr:sp macro="_xll.PtreeEvent_ObjectClick" textlink="">
      <xdr:nvSpPr>
        <xdr:cNvPr id="1252" name="PTObj_DBranchName_1_315">
          <a:extLst>
            <a:ext uri="{FF2B5EF4-FFF2-40B4-BE49-F238E27FC236}">
              <a16:creationId xmlns:a16="http://schemas.microsoft.com/office/drawing/2014/main" id="{8D717A38-DC6D-4EB4-BA38-9947148D4F7F}"/>
            </a:ext>
          </a:extLst>
        </xdr:cNvPr>
        <xdr:cNvSpPr txBox="1"/>
      </xdr:nvSpPr>
      <xdr:spPr>
        <a:xfrm>
          <a:off x="14400657" y="11512281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628</xdr:row>
      <xdr:rowOff>2542</xdr:rowOff>
    </xdr:from>
    <xdr:to>
      <xdr:col>9</xdr:col>
      <xdr:colOff>150622</xdr:colOff>
      <xdr:row>629</xdr:row>
      <xdr:rowOff>15882</xdr:rowOff>
    </xdr:to>
    <xdr:sp macro="_xll.PtreeEvent_ObjectClick" textlink="">
      <xdr:nvSpPr>
        <xdr:cNvPr id="1253" name="PTObj_DNode_1_311">
          <a:extLst>
            <a:ext uri="{FF2B5EF4-FFF2-40B4-BE49-F238E27FC236}">
              <a16:creationId xmlns:a16="http://schemas.microsoft.com/office/drawing/2014/main" id="{31F9C5AC-F744-4815-B8E2-B3BBAB6F3D48}"/>
            </a:ext>
          </a:extLst>
        </xdr:cNvPr>
        <xdr:cNvSpPr/>
      </xdr:nvSpPr>
      <xdr:spPr>
        <a:xfrm>
          <a:off x="16969867" y="113654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628</xdr:row>
      <xdr:rowOff>3671</xdr:rowOff>
    </xdr:from>
    <xdr:ext cx="568424" cy="180627"/>
    <xdr:sp macro="_xll.PtreeEvent_ObjectClick" textlink="">
      <xdr:nvSpPr>
        <xdr:cNvPr id="1256" name="PTObj_DBranchName_1_311">
          <a:extLst>
            <a:ext uri="{FF2B5EF4-FFF2-40B4-BE49-F238E27FC236}">
              <a16:creationId xmlns:a16="http://schemas.microsoft.com/office/drawing/2014/main" id="{572B4116-CBFD-4445-8DF3-7FDF50C1282C}"/>
            </a:ext>
          </a:extLst>
        </xdr:cNvPr>
        <xdr:cNvSpPr txBox="1"/>
      </xdr:nvSpPr>
      <xdr:spPr>
        <a:xfrm>
          <a:off x="15820834" y="1136559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630</xdr:row>
      <xdr:rowOff>6350</xdr:rowOff>
    </xdr:from>
    <xdr:to>
      <xdr:col>10</xdr:col>
      <xdr:colOff>131573</xdr:colOff>
      <xdr:row>631</xdr:row>
      <xdr:rowOff>19690</xdr:rowOff>
    </xdr:to>
    <xdr:sp macro="_xll.PtreeEvent_ObjectClick" textlink="">
      <xdr:nvSpPr>
        <xdr:cNvPr id="1257" name="PTObj_DNode_1_312">
          <a:extLst>
            <a:ext uri="{FF2B5EF4-FFF2-40B4-BE49-F238E27FC236}">
              <a16:creationId xmlns:a16="http://schemas.microsoft.com/office/drawing/2014/main" id="{E310E3B1-0A31-4BC8-859D-0221CF416171}"/>
            </a:ext>
          </a:extLst>
        </xdr:cNvPr>
        <xdr:cNvSpPr/>
      </xdr:nvSpPr>
      <xdr:spPr>
        <a:xfrm>
          <a:off x="18394807" y="114020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630</xdr:row>
      <xdr:rowOff>9384</xdr:rowOff>
    </xdr:from>
    <xdr:ext cx="514858" cy="180627"/>
    <xdr:sp macro="_xll.PtreeEvent_ObjectClick" textlink="">
      <xdr:nvSpPr>
        <xdr:cNvPr id="1260" name="PTObj_DBranchName_1_312">
          <a:extLst>
            <a:ext uri="{FF2B5EF4-FFF2-40B4-BE49-F238E27FC236}">
              <a16:creationId xmlns:a16="http://schemas.microsoft.com/office/drawing/2014/main" id="{1736F528-7E18-44AE-8853-51D4FC099601}"/>
            </a:ext>
          </a:extLst>
        </xdr:cNvPr>
        <xdr:cNvSpPr txBox="1"/>
      </xdr:nvSpPr>
      <xdr:spPr>
        <a:xfrm>
          <a:off x="17244820" y="114023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632</xdr:row>
      <xdr:rowOff>10158</xdr:rowOff>
    </xdr:from>
    <xdr:to>
      <xdr:col>11</xdr:col>
      <xdr:colOff>135382</xdr:colOff>
      <xdr:row>633</xdr:row>
      <xdr:rowOff>15877</xdr:rowOff>
    </xdr:to>
    <xdr:sp macro="_xll.PtreeEvent_ObjectClick" textlink="">
      <xdr:nvSpPr>
        <xdr:cNvPr id="1261" name="PTObj_DNode_1_313">
          <a:extLst>
            <a:ext uri="{FF2B5EF4-FFF2-40B4-BE49-F238E27FC236}">
              <a16:creationId xmlns:a16="http://schemas.microsoft.com/office/drawing/2014/main" id="{A28A4ADB-BAB9-40F9-8A51-649D0DBBB338}"/>
            </a:ext>
          </a:extLst>
        </xdr:cNvPr>
        <xdr:cNvSpPr/>
      </xdr:nvSpPr>
      <xdr:spPr>
        <a:xfrm>
          <a:off x="19819747" y="114386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632</xdr:row>
      <xdr:rowOff>13191</xdr:rowOff>
    </xdr:from>
    <xdr:ext cx="514858" cy="180627"/>
    <xdr:sp macro="_xll.PtreeEvent_ObjectClick" textlink="">
      <xdr:nvSpPr>
        <xdr:cNvPr id="1264" name="PTObj_DBranchName_1_313">
          <a:extLst>
            <a:ext uri="{FF2B5EF4-FFF2-40B4-BE49-F238E27FC236}">
              <a16:creationId xmlns:a16="http://schemas.microsoft.com/office/drawing/2014/main" id="{744921BD-F163-4ACB-8DD0-5E66CB2FBFB3}"/>
            </a:ext>
          </a:extLst>
        </xdr:cNvPr>
        <xdr:cNvSpPr txBox="1"/>
      </xdr:nvSpPr>
      <xdr:spPr>
        <a:xfrm>
          <a:off x="18666904" y="114389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634</xdr:row>
      <xdr:rowOff>21588</xdr:rowOff>
    </xdr:from>
    <xdr:to>
      <xdr:col>12</xdr:col>
      <xdr:colOff>131575</xdr:colOff>
      <xdr:row>635</xdr:row>
      <xdr:rowOff>15873</xdr:rowOff>
    </xdr:to>
    <xdr:sp macro="_xll.PtreeEvent_ObjectClick" textlink="">
      <xdr:nvSpPr>
        <xdr:cNvPr id="1265" name="PTObj_DNode_1_314">
          <a:extLst>
            <a:ext uri="{FF2B5EF4-FFF2-40B4-BE49-F238E27FC236}">
              <a16:creationId xmlns:a16="http://schemas.microsoft.com/office/drawing/2014/main" id="{956CDEBA-4EB5-448D-9A2C-25F8CFECE4E1}"/>
            </a:ext>
          </a:extLst>
        </xdr:cNvPr>
        <xdr:cNvSpPr/>
      </xdr:nvSpPr>
      <xdr:spPr>
        <a:xfrm rot="-5400000">
          <a:off x="21248498" y="1147559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634</xdr:row>
      <xdr:rowOff>18904</xdr:rowOff>
    </xdr:from>
    <xdr:ext cx="514858" cy="180627"/>
    <xdr:sp macro="_xll.PtreeEvent_ObjectClick" textlink="">
      <xdr:nvSpPr>
        <xdr:cNvPr id="1268" name="PTObj_DBranchName_1_314">
          <a:extLst>
            <a:ext uri="{FF2B5EF4-FFF2-40B4-BE49-F238E27FC236}">
              <a16:creationId xmlns:a16="http://schemas.microsoft.com/office/drawing/2014/main" id="{025154AE-188A-4A75-8A53-8396A7E10EDE}"/>
            </a:ext>
          </a:extLst>
        </xdr:cNvPr>
        <xdr:cNvSpPr txBox="1"/>
      </xdr:nvSpPr>
      <xdr:spPr>
        <a:xfrm>
          <a:off x="20094701" y="1147570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638</xdr:row>
      <xdr:rowOff>21592</xdr:rowOff>
    </xdr:from>
    <xdr:to>
      <xdr:col>9</xdr:col>
      <xdr:colOff>150622</xdr:colOff>
      <xdr:row>639</xdr:row>
      <xdr:rowOff>19692</xdr:rowOff>
    </xdr:to>
    <xdr:sp macro="_xll.PtreeEvent_ObjectClick" textlink="">
      <xdr:nvSpPr>
        <xdr:cNvPr id="1269" name="PTObj_DNode_1_316">
          <a:extLst>
            <a:ext uri="{FF2B5EF4-FFF2-40B4-BE49-F238E27FC236}">
              <a16:creationId xmlns:a16="http://schemas.microsoft.com/office/drawing/2014/main" id="{6D6F1C77-5E61-4C7A-84C5-E536EB265941}"/>
            </a:ext>
          </a:extLst>
        </xdr:cNvPr>
        <xdr:cNvSpPr/>
      </xdr:nvSpPr>
      <xdr:spPr>
        <a:xfrm>
          <a:off x="16969867" y="115483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638</xdr:row>
      <xdr:rowOff>18911</xdr:rowOff>
    </xdr:from>
    <xdr:ext cx="568424" cy="180627"/>
    <xdr:sp macro="_xll.PtreeEvent_ObjectClick" textlink="">
      <xdr:nvSpPr>
        <xdr:cNvPr id="1272" name="PTObj_DBranchName_1_316">
          <a:extLst>
            <a:ext uri="{FF2B5EF4-FFF2-40B4-BE49-F238E27FC236}">
              <a16:creationId xmlns:a16="http://schemas.microsoft.com/office/drawing/2014/main" id="{631321C9-6F6E-4999-944A-F934CA4158D0}"/>
            </a:ext>
          </a:extLst>
        </xdr:cNvPr>
        <xdr:cNvSpPr txBox="1"/>
      </xdr:nvSpPr>
      <xdr:spPr>
        <a:xfrm>
          <a:off x="15820834" y="1154809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640</xdr:row>
      <xdr:rowOff>25400</xdr:rowOff>
    </xdr:from>
    <xdr:to>
      <xdr:col>10</xdr:col>
      <xdr:colOff>131573</xdr:colOff>
      <xdr:row>641</xdr:row>
      <xdr:rowOff>21595</xdr:rowOff>
    </xdr:to>
    <xdr:sp macro="_xll.PtreeEvent_ObjectClick" textlink="">
      <xdr:nvSpPr>
        <xdr:cNvPr id="1273" name="PTObj_DNode_1_317">
          <a:extLst>
            <a:ext uri="{FF2B5EF4-FFF2-40B4-BE49-F238E27FC236}">
              <a16:creationId xmlns:a16="http://schemas.microsoft.com/office/drawing/2014/main" id="{5E6A11A3-59C9-4904-B0A6-B7F9A88596FA}"/>
            </a:ext>
          </a:extLst>
        </xdr:cNvPr>
        <xdr:cNvSpPr/>
      </xdr:nvSpPr>
      <xdr:spPr>
        <a:xfrm>
          <a:off x="18394807" y="115849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640</xdr:row>
      <xdr:rowOff>22719</xdr:rowOff>
    </xdr:from>
    <xdr:ext cx="514858" cy="180627"/>
    <xdr:sp macro="_xll.PtreeEvent_ObjectClick" textlink="">
      <xdr:nvSpPr>
        <xdr:cNvPr id="1276" name="PTObj_DBranchName_1_317">
          <a:extLst>
            <a:ext uri="{FF2B5EF4-FFF2-40B4-BE49-F238E27FC236}">
              <a16:creationId xmlns:a16="http://schemas.microsoft.com/office/drawing/2014/main" id="{61F5C621-664A-4E12-9119-B7E6469230EB}"/>
            </a:ext>
          </a:extLst>
        </xdr:cNvPr>
        <xdr:cNvSpPr txBox="1"/>
      </xdr:nvSpPr>
      <xdr:spPr>
        <a:xfrm>
          <a:off x="17244820" y="1158467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642</xdr:row>
      <xdr:rowOff>29208</xdr:rowOff>
    </xdr:from>
    <xdr:to>
      <xdr:col>11</xdr:col>
      <xdr:colOff>135382</xdr:colOff>
      <xdr:row>643</xdr:row>
      <xdr:rowOff>17782</xdr:rowOff>
    </xdr:to>
    <xdr:sp macro="_xll.PtreeEvent_ObjectClick" textlink="">
      <xdr:nvSpPr>
        <xdr:cNvPr id="1277" name="PTObj_DNode_1_318">
          <a:extLst>
            <a:ext uri="{FF2B5EF4-FFF2-40B4-BE49-F238E27FC236}">
              <a16:creationId xmlns:a16="http://schemas.microsoft.com/office/drawing/2014/main" id="{BF8C7AA8-F781-4429-A8FE-91AE7129CC36}"/>
            </a:ext>
          </a:extLst>
        </xdr:cNvPr>
        <xdr:cNvSpPr/>
      </xdr:nvSpPr>
      <xdr:spPr>
        <a:xfrm>
          <a:off x="19819747" y="116215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642</xdr:row>
      <xdr:rowOff>28431</xdr:rowOff>
    </xdr:from>
    <xdr:ext cx="514858" cy="180627"/>
    <xdr:sp macro="_xll.PtreeEvent_ObjectClick" textlink="">
      <xdr:nvSpPr>
        <xdr:cNvPr id="1280" name="PTObj_DBranchName_1_318">
          <a:extLst>
            <a:ext uri="{FF2B5EF4-FFF2-40B4-BE49-F238E27FC236}">
              <a16:creationId xmlns:a16="http://schemas.microsoft.com/office/drawing/2014/main" id="{04B19324-41B8-4FCB-A735-12C52510214E}"/>
            </a:ext>
          </a:extLst>
        </xdr:cNvPr>
        <xdr:cNvSpPr txBox="1"/>
      </xdr:nvSpPr>
      <xdr:spPr>
        <a:xfrm>
          <a:off x="18666904" y="116214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644</xdr:row>
      <xdr:rowOff>35875</xdr:rowOff>
    </xdr:from>
    <xdr:to>
      <xdr:col>12</xdr:col>
      <xdr:colOff>132528</xdr:colOff>
      <xdr:row>645</xdr:row>
      <xdr:rowOff>18730</xdr:rowOff>
    </xdr:to>
    <xdr:sp macro="_xll.PtreeEvent_ObjectClick" textlink="">
      <xdr:nvSpPr>
        <xdr:cNvPr id="1281" name="PTObj_DNode_1_319">
          <a:extLst>
            <a:ext uri="{FF2B5EF4-FFF2-40B4-BE49-F238E27FC236}">
              <a16:creationId xmlns:a16="http://schemas.microsoft.com/office/drawing/2014/main" id="{2A727674-70F7-4E4C-850E-BECAD742C2B4}"/>
            </a:ext>
          </a:extLst>
        </xdr:cNvPr>
        <xdr:cNvSpPr/>
      </xdr:nvSpPr>
      <xdr:spPr>
        <a:xfrm rot="-5400000">
          <a:off x="21248498" y="1165790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644</xdr:row>
      <xdr:rowOff>32239</xdr:rowOff>
    </xdr:from>
    <xdr:ext cx="514858" cy="180627"/>
    <xdr:sp macro="_xll.PtreeEvent_ObjectClick" textlink="">
      <xdr:nvSpPr>
        <xdr:cNvPr id="1284" name="PTObj_DBranchName_1_319">
          <a:extLst>
            <a:ext uri="{FF2B5EF4-FFF2-40B4-BE49-F238E27FC236}">
              <a16:creationId xmlns:a16="http://schemas.microsoft.com/office/drawing/2014/main" id="{A5C57295-BBA5-40CC-88CB-E109E1961B01}"/>
            </a:ext>
          </a:extLst>
        </xdr:cNvPr>
        <xdr:cNvSpPr txBox="1"/>
      </xdr:nvSpPr>
      <xdr:spPr>
        <a:xfrm>
          <a:off x="20094701" y="116580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2</xdr:col>
      <xdr:colOff>1419352</xdr:colOff>
      <xdr:row>969</xdr:row>
      <xdr:rowOff>103510</xdr:rowOff>
    </xdr:from>
    <xdr:to>
      <xdr:col>3</xdr:col>
      <xdr:colOff>169672</xdr:colOff>
      <xdr:row>970</xdr:row>
      <xdr:rowOff>97800</xdr:rowOff>
    </xdr:to>
    <xdr:sp macro="_xll.PtreeEvent_ObjectClick" textlink="">
      <xdr:nvSpPr>
        <xdr:cNvPr id="1285" name="PTObj_DNode_1_480">
          <a:extLst>
            <a:ext uri="{FF2B5EF4-FFF2-40B4-BE49-F238E27FC236}">
              <a16:creationId xmlns:a16="http://schemas.microsoft.com/office/drawing/2014/main" id="{4B81DB4F-8199-497A-928B-2F06AB1323B8}"/>
            </a:ext>
          </a:extLst>
        </xdr:cNvPr>
        <xdr:cNvSpPr/>
      </xdr:nvSpPr>
      <xdr:spPr>
        <a:xfrm>
          <a:off x="8420227" y="175468285"/>
          <a:ext cx="182880" cy="18288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271272</xdr:colOff>
      <xdr:row>969</xdr:row>
      <xdr:rowOff>102721</xdr:rowOff>
    </xdr:from>
    <xdr:ext cx="566520" cy="180627"/>
    <xdr:sp macro="_xll.PtreeEvent_ObjectClick" textlink="">
      <xdr:nvSpPr>
        <xdr:cNvPr id="1288" name="PTObj_DBranchName_1_480">
          <a:extLst>
            <a:ext uri="{FF2B5EF4-FFF2-40B4-BE49-F238E27FC236}">
              <a16:creationId xmlns:a16="http://schemas.microsoft.com/office/drawing/2014/main" id="{D250E661-9754-4EE3-95EE-63D406331A7A}"/>
            </a:ext>
          </a:extLst>
        </xdr:cNvPr>
        <xdr:cNvSpPr txBox="1"/>
      </xdr:nvSpPr>
      <xdr:spPr>
        <a:xfrm>
          <a:off x="7272147" y="175467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3</xdr:col>
      <xdr:colOff>1415542</xdr:colOff>
      <xdr:row>807</xdr:row>
      <xdr:rowOff>160660</xdr:rowOff>
    </xdr:from>
    <xdr:to>
      <xdr:col>4</xdr:col>
      <xdr:colOff>173483</xdr:colOff>
      <xdr:row>808</xdr:row>
      <xdr:rowOff>172095</xdr:rowOff>
    </xdr:to>
    <xdr:sp macro="_xll.PtreeEvent_ObjectClick" textlink="">
      <xdr:nvSpPr>
        <xdr:cNvPr id="1289" name="PTObj_DNode_1_400">
          <a:extLst>
            <a:ext uri="{FF2B5EF4-FFF2-40B4-BE49-F238E27FC236}">
              <a16:creationId xmlns:a16="http://schemas.microsoft.com/office/drawing/2014/main" id="{90921D97-AD35-49FD-AEB3-6CB5EBEB1435}"/>
            </a:ext>
          </a:extLst>
        </xdr:cNvPr>
        <xdr:cNvSpPr/>
      </xdr:nvSpPr>
      <xdr:spPr>
        <a:xfrm>
          <a:off x="9845167" y="1462074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266509</xdr:colOff>
      <xdr:row>807</xdr:row>
      <xdr:rowOff>163681</xdr:rowOff>
    </xdr:from>
    <xdr:ext cx="566520" cy="180627"/>
    <xdr:sp macro="_xll.PtreeEvent_ObjectClick" textlink="">
      <xdr:nvSpPr>
        <xdr:cNvPr id="1292" name="PTObj_DBranchName_1_400">
          <a:extLst>
            <a:ext uri="{FF2B5EF4-FFF2-40B4-BE49-F238E27FC236}">
              <a16:creationId xmlns:a16="http://schemas.microsoft.com/office/drawing/2014/main" id="{69B32FEF-0CCC-43BC-B77D-06E8DAD16338}"/>
            </a:ext>
          </a:extLst>
        </xdr:cNvPr>
        <xdr:cNvSpPr txBox="1"/>
      </xdr:nvSpPr>
      <xdr:spPr>
        <a:xfrm>
          <a:off x="8696134" y="146210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4</xdr:col>
      <xdr:colOff>1411732</xdr:colOff>
      <xdr:row>727</xdr:row>
      <xdr:rowOff>8260</xdr:rowOff>
    </xdr:from>
    <xdr:to>
      <xdr:col>5</xdr:col>
      <xdr:colOff>169672</xdr:colOff>
      <xdr:row>728</xdr:row>
      <xdr:rowOff>19695</xdr:rowOff>
    </xdr:to>
    <xdr:sp macro="_xll.PtreeEvent_ObjectClick" textlink="">
      <xdr:nvSpPr>
        <xdr:cNvPr id="1293" name="PTObj_DNode_1_360">
          <a:extLst>
            <a:ext uri="{FF2B5EF4-FFF2-40B4-BE49-F238E27FC236}">
              <a16:creationId xmlns:a16="http://schemas.microsoft.com/office/drawing/2014/main" id="{B2BA610D-7B92-48F3-B678-01DAD83ABABB}"/>
            </a:ext>
          </a:extLst>
        </xdr:cNvPr>
        <xdr:cNvSpPr/>
      </xdr:nvSpPr>
      <xdr:spPr>
        <a:xfrm>
          <a:off x="11270107" y="13157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264605</xdr:colOff>
      <xdr:row>727</xdr:row>
      <xdr:rowOff>11281</xdr:rowOff>
    </xdr:from>
    <xdr:ext cx="566520" cy="180627"/>
    <xdr:sp macro="_xll.PtreeEvent_ObjectClick" textlink="">
      <xdr:nvSpPr>
        <xdr:cNvPr id="1296" name="PTObj_DBranchName_1_360">
          <a:extLst>
            <a:ext uri="{FF2B5EF4-FFF2-40B4-BE49-F238E27FC236}">
              <a16:creationId xmlns:a16="http://schemas.microsoft.com/office/drawing/2014/main" id="{88C70487-138A-47E2-A638-7814DB2BE712}"/>
            </a:ext>
          </a:extLst>
        </xdr:cNvPr>
        <xdr:cNvSpPr txBox="1"/>
      </xdr:nvSpPr>
      <xdr:spPr>
        <a:xfrm>
          <a:off x="10122980" y="131580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1407922</xdr:colOff>
      <xdr:row>686</xdr:row>
      <xdr:rowOff>113035</xdr:rowOff>
    </xdr:from>
    <xdr:to>
      <xdr:col>6</xdr:col>
      <xdr:colOff>167767</xdr:colOff>
      <xdr:row>687</xdr:row>
      <xdr:rowOff>114945</xdr:rowOff>
    </xdr:to>
    <xdr:sp macro="_xll.PtreeEvent_ObjectClick" textlink="">
      <xdr:nvSpPr>
        <xdr:cNvPr id="1297" name="PTObj_DNode_1_340">
          <a:extLst>
            <a:ext uri="{FF2B5EF4-FFF2-40B4-BE49-F238E27FC236}">
              <a16:creationId xmlns:a16="http://schemas.microsoft.com/office/drawing/2014/main" id="{058482A2-3FCD-4598-AED3-AC0F5739CFB7}"/>
            </a:ext>
          </a:extLst>
        </xdr:cNvPr>
        <xdr:cNvSpPr/>
      </xdr:nvSpPr>
      <xdr:spPr>
        <a:xfrm>
          <a:off x="12695047" y="124261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686</xdr:row>
      <xdr:rowOff>114151</xdr:rowOff>
    </xdr:from>
    <xdr:ext cx="568424" cy="180627"/>
    <xdr:sp macro="_xll.PtreeEvent_ObjectClick" textlink="">
      <xdr:nvSpPr>
        <xdr:cNvPr id="1300" name="PTObj_DBranchName_1_340">
          <a:extLst>
            <a:ext uri="{FF2B5EF4-FFF2-40B4-BE49-F238E27FC236}">
              <a16:creationId xmlns:a16="http://schemas.microsoft.com/office/drawing/2014/main" id="{D7248D74-D7EC-46C4-B87D-26CEA48B0AB1}"/>
            </a:ext>
          </a:extLst>
        </xdr:cNvPr>
        <xdr:cNvSpPr txBox="1"/>
      </xdr:nvSpPr>
      <xdr:spPr>
        <a:xfrm>
          <a:off x="11548872" y="12426300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666</xdr:row>
      <xdr:rowOff>74935</xdr:rowOff>
    </xdr:from>
    <xdr:to>
      <xdr:col>7</xdr:col>
      <xdr:colOff>171578</xdr:colOff>
      <xdr:row>667</xdr:row>
      <xdr:rowOff>76845</xdr:rowOff>
    </xdr:to>
    <xdr:sp macro="_xll.PtreeEvent_ObjectClick" textlink="">
      <xdr:nvSpPr>
        <xdr:cNvPr id="1301" name="PTObj_DNode_1_330">
          <a:extLst>
            <a:ext uri="{FF2B5EF4-FFF2-40B4-BE49-F238E27FC236}">
              <a16:creationId xmlns:a16="http://schemas.microsoft.com/office/drawing/2014/main" id="{228A4F0B-7315-4F1C-A967-76E7F7B40B46}"/>
            </a:ext>
          </a:extLst>
        </xdr:cNvPr>
        <xdr:cNvSpPr/>
      </xdr:nvSpPr>
      <xdr:spPr>
        <a:xfrm>
          <a:off x="14119988" y="120604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666</xdr:row>
      <xdr:rowOff>76051</xdr:rowOff>
    </xdr:from>
    <xdr:ext cx="566520" cy="180627"/>
    <xdr:sp macro="_xll.PtreeEvent_ObjectClick" textlink="">
      <xdr:nvSpPr>
        <xdr:cNvPr id="1304" name="PTObj_DBranchName_1_330">
          <a:extLst>
            <a:ext uri="{FF2B5EF4-FFF2-40B4-BE49-F238E27FC236}">
              <a16:creationId xmlns:a16="http://schemas.microsoft.com/office/drawing/2014/main" id="{2548A1D5-30EB-4928-A6CE-3C22205CA339}"/>
            </a:ext>
          </a:extLst>
        </xdr:cNvPr>
        <xdr:cNvSpPr txBox="1"/>
      </xdr:nvSpPr>
      <xdr:spPr>
        <a:xfrm>
          <a:off x="12976669" y="1206054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656</xdr:row>
      <xdr:rowOff>55885</xdr:rowOff>
    </xdr:from>
    <xdr:to>
      <xdr:col>8</xdr:col>
      <xdr:colOff>154432</xdr:colOff>
      <xdr:row>657</xdr:row>
      <xdr:rowOff>57795</xdr:rowOff>
    </xdr:to>
    <xdr:sp macro="_xll.PtreeEvent_ObjectClick" textlink="">
      <xdr:nvSpPr>
        <xdr:cNvPr id="1305" name="PTObj_DNode_1_325">
          <a:extLst>
            <a:ext uri="{FF2B5EF4-FFF2-40B4-BE49-F238E27FC236}">
              <a16:creationId xmlns:a16="http://schemas.microsoft.com/office/drawing/2014/main" id="{462D3DF4-5578-4E69-B6D5-9B098FB56551}"/>
            </a:ext>
          </a:extLst>
        </xdr:cNvPr>
        <xdr:cNvSpPr/>
      </xdr:nvSpPr>
      <xdr:spPr>
        <a:xfrm>
          <a:off x="15544927" y="11877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656</xdr:row>
      <xdr:rowOff>60811</xdr:rowOff>
    </xdr:from>
    <xdr:ext cx="566519" cy="180627"/>
    <xdr:sp macro="_xll.PtreeEvent_ObjectClick" textlink="">
      <xdr:nvSpPr>
        <xdr:cNvPr id="1308" name="PTObj_DBranchName_1_325">
          <a:extLst>
            <a:ext uri="{FF2B5EF4-FFF2-40B4-BE49-F238E27FC236}">
              <a16:creationId xmlns:a16="http://schemas.microsoft.com/office/drawing/2014/main" id="{E58D9BA7-7DA7-4C72-B050-1403022B3846}"/>
            </a:ext>
          </a:extLst>
        </xdr:cNvPr>
        <xdr:cNvSpPr txBox="1"/>
      </xdr:nvSpPr>
      <xdr:spPr>
        <a:xfrm>
          <a:off x="14398752" y="11878041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648</xdr:row>
      <xdr:rowOff>40642</xdr:rowOff>
    </xdr:from>
    <xdr:to>
      <xdr:col>9</xdr:col>
      <xdr:colOff>150622</xdr:colOff>
      <xdr:row>649</xdr:row>
      <xdr:rowOff>53982</xdr:rowOff>
    </xdr:to>
    <xdr:sp macro="_xll.PtreeEvent_ObjectClick" textlink="">
      <xdr:nvSpPr>
        <xdr:cNvPr id="1309" name="PTObj_DNode_1_321">
          <a:extLst>
            <a:ext uri="{FF2B5EF4-FFF2-40B4-BE49-F238E27FC236}">
              <a16:creationId xmlns:a16="http://schemas.microsoft.com/office/drawing/2014/main" id="{64C1F2D6-D010-4BFF-A70F-8B6D98025DF6}"/>
            </a:ext>
          </a:extLst>
        </xdr:cNvPr>
        <xdr:cNvSpPr/>
      </xdr:nvSpPr>
      <xdr:spPr>
        <a:xfrm>
          <a:off x="16969867" y="117312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648</xdr:row>
      <xdr:rowOff>41771</xdr:rowOff>
    </xdr:from>
    <xdr:ext cx="568424" cy="180627"/>
    <xdr:sp macro="_xll.PtreeEvent_ObjectClick" textlink="">
      <xdr:nvSpPr>
        <xdr:cNvPr id="1312" name="PTObj_DBranchName_1_321">
          <a:extLst>
            <a:ext uri="{FF2B5EF4-FFF2-40B4-BE49-F238E27FC236}">
              <a16:creationId xmlns:a16="http://schemas.microsoft.com/office/drawing/2014/main" id="{78497CAF-674B-4B64-BCCD-D3A0BF05AA15}"/>
            </a:ext>
          </a:extLst>
        </xdr:cNvPr>
        <xdr:cNvSpPr txBox="1"/>
      </xdr:nvSpPr>
      <xdr:spPr>
        <a:xfrm>
          <a:off x="15820834" y="1173135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650</xdr:row>
      <xdr:rowOff>44450</xdr:rowOff>
    </xdr:from>
    <xdr:to>
      <xdr:col>10</xdr:col>
      <xdr:colOff>131573</xdr:colOff>
      <xdr:row>651</xdr:row>
      <xdr:rowOff>57790</xdr:rowOff>
    </xdr:to>
    <xdr:sp macro="_xll.PtreeEvent_ObjectClick" textlink="">
      <xdr:nvSpPr>
        <xdr:cNvPr id="1313" name="PTObj_DNode_1_322">
          <a:extLst>
            <a:ext uri="{FF2B5EF4-FFF2-40B4-BE49-F238E27FC236}">
              <a16:creationId xmlns:a16="http://schemas.microsoft.com/office/drawing/2014/main" id="{104F056D-50F2-4BCD-B78D-868A9FBA9C72}"/>
            </a:ext>
          </a:extLst>
        </xdr:cNvPr>
        <xdr:cNvSpPr/>
      </xdr:nvSpPr>
      <xdr:spPr>
        <a:xfrm>
          <a:off x="18394807" y="117678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650</xdr:row>
      <xdr:rowOff>47484</xdr:rowOff>
    </xdr:from>
    <xdr:ext cx="514858" cy="180627"/>
    <xdr:sp macro="_xll.PtreeEvent_ObjectClick" textlink="">
      <xdr:nvSpPr>
        <xdr:cNvPr id="1316" name="PTObj_DBranchName_1_322">
          <a:extLst>
            <a:ext uri="{FF2B5EF4-FFF2-40B4-BE49-F238E27FC236}">
              <a16:creationId xmlns:a16="http://schemas.microsoft.com/office/drawing/2014/main" id="{00316571-5BD9-4EF6-BDF5-B21AA2066463}"/>
            </a:ext>
          </a:extLst>
        </xdr:cNvPr>
        <xdr:cNvSpPr txBox="1"/>
      </xdr:nvSpPr>
      <xdr:spPr>
        <a:xfrm>
          <a:off x="17244820" y="117681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652</xdr:row>
      <xdr:rowOff>48258</xdr:rowOff>
    </xdr:from>
    <xdr:to>
      <xdr:col>11</xdr:col>
      <xdr:colOff>135382</xdr:colOff>
      <xdr:row>653</xdr:row>
      <xdr:rowOff>53977</xdr:rowOff>
    </xdr:to>
    <xdr:sp macro="_xll.PtreeEvent_ObjectClick" textlink="">
      <xdr:nvSpPr>
        <xdr:cNvPr id="1317" name="PTObj_DNode_1_323">
          <a:extLst>
            <a:ext uri="{FF2B5EF4-FFF2-40B4-BE49-F238E27FC236}">
              <a16:creationId xmlns:a16="http://schemas.microsoft.com/office/drawing/2014/main" id="{61DD2401-6BB7-4A1F-8964-013926E81909}"/>
            </a:ext>
          </a:extLst>
        </xdr:cNvPr>
        <xdr:cNvSpPr/>
      </xdr:nvSpPr>
      <xdr:spPr>
        <a:xfrm>
          <a:off x="19819747" y="118043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652</xdr:row>
      <xdr:rowOff>51291</xdr:rowOff>
    </xdr:from>
    <xdr:ext cx="514858" cy="180627"/>
    <xdr:sp macro="_xll.PtreeEvent_ObjectClick" textlink="">
      <xdr:nvSpPr>
        <xdr:cNvPr id="1320" name="PTObj_DBranchName_1_323">
          <a:extLst>
            <a:ext uri="{FF2B5EF4-FFF2-40B4-BE49-F238E27FC236}">
              <a16:creationId xmlns:a16="http://schemas.microsoft.com/office/drawing/2014/main" id="{B29276AA-6F7C-4D60-BFB4-2DABEC160F4F}"/>
            </a:ext>
          </a:extLst>
        </xdr:cNvPr>
        <xdr:cNvSpPr txBox="1"/>
      </xdr:nvSpPr>
      <xdr:spPr>
        <a:xfrm>
          <a:off x="18666904" y="118046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654</xdr:row>
      <xdr:rowOff>59688</xdr:rowOff>
    </xdr:from>
    <xdr:to>
      <xdr:col>12</xdr:col>
      <xdr:colOff>131575</xdr:colOff>
      <xdr:row>655</xdr:row>
      <xdr:rowOff>53973</xdr:rowOff>
    </xdr:to>
    <xdr:sp macro="_xll.PtreeEvent_ObjectClick" textlink="">
      <xdr:nvSpPr>
        <xdr:cNvPr id="1321" name="PTObj_DNode_1_324">
          <a:extLst>
            <a:ext uri="{FF2B5EF4-FFF2-40B4-BE49-F238E27FC236}">
              <a16:creationId xmlns:a16="http://schemas.microsoft.com/office/drawing/2014/main" id="{3A57B19D-F918-40E7-BDBB-86B18858563A}"/>
            </a:ext>
          </a:extLst>
        </xdr:cNvPr>
        <xdr:cNvSpPr/>
      </xdr:nvSpPr>
      <xdr:spPr>
        <a:xfrm rot="-5400000">
          <a:off x="21248498" y="1184135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654</xdr:row>
      <xdr:rowOff>57004</xdr:rowOff>
    </xdr:from>
    <xdr:ext cx="514858" cy="180627"/>
    <xdr:sp macro="_xll.PtreeEvent_ObjectClick" textlink="">
      <xdr:nvSpPr>
        <xdr:cNvPr id="1324" name="PTObj_DBranchName_1_324">
          <a:extLst>
            <a:ext uri="{FF2B5EF4-FFF2-40B4-BE49-F238E27FC236}">
              <a16:creationId xmlns:a16="http://schemas.microsoft.com/office/drawing/2014/main" id="{29CA9554-BD7C-4198-8358-2877A19E1942}"/>
            </a:ext>
          </a:extLst>
        </xdr:cNvPr>
        <xdr:cNvSpPr txBox="1"/>
      </xdr:nvSpPr>
      <xdr:spPr>
        <a:xfrm>
          <a:off x="20094701" y="1184146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658</xdr:row>
      <xdr:rowOff>59692</xdr:rowOff>
    </xdr:from>
    <xdr:to>
      <xdr:col>9</xdr:col>
      <xdr:colOff>150622</xdr:colOff>
      <xdr:row>659</xdr:row>
      <xdr:rowOff>57792</xdr:rowOff>
    </xdr:to>
    <xdr:sp macro="_xll.PtreeEvent_ObjectClick" textlink="">
      <xdr:nvSpPr>
        <xdr:cNvPr id="1325" name="PTObj_DNode_1_326">
          <a:extLst>
            <a:ext uri="{FF2B5EF4-FFF2-40B4-BE49-F238E27FC236}">
              <a16:creationId xmlns:a16="http://schemas.microsoft.com/office/drawing/2014/main" id="{1C24F0C6-5F1D-4C74-8D79-8DD0EE09D1F5}"/>
            </a:ext>
          </a:extLst>
        </xdr:cNvPr>
        <xdr:cNvSpPr/>
      </xdr:nvSpPr>
      <xdr:spPr>
        <a:xfrm>
          <a:off x="16969867" y="119141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658</xdr:row>
      <xdr:rowOff>57011</xdr:rowOff>
    </xdr:from>
    <xdr:ext cx="568424" cy="180627"/>
    <xdr:sp macro="_xll.PtreeEvent_ObjectClick" textlink="">
      <xdr:nvSpPr>
        <xdr:cNvPr id="1328" name="PTObj_DBranchName_1_326">
          <a:extLst>
            <a:ext uri="{FF2B5EF4-FFF2-40B4-BE49-F238E27FC236}">
              <a16:creationId xmlns:a16="http://schemas.microsoft.com/office/drawing/2014/main" id="{8F012CF0-07B1-4967-93FD-8F7CAD4C5EB6}"/>
            </a:ext>
          </a:extLst>
        </xdr:cNvPr>
        <xdr:cNvSpPr txBox="1"/>
      </xdr:nvSpPr>
      <xdr:spPr>
        <a:xfrm>
          <a:off x="15820834" y="1191385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660</xdr:row>
      <xdr:rowOff>63500</xdr:rowOff>
    </xdr:from>
    <xdr:to>
      <xdr:col>10</xdr:col>
      <xdr:colOff>131573</xdr:colOff>
      <xdr:row>661</xdr:row>
      <xdr:rowOff>59695</xdr:rowOff>
    </xdr:to>
    <xdr:sp macro="_xll.PtreeEvent_ObjectClick" textlink="">
      <xdr:nvSpPr>
        <xdr:cNvPr id="1329" name="PTObj_DNode_1_327">
          <a:extLst>
            <a:ext uri="{FF2B5EF4-FFF2-40B4-BE49-F238E27FC236}">
              <a16:creationId xmlns:a16="http://schemas.microsoft.com/office/drawing/2014/main" id="{A9EDD654-9141-4C67-872E-DF047F70479C}"/>
            </a:ext>
          </a:extLst>
        </xdr:cNvPr>
        <xdr:cNvSpPr/>
      </xdr:nvSpPr>
      <xdr:spPr>
        <a:xfrm>
          <a:off x="18394807" y="119507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660</xdr:row>
      <xdr:rowOff>60819</xdr:rowOff>
    </xdr:from>
    <xdr:ext cx="514858" cy="180627"/>
    <xdr:sp macro="_xll.PtreeEvent_ObjectClick" textlink="">
      <xdr:nvSpPr>
        <xdr:cNvPr id="1332" name="PTObj_DBranchName_1_327">
          <a:extLst>
            <a:ext uri="{FF2B5EF4-FFF2-40B4-BE49-F238E27FC236}">
              <a16:creationId xmlns:a16="http://schemas.microsoft.com/office/drawing/2014/main" id="{85E385C3-DD4F-4824-AD43-EC5A76CC39E6}"/>
            </a:ext>
          </a:extLst>
        </xdr:cNvPr>
        <xdr:cNvSpPr txBox="1"/>
      </xdr:nvSpPr>
      <xdr:spPr>
        <a:xfrm>
          <a:off x="17244820" y="1195043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662</xdr:row>
      <xdr:rowOff>67308</xdr:rowOff>
    </xdr:from>
    <xdr:to>
      <xdr:col>11</xdr:col>
      <xdr:colOff>135382</xdr:colOff>
      <xdr:row>663</xdr:row>
      <xdr:rowOff>55882</xdr:rowOff>
    </xdr:to>
    <xdr:sp macro="_xll.PtreeEvent_ObjectClick" textlink="">
      <xdr:nvSpPr>
        <xdr:cNvPr id="1333" name="PTObj_DNode_1_328">
          <a:extLst>
            <a:ext uri="{FF2B5EF4-FFF2-40B4-BE49-F238E27FC236}">
              <a16:creationId xmlns:a16="http://schemas.microsoft.com/office/drawing/2014/main" id="{86F6DCFA-AD66-4B7B-A9FB-EB17581417AC}"/>
            </a:ext>
          </a:extLst>
        </xdr:cNvPr>
        <xdr:cNvSpPr/>
      </xdr:nvSpPr>
      <xdr:spPr>
        <a:xfrm>
          <a:off x="19819747" y="119872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662</xdr:row>
      <xdr:rowOff>66531</xdr:rowOff>
    </xdr:from>
    <xdr:ext cx="514858" cy="180627"/>
    <xdr:sp macro="_xll.PtreeEvent_ObjectClick" textlink="">
      <xdr:nvSpPr>
        <xdr:cNvPr id="1336" name="PTObj_DBranchName_1_328">
          <a:extLst>
            <a:ext uri="{FF2B5EF4-FFF2-40B4-BE49-F238E27FC236}">
              <a16:creationId xmlns:a16="http://schemas.microsoft.com/office/drawing/2014/main" id="{5F53A748-C156-4E40-8603-A27F8399F7B0}"/>
            </a:ext>
          </a:extLst>
        </xdr:cNvPr>
        <xdr:cNvSpPr txBox="1"/>
      </xdr:nvSpPr>
      <xdr:spPr>
        <a:xfrm>
          <a:off x="18666904" y="119871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664</xdr:row>
      <xdr:rowOff>73975</xdr:rowOff>
    </xdr:from>
    <xdr:to>
      <xdr:col>12</xdr:col>
      <xdr:colOff>132528</xdr:colOff>
      <xdr:row>665</xdr:row>
      <xdr:rowOff>56830</xdr:rowOff>
    </xdr:to>
    <xdr:sp macro="_xll.PtreeEvent_ObjectClick" textlink="">
      <xdr:nvSpPr>
        <xdr:cNvPr id="1337" name="PTObj_DNode_1_329">
          <a:extLst>
            <a:ext uri="{FF2B5EF4-FFF2-40B4-BE49-F238E27FC236}">
              <a16:creationId xmlns:a16="http://schemas.microsoft.com/office/drawing/2014/main" id="{7A891EEE-4965-497D-AE38-AF73D1D73EB2}"/>
            </a:ext>
          </a:extLst>
        </xdr:cNvPr>
        <xdr:cNvSpPr/>
      </xdr:nvSpPr>
      <xdr:spPr>
        <a:xfrm rot="-5400000">
          <a:off x="21248498" y="1202366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664</xdr:row>
      <xdr:rowOff>70339</xdr:rowOff>
    </xdr:from>
    <xdr:ext cx="514858" cy="180627"/>
    <xdr:sp macro="_xll.PtreeEvent_ObjectClick" textlink="">
      <xdr:nvSpPr>
        <xdr:cNvPr id="1340" name="PTObj_DBranchName_1_329">
          <a:extLst>
            <a:ext uri="{FF2B5EF4-FFF2-40B4-BE49-F238E27FC236}">
              <a16:creationId xmlns:a16="http://schemas.microsoft.com/office/drawing/2014/main" id="{358FD040-75D9-4333-BAC7-7A7917E9B490}"/>
            </a:ext>
          </a:extLst>
        </xdr:cNvPr>
        <xdr:cNvSpPr txBox="1"/>
      </xdr:nvSpPr>
      <xdr:spPr>
        <a:xfrm>
          <a:off x="20094701" y="120237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676</xdr:row>
      <xdr:rowOff>93985</xdr:rowOff>
    </xdr:from>
    <xdr:to>
      <xdr:col>8</xdr:col>
      <xdr:colOff>154432</xdr:colOff>
      <xdr:row>677</xdr:row>
      <xdr:rowOff>92085</xdr:rowOff>
    </xdr:to>
    <xdr:sp macro="_xll.PtreeEvent_ObjectClick" textlink="">
      <xdr:nvSpPr>
        <xdr:cNvPr id="1341" name="PTObj_DNode_1_335">
          <a:extLst>
            <a:ext uri="{FF2B5EF4-FFF2-40B4-BE49-F238E27FC236}">
              <a16:creationId xmlns:a16="http://schemas.microsoft.com/office/drawing/2014/main" id="{EE290B40-578A-4755-BC7D-D9AD4DA55356}"/>
            </a:ext>
          </a:extLst>
        </xdr:cNvPr>
        <xdr:cNvSpPr/>
      </xdr:nvSpPr>
      <xdr:spPr>
        <a:xfrm>
          <a:off x="15544927" y="122433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676</xdr:row>
      <xdr:rowOff>98911</xdr:rowOff>
    </xdr:from>
    <xdr:ext cx="568425" cy="180627"/>
    <xdr:sp macro="_xll.PtreeEvent_ObjectClick" textlink="">
      <xdr:nvSpPr>
        <xdr:cNvPr id="1344" name="PTObj_DBranchName_1_335">
          <a:extLst>
            <a:ext uri="{FF2B5EF4-FFF2-40B4-BE49-F238E27FC236}">
              <a16:creationId xmlns:a16="http://schemas.microsoft.com/office/drawing/2014/main" id="{44B2ADEE-40D3-474D-8E5F-0ECBB73826CA}"/>
            </a:ext>
          </a:extLst>
        </xdr:cNvPr>
        <xdr:cNvSpPr txBox="1"/>
      </xdr:nvSpPr>
      <xdr:spPr>
        <a:xfrm>
          <a:off x="14400657" y="12243801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668</xdr:row>
      <xdr:rowOff>78742</xdr:rowOff>
    </xdr:from>
    <xdr:to>
      <xdr:col>9</xdr:col>
      <xdr:colOff>150622</xdr:colOff>
      <xdr:row>669</xdr:row>
      <xdr:rowOff>95892</xdr:rowOff>
    </xdr:to>
    <xdr:sp macro="_xll.PtreeEvent_ObjectClick" textlink="">
      <xdr:nvSpPr>
        <xdr:cNvPr id="1345" name="PTObj_DNode_1_331">
          <a:extLst>
            <a:ext uri="{FF2B5EF4-FFF2-40B4-BE49-F238E27FC236}">
              <a16:creationId xmlns:a16="http://schemas.microsoft.com/office/drawing/2014/main" id="{58AA68D3-14B5-4B86-AA0A-203D575FA203}"/>
            </a:ext>
          </a:extLst>
        </xdr:cNvPr>
        <xdr:cNvSpPr/>
      </xdr:nvSpPr>
      <xdr:spPr>
        <a:xfrm>
          <a:off x="16969867" y="120970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668</xdr:row>
      <xdr:rowOff>79871</xdr:rowOff>
    </xdr:from>
    <xdr:ext cx="568424" cy="180627"/>
    <xdr:sp macro="_xll.PtreeEvent_ObjectClick" textlink="">
      <xdr:nvSpPr>
        <xdr:cNvPr id="1348" name="PTObj_DBranchName_1_331">
          <a:extLst>
            <a:ext uri="{FF2B5EF4-FFF2-40B4-BE49-F238E27FC236}">
              <a16:creationId xmlns:a16="http://schemas.microsoft.com/office/drawing/2014/main" id="{FAE02E46-857A-4F24-A7CA-3A72B000D4F2}"/>
            </a:ext>
          </a:extLst>
        </xdr:cNvPr>
        <xdr:cNvSpPr txBox="1"/>
      </xdr:nvSpPr>
      <xdr:spPr>
        <a:xfrm>
          <a:off x="15820834" y="1209711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670</xdr:row>
      <xdr:rowOff>82550</xdr:rowOff>
    </xdr:from>
    <xdr:to>
      <xdr:col>10</xdr:col>
      <xdr:colOff>135383</xdr:colOff>
      <xdr:row>671</xdr:row>
      <xdr:rowOff>92080</xdr:rowOff>
    </xdr:to>
    <xdr:sp macro="_xll.PtreeEvent_ObjectClick" textlink="">
      <xdr:nvSpPr>
        <xdr:cNvPr id="1349" name="PTObj_DNode_1_332">
          <a:extLst>
            <a:ext uri="{FF2B5EF4-FFF2-40B4-BE49-F238E27FC236}">
              <a16:creationId xmlns:a16="http://schemas.microsoft.com/office/drawing/2014/main" id="{67AEE6D7-F4EE-4C93-B3CA-1414102AA988}"/>
            </a:ext>
          </a:extLst>
        </xdr:cNvPr>
        <xdr:cNvSpPr/>
      </xdr:nvSpPr>
      <xdr:spPr>
        <a:xfrm>
          <a:off x="18394807" y="121335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670</xdr:row>
      <xdr:rowOff>85584</xdr:rowOff>
    </xdr:from>
    <xdr:ext cx="514858" cy="180627"/>
    <xdr:sp macro="_xll.PtreeEvent_ObjectClick" textlink="">
      <xdr:nvSpPr>
        <xdr:cNvPr id="1352" name="PTObj_DBranchName_1_332">
          <a:extLst>
            <a:ext uri="{FF2B5EF4-FFF2-40B4-BE49-F238E27FC236}">
              <a16:creationId xmlns:a16="http://schemas.microsoft.com/office/drawing/2014/main" id="{A7CF497D-F260-443D-B126-1E1AE36F9C09}"/>
            </a:ext>
          </a:extLst>
        </xdr:cNvPr>
        <xdr:cNvSpPr txBox="1"/>
      </xdr:nvSpPr>
      <xdr:spPr>
        <a:xfrm>
          <a:off x="17244820" y="121338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672</xdr:row>
      <xdr:rowOff>86358</xdr:rowOff>
    </xdr:from>
    <xdr:to>
      <xdr:col>11</xdr:col>
      <xdr:colOff>131572</xdr:colOff>
      <xdr:row>673</xdr:row>
      <xdr:rowOff>95887</xdr:rowOff>
    </xdr:to>
    <xdr:sp macro="_xll.PtreeEvent_ObjectClick" textlink="">
      <xdr:nvSpPr>
        <xdr:cNvPr id="1353" name="PTObj_DNode_1_333">
          <a:extLst>
            <a:ext uri="{FF2B5EF4-FFF2-40B4-BE49-F238E27FC236}">
              <a16:creationId xmlns:a16="http://schemas.microsoft.com/office/drawing/2014/main" id="{FEBF6E7B-E2C2-4FDA-8D5A-3FE71A2DB9D4}"/>
            </a:ext>
          </a:extLst>
        </xdr:cNvPr>
        <xdr:cNvSpPr/>
      </xdr:nvSpPr>
      <xdr:spPr>
        <a:xfrm>
          <a:off x="19819747" y="121701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672</xdr:row>
      <xdr:rowOff>89391</xdr:rowOff>
    </xdr:from>
    <xdr:ext cx="514858" cy="180627"/>
    <xdr:sp macro="_xll.PtreeEvent_ObjectClick" textlink="">
      <xdr:nvSpPr>
        <xdr:cNvPr id="1356" name="PTObj_DBranchName_1_333">
          <a:extLst>
            <a:ext uri="{FF2B5EF4-FFF2-40B4-BE49-F238E27FC236}">
              <a16:creationId xmlns:a16="http://schemas.microsoft.com/office/drawing/2014/main" id="{112BC60C-22C0-45FF-92AC-1AAA569F3C14}"/>
            </a:ext>
          </a:extLst>
        </xdr:cNvPr>
        <xdr:cNvSpPr txBox="1"/>
      </xdr:nvSpPr>
      <xdr:spPr>
        <a:xfrm>
          <a:off x="18666904" y="121704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674</xdr:row>
      <xdr:rowOff>97788</xdr:rowOff>
    </xdr:from>
    <xdr:to>
      <xdr:col>12</xdr:col>
      <xdr:colOff>135385</xdr:colOff>
      <xdr:row>675</xdr:row>
      <xdr:rowOff>95883</xdr:rowOff>
    </xdr:to>
    <xdr:sp macro="_xll.PtreeEvent_ObjectClick" textlink="">
      <xdr:nvSpPr>
        <xdr:cNvPr id="1357" name="PTObj_DNode_1_334">
          <a:extLst>
            <a:ext uri="{FF2B5EF4-FFF2-40B4-BE49-F238E27FC236}">
              <a16:creationId xmlns:a16="http://schemas.microsoft.com/office/drawing/2014/main" id="{80567B58-BC2F-4DBF-9DF8-7C8DE3675978}"/>
            </a:ext>
          </a:extLst>
        </xdr:cNvPr>
        <xdr:cNvSpPr/>
      </xdr:nvSpPr>
      <xdr:spPr>
        <a:xfrm rot="-5400000">
          <a:off x="21248498" y="1220711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674</xdr:row>
      <xdr:rowOff>95104</xdr:rowOff>
    </xdr:from>
    <xdr:ext cx="514858" cy="180627"/>
    <xdr:sp macro="_xll.PtreeEvent_ObjectClick" textlink="">
      <xdr:nvSpPr>
        <xdr:cNvPr id="1360" name="PTObj_DBranchName_1_334">
          <a:extLst>
            <a:ext uri="{FF2B5EF4-FFF2-40B4-BE49-F238E27FC236}">
              <a16:creationId xmlns:a16="http://schemas.microsoft.com/office/drawing/2014/main" id="{446FB636-6B85-430D-85A0-B836A0F06734}"/>
            </a:ext>
          </a:extLst>
        </xdr:cNvPr>
        <xdr:cNvSpPr txBox="1"/>
      </xdr:nvSpPr>
      <xdr:spPr>
        <a:xfrm>
          <a:off x="20094701" y="1220722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678</xdr:row>
      <xdr:rowOff>97792</xdr:rowOff>
    </xdr:from>
    <xdr:to>
      <xdr:col>9</xdr:col>
      <xdr:colOff>150622</xdr:colOff>
      <xdr:row>679</xdr:row>
      <xdr:rowOff>92082</xdr:rowOff>
    </xdr:to>
    <xdr:sp macro="_xll.PtreeEvent_ObjectClick" textlink="">
      <xdr:nvSpPr>
        <xdr:cNvPr id="1361" name="PTObj_DNode_1_336">
          <a:extLst>
            <a:ext uri="{FF2B5EF4-FFF2-40B4-BE49-F238E27FC236}">
              <a16:creationId xmlns:a16="http://schemas.microsoft.com/office/drawing/2014/main" id="{46C1AC77-0ED4-4FA1-A490-6AE471AC9002}"/>
            </a:ext>
          </a:extLst>
        </xdr:cNvPr>
        <xdr:cNvSpPr/>
      </xdr:nvSpPr>
      <xdr:spPr>
        <a:xfrm>
          <a:off x="16969867" y="122798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678</xdr:row>
      <xdr:rowOff>95111</xdr:rowOff>
    </xdr:from>
    <xdr:ext cx="568424" cy="180627"/>
    <xdr:sp macro="_xll.PtreeEvent_ObjectClick" textlink="">
      <xdr:nvSpPr>
        <xdr:cNvPr id="1364" name="PTObj_DBranchName_1_336">
          <a:extLst>
            <a:ext uri="{FF2B5EF4-FFF2-40B4-BE49-F238E27FC236}">
              <a16:creationId xmlns:a16="http://schemas.microsoft.com/office/drawing/2014/main" id="{EDD81E6F-65A2-464C-AB22-A47B0D07FE9F}"/>
            </a:ext>
          </a:extLst>
        </xdr:cNvPr>
        <xdr:cNvSpPr txBox="1"/>
      </xdr:nvSpPr>
      <xdr:spPr>
        <a:xfrm>
          <a:off x="15820834" y="1227961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680</xdr:row>
      <xdr:rowOff>101600</xdr:rowOff>
    </xdr:from>
    <xdr:to>
      <xdr:col>10</xdr:col>
      <xdr:colOff>135383</xdr:colOff>
      <xdr:row>681</xdr:row>
      <xdr:rowOff>93985</xdr:rowOff>
    </xdr:to>
    <xdr:sp macro="_xll.PtreeEvent_ObjectClick" textlink="">
      <xdr:nvSpPr>
        <xdr:cNvPr id="1365" name="PTObj_DNode_1_337">
          <a:extLst>
            <a:ext uri="{FF2B5EF4-FFF2-40B4-BE49-F238E27FC236}">
              <a16:creationId xmlns:a16="http://schemas.microsoft.com/office/drawing/2014/main" id="{279D755C-525B-43DC-A20D-CD4BED73A7A5}"/>
            </a:ext>
          </a:extLst>
        </xdr:cNvPr>
        <xdr:cNvSpPr/>
      </xdr:nvSpPr>
      <xdr:spPr>
        <a:xfrm>
          <a:off x="18394807" y="123164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680</xdr:row>
      <xdr:rowOff>98919</xdr:rowOff>
    </xdr:from>
    <xdr:ext cx="514858" cy="180627"/>
    <xdr:sp macro="_xll.PtreeEvent_ObjectClick" textlink="">
      <xdr:nvSpPr>
        <xdr:cNvPr id="1368" name="PTObj_DBranchName_1_337">
          <a:extLst>
            <a:ext uri="{FF2B5EF4-FFF2-40B4-BE49-F238E27FC236}">
              <a16:creationId xmlns:a16="http://schemas.microsoft.com/office/drawing/2014/main" id="{15964F72-3B5C-426D-90CB-AF4D047F4013}"/>
            </a:ext>
          </a:extLst>
        </xdr:cNvPr>
        <xdr:cNvSpPr txBox="1"/>
      </xdr:nvSpPr>
      <xdr:spPr>
        <a:xfrm>
          <a:off x="17244820" y="1231619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682</xdr:row>
      <xdr:rowOff>105408</xdr:rowOff>
    </xdr:from>
    <xdr:to>
      <xdr:col>11</xdr:col>
      <xdr:colOff>131572</xdr:colOff>
      <xdr:row>683</xdr:row>
      <xdr:rowOff>97792</xdr:rowOff>
    </xdr:to>
    <xdr:sp macro="_xll.PtreeEvent_ObjectClick" textlink="">
      <xdr:nvSpPr>
        <xdr:cNvPr id="1369" name="PTObj_DNode_1_338">
          <a:extLst>
            <a:ext uri="{FF2B5EF4-FFF2-40B4-BE49-F238E27FC236}">
              <a16:creationId xmlns:a16="http://schemas.microsoft.com/office/drawing/2014/main" id="{3E17CF51-C781-489C-8027-2B222A59AE59}"/>
            </a:ext>
          </a:extLst>
        </xdr:cNvPr>
        <xdr:cNvSpPr/>
      </xdr:nvSpPr>
      <xdr:spPr>
        <a:xfrm>
          <a:off x="19819747" y="123530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682</xdr:row>
      <xdr:rowOff>104631</xdr:rowOff>
    </xdr:from>
    <xdr:ext cx="514858" cy="180627"/>
    <xdr:sp macro="_xll.PtreeEvent_ObjectClick" textlink="">
      <xdr:nvSpPr>
        <xdr:cNvPr id="1372" name="PTObj_DBranchName_1_338">
          <a:extLst>
            <a:ext uri="{FF2B5EF4-FFF2-40B4-BE49-F238E27FC236}">
              <a16:creationId xmlns:a16="http://schemas.microsoft.com/office/drawing/2014/main" id="{37983242-ECA6-4A57-A1E3-268403F23354}"/>
            </a:ext>
          </a:extLst>
        </xdr:cNvPr>
        <xdr:cNvSpPr txBox="1"/>
      </xdr:nvSpPr>
      <xdr:spPr>
        <a:xfrm>
          <a:off x="18666904" y="123529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684</xdr:row>
      <xdr:rowOff>112075</xdr:rowOff>
    </xdr:from>
    <xdr:to>
      <xdr:col>12</xdr:col>
      <xdr:colOff>136338</xdr:colOff>
      <xdr:row>685</xdr:row>
      <xdr:rowOff>98740</xdr:rowOff>
    </xdr:to>
    <xdr:sp macro="_xll.PtreeEvent_ObjectClick" textlink="">
      <xdr:nvSpPr>
        <xdr:cNvPr id="1373" name="PTObj_DNode_1_339">
          <a:extLst>
            <a:ext uri="{FF2B5EF4-FFF2-40B4-BE49-F238E27FC236}">
              <a16:creationId xmlns:a16="http://schemas.microsoft.com/office/drawing/2014/main" id="{99C10361-507C-4A79-931E-28B809979BAF}"/>
            </a:ext>
          </a:extLst>
        </xdr:cNvPr>
        <xdr:cNvSpPr/>
      </xdr:nvSpPr>
      <xdr:spPr>
        <a:xfrm rot="-5400000">
          <a:off x="21248498" y="1238942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684</xdr:row>
      <xdr:rowOff>108439</xdr:rowOff>
    </xdr:from>
    <xdr:ext cx="514858" cy="180627"/>
    <xdr:sp macro="_xll.PtreeEvent_ObjectClick" textlink="">
      <xdr:nvSpPr>
        <xdr:cNvPr id="1376" name="PTObj_DBranchName_1_339">
          <a:extLst>
            <a:ext uri="{FF2B5EF4-FFF2-40B4-BE49-F238E27FC236}">
              <a16:creationId xmlns:a16="http://schemas.microsoft.com/office/drawing/2014/main" id="{B0EF30DB-F810-4B98-8FDA-35797C8C18EC}"/>
            </a:ext>
          </a:extLst>
        </xdr:cNvPr>
        <xdr:cNvSpPr txBox="1"/>
      </xdr:nvSpPr>
      <xdr:spPr>
        <a:xfrm>
          <a:off x="20094701" y="123895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706</xdr:row>
      <xdr:rowOff>151135</xdr:rowOff>
    </xdr:from>
    <xdr:to>
      <xdr:col>7</xdr:col>
      <xdr:colOff>167768</xdr:colOff>
      <xdr:row>707</xdr:row>
      <xdr:rowOff>153045</xdr:rowOff>
    </xdr:to>
    <xdr:sp macro="_xll.PtreeEvent_ObjectClick" textlink="">
      <xdr:nvSpPr>
        <xdr:cNvPr id="1377" name="PTObj_DNode_1_350">
          <a:extLst>
            <a:ext uri="{FF2B5EF4-FFF2-40B4-BE49-F238E27FC236}">
              <a16:creationId xmlns:a16="http://schemas.microsoft.com/office/drawing/2014/main" id="{62886AB9-BAFF-41D7-AEAF-BD67C7A35350}"/>
            </a:ext>
          </a:extLst>
        </xdr:cNvPr>
        <xdr:cNvSpPr/>
      </xdr:nvSpPr>
      <xdr:spPr>
        <a:xfrm>
          <a:off x="14119988" y="12791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706</xdr:row>
      <xdr:rowOff>152251</xdr:rowOff>
    </xdr:from>
    <xdr:ext cx="566520" cy="180627"/>
    <xdr:sp macro="_xll.PtreeEvent_ObjectClick" textlink="">
      <xdr:nvSpPr>
        <xdr:cNvPr id="1380" name="PTObj_DBranchName_1_350">
          <a:extLst>
            <a:ext uri="{FF2B5EF4-FFF2-40B4-BE49-F238E27FC236}">
              <a16:creationId xmlns:a16="http://schemas.microsoft.com/office/drawing/2014/main" id="{22EF6BC0-A74A-4D8A-A594-C857DB54C806}"/>
            </a:ext>
          </a:extLst>
        </xdr:cNvPr>
        <xdr:cNvSpPr txBox="1"/>
      </xdr:nvSpPr>
      <xdr:spPr>
        <a:xfrm>
          <a:off x="12974765" y="1279206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696</xdr:row>
      <xdr:rowOff>132085</xdr:rowOff>
    </xdr:from>
    <xdr:to>
      <xdr:col>8</xdr:col>
      <xdr:colOff>154432</xdr:colOff>
      <xdr:row>697</xdr:row>
      <xdr:rowOff>130185</xdr:rowOff>
    </xdr:to>
    <xdr:sp macro="_xll.PtreeEvent_ObjectClick" textlink="">
      <xdr:nvSpPr>
        <xdr:cNvPr id="1381" name="PTObj_DNode_1_345">
          <a:extLst>
            <a:ext uri="{FF2B5EF4-FFF2-40B4-BE49-F238E27FC236}">
              <a16:creationId xmlns:a16="http://schemas.microsoft.com/office/drawing/2014/main" id="{86C85681-8FED-461A-AC52-DC0706856886}"/>
            </a:ext>
          </a:extLst>
        </xdr:cNvPr>
        <xdr:cNvSpPr/>
      </xdr:nvSpPr>
      <xdr:spPr>
        <a:xfrm>
          <a:off x="15544927" y="12609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696</xdr:row>
      <xdr:rowOff>137011</xdr:rowOff>
    </xdr:from>
    <xdr:ext cx="566519" cy="180627"/>
    <xdr:sp macro="_xll.PtreeEvent_ObjectClick" textlink="">
      <xdr:nvSpPr>
        <xdr:cNvPr id="1384" name="PTObj_DBranchName_1_345">
          <a:extLst>
            <a:ext uri="{FF2B5EF4-FFF2-40B4-BE49-F238E27FC236}">
              <a16:creationId xmlns:a16="http://schemas.microsoft.com/office/drawing/2014/main" id="{E1B4AFE4-4381-4758-BDA7-C6BB4BE5906D}"/>
            </a:ext>
          </a:extLst>
        </xdr:cNvPr>
        <xdr:cNvSpPr txBox="1"/>
      </xdr:nvSpPr>
      <xdr:spPr>
        <a:xfrm>
          <a:off x="14398752" y="12609561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688</xdr:row>
      <xdr:rowOff>116842</xdr:rowOff>
    </xdr:from>
    <xdr:to>
      <xdr:col>9</xdr:col>
      <xdr:colOff>150622</xdr:colOff>
      <xdr:row>689</xdr:row>
      <xdr:rowOff>133992</xdr:rowOff>
    </xdr:to>
    <xdr:sp macro="_xll.PtreeEvent_ObjectClick" textlink="">
      <xdr:nvSpPr>
        <xdr:cNvPr id="1385" name="PTObj_DNode_1_341">
          <a:extLst>
            <a:ext uri="{FF2B5EF4-FFF2-40B4-BE49-F238E27FC236}">
              <a16:creationId xmlns:a16="http://schemas.microsoft.com/office/drawing/2014/main" id="{983DF852-553C-470A-A50E-DBAF12AEAA5F}"/>
            </a:ext>
          </a:extLst>
        </xdr:cNvPr>
        <xdr:cNvSpPr/>
      </xdr:nvSpPr>
      <xdr:spPr>
        <a:xfrm>
          <a:off x="16969867" y="124627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688</xdr:row>
      <xdr:rowOff>117971</xdr:rowOff>
    </xdr:from>
    <xdr:ext cx="568424" cy="180627"/>
    <xdr:sp macro="_xll.PtreeEvent_ObjectClick" textlink="">
      <xdr:nvSpPr>
        <xdr:cNvPr id="1388" name="PTObj_DBranchName_1_341">
          <a:extLst>
            <a:ext uri="{FF2B5EF4-FFF2-40B4-BE49-F238E27FC236}">
              <a16:creationId xmlns:a16="http://schemas.microsoft.com/office/drawing/2014/main" id="{DD205226-D235-42B1-AC8A-26F212C754F3}"/>
            </a:ext>
          </a:extLst>
        </xdr:cNvPr>
        <xdr:cNvSpPr txBox="1"/>
      </xdr:nvSpPr>
      <xdr:spPr>
        <a:xfrm>
          <a:off x="15820834" y="1246287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690</xdr:row>
      <xdr:rowOff>120650</xdr:rowOff>
    </xdr:from>
    <xdr:to>
      <xdr:col>10</xdr:col>
      <xdr:colOff>135383</xdr:colOff>
      <xdr:row>691</xdr:row>
      <xdr:rowOff>130180</xdr:rowOff>
    </xdr:to>
    <xdr:sp macro="_xll.PtreeEvent_ObjectClick" textlink="">
      <xdr:nvSpPr>
        <xdr:cNvPr id="1389" name="PTObj_DNode_1_342">
          <a:extLst>
            <a:ext uri="{FF2B5EF4-FFF2-40B4-BE49-F238E27FC236}">
              <a16:creationId xmlns:a16="http://schemas.microsoft.com/office/drawing/2014/main" id="{25EF166F-E89C-4257-8838-8DBEC7B7E54D}"/>
            </a:ext>
          </a:extLst>
        </xdr:cNvPr>
        <xdr:cNvSpPr/>
      </xdr:nvSpPr>
      <xdr:spPr>
        <a:xfrm>
          <a:off x="18394807" y="124993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690</xdr:row>
      <xdr:rowOff>123684</xdr:rowOff>
    </xdr:from>
    <xdr:ext cx="514858" cy="180627"/>
    <xdr:sp macro="_xll.PtreeEvent_ObjectClick" textlink="">
      <xdr:nvSpPr>
        <xdr:cNvPr id="1392" name="PTObj_DBranchName_1_342">
          <a:extLst>
            <a:ext uri="{FF2B5EF4-FFF2-40B4-BE49-F238E27FC236}">
              <a16:creationId xmlns:a16="http://schemas.microsoft.com/office/drawing/2014/main" id="{6BB9E682-6EE6-43C0-BBF7-477621BF530A}"/>
            </a:ext>
          </a:extLst>
        </xdr:cNvPr>
        <xdr:cNvSpPr txBox="1"/>
      </xdr:nvSpPr>
      <xdr:spPr>
        <a:xfrm>
          <a:off x="17244820" y="124996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692</xdr:row>
      <xdr:rowOff>124458</xdr:rowOff>
    </xdr:from>
    <xdr:to>
      <xdr:col>11</xdr:col>
      <xdr:colOff>131572</xdr:colOff>
      <xdr:row>693</xdr:row>
      <xdr:rowOff>133987</xdr:rowOff>
    </xdr:to>
    <xdr:sp macro="_xll.PtreeEvent_ObjectClick" textlink="">
      <xdr:nvSpPr>
        <xdr:cNvPr id="1393" name="PTObj_DNode_1_343">
          <a:extLst>
            <a:ext uri="{FF2B5EF4-FFF2-40B4-BE49-F238E27FC236}">
              <a16:creationId xmlns:a16="http://schemas.microsoft.com/office/drawing/2014/main" id="{789F8DC6-CD94-46E4-9512-ED47F2E79D2E}"/>
            </a:ext>
          </a:extLst>
        </xdr:cNvPr>
        <xdr:cNvSpPr/>
      </xdr:nvSpPr>
      <xdr:spPr>
        <a:xfrm>
          <a:off x="19819747" y="125359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692</xdr:row>
      <xdr:rowOff>127491</xdr:rowOff>
    </xdr:from>
    <xdr:ext cx="514858" cy="180627"/>
    <xdr:sp macro="_xll.PtreeEvent_ObjectClick" textlink="">
      <xdr:nvSpPr>
        <xdr:cNvPr id="1396" name="PTObj_DBranchName_1_343">
          <a:extLst>
            <a:ext uri="{FF2B5EF4-FFF2-40B4-BE49-F238E27FC236}">
              <a16:creationId xmlns:a16="http://schemas.microsoft.com/office/drawing/2014/main" id="{3C6B217B-DEBA-43F6-928B-C89FCE203F51}"/>
            </a:ext>
          </a:extLst>
        </xdr:cNvPr>
        <xdr:cNvSpPr txBox="1"/>
      </xdr:nvSpPr>
      <xdr:spPr>
        <a:xfrm>
          <a:off x="18666904" y="125362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694</xdr:row>
      <xdr:rowOff>135888</xdr:rowOff>
    </xdr:from>
    <xdr:to>
      <xdr:col>12</xdr:col>
      <xdr:colOff>135385</xdr:colOff>
      <xdr:row>695</xdr:row>
      <xdr:rowOff>133983</xdr:rowOff>
    </xdr:to>
    <xdr:sp macro="_xll.PtreeEvent_ObjectClick" textlink="">
      <xdr:nvSpPr>
        <xdr:cNvPr id="1397" name="PTObj_DNode_1_344">
          <a:extLst>
            <a:ext uri="{FF2B5EF4-FFF2-40B4-BE49-F238E27FC236}">
              <a16:creationId xmlns:a16="http://schemas.microsoft.com/office/drawing/2014/main" id="{D74A59F6-10F3-4D82-BD5E-D1FBE4013C1A}"/>
            </a:ext>
          </a:extLst>
        </xdr:cNvPr>
        <xdr:cNvSpPr/>
      </xdr:nvSpPr>
      <xdr:spPr>
        <a:xfrm rot="-5400000">
          <a:off x="21248498" y="1257287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694</xdr:row>
      <xdr:rowOff>133204</xdr:rowOff>
    </xdr:from>
    <xdr:ext cx="514858" cy="180627"/>
    <xdr:sp macro="_xll.PtreeEvent_ObjectClick" textlink="">
      <xdr:nvSpPr>
        <xdr:cNvPr id="1400" name="PTObj_DBranchName_1_344">
          <a:extLst>
            <a:ext uri="{FF2B5EF4-FFF2-40B4-BE49-F238E27FC236}">
              <a16:creationId xmlns:a16="http://schemas.microsoft.com/office/drawing/2014/main" id="{6941D714-3E30-45B1-8812-C8CD1B777208}"/>
            </a:ext>
          </a:extLst>
        </xdr:cNvPr>
        <xdr:cNvSpPr txBox="1"/>
      </xdr:nvSpPr>
      <xdr:spPr>
        <a:xfrm>
          <a:off x="20094701" y="1257298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698</xdr:row>
      <xdr:rowOff>135892</xdr:rowOff>
    </xdr:from>
    <xdr:to>
      <xdr:col>9</xdr:col>
      <xdr:colOff>150622</xdr:colOff>
      <xdr:row>699</xdr:row>
      <xdr:rowOff>130182</xdr:rowOff>
    </xdr:to>
    <xdr:sp macro="_xll.PtreeEvent_ObjectClick" textlink="">
      <xdr:nvSpPr>
        <xdr:cNvPr id="1401" name="PTObj_DNode_1_346">
          <a:extLst>
            <a:ext uri="{FF2B5EF4-FFF2-40B4-BE49-F238E27FC236}">
              <a16:creationId xmlns:a16="http://schemas.microsoft.com/office/drawing/2014/main" id="{C057B3E1-7F62-4183-87A2-5584FC18C165}"/>
            </a:ext>
          </a:extLst>
        </xdr:cNvPr>
        <xdr:cNvSpPr/>
      </xdr:nvSpPr>
      <xdr:spPr>
        <a:xfrm>
          <a:off x="16969867" y="126456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698</xdr:row>
      <xdr:rowOff>133211</xdr:rowOff>
    </xdr:from>
    <xdr:ext cx="568424" cy="180627"/>
    <xdr:sp macro="_xll.PtreeEvent_ObjectClick" textlink="">
      <xdr:nvSpPr>
        <xdr:cNvPr id="1404" name="PTObj_DBranchName_1_346">
          <a:extLst>
            <a:ext uri="{FF2B5EF4-FFF2-40B4-BE49-F238E27FC236}">
              <a16:creationId xmlns:a16="http://schemas.microsoft.com/office/drawing/2014/main" id="{444FB59E-3AFA-4A10-B64B-91AD28178A4B}"/>
            </a:ext>
          </a:extLst>
        </xdr:cNvPr>
        <xdr:cNvSpPr txBox="1"/>
      </xdr:nvSpPr>
      <xdr:spPr>
        <a:xfrm>
          <a:off x="15820834" y="1264537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700</xdr:row>
      <xdr:rowOff>139700</xdr:rowOff>
    </xdr:from>
    <xdr:to>
      <xdr:col>10</xdr:col>
      <xdr:colOff>135383</xdr:colOff>
      <xdr:row>701</xdr:row>
      <xdr:rowOff>132085</xdr:rowOff>
    </xdr:to>
    <xdr:sp macro="_xll.PtreeEvent_ObjectClick" textlink="">
      <xdr:nvSpPr>
        <xdr:cNvPr id="1405" name="PTObj_DNode_1_347">
          <a:extLst>
            <a:ext uri="{FF2B5EF4-FFF2-40B4-BE49-F238E27FC236}">
              <a16:creationId xmlns:a16="http://schemas.microsoft.com/office/drawing/2014/main" id="{5F8A0D91-88EB-43BF-BE1A-13C4DB1B0452}"/>
            </a:ext>
          </a:extLst>
        </xdr:cNvPr>
        <xdr:cNvSpPr/>
      </xdr:nvSpPr>
      <xdr:spPr>
        <a:xfrm>
          <a:off x="18394807" y="126822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700</xdr:row>
      <xdr:rowOff>137019</xdr:rowOff>
    </xdr:from>
    <xdr:ext cx="514858" cy="180627"/>
    <xdr:sp macro="_xll.PtreeEvent_ObjectClick" textlink="">
      <xdr:nvSpPr>
        <xdr:cNvPr id="1408" name="PTObj_DBranchName_1_347">
          <a:extLst>
            <a:ext uri="{FF2B5EF4-FFF2-40B4-BE49-F238E27FC236}">
              <a16:creationId xmlns:a16="http://schemas.microsoft.com/office/drawing/2014/main" id="{72411152-8C48-425F-B21B-50814BC73182}"/>
            </a:ext>
          </a:extLst>
        </xdr:cNvPr>
        <xdr:cNvSpPr txBox="1"/>
      </xdr:nvSpPr>
      <xdr:spPr>
        <a:xfrm>
          <a:off x="17244820" y="1268195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702</xdr:row>
      <xdr:rowOff>143508</xdr:rowOff>
    </xdr:from>
    <xdr:to>
      <xdr:col>11</xdr:col>
      <xdr:colOff>131572</xdr:colOff>
      <xdr:row>703</xdr:row>
      <xdr:rowOff>135892</xdr:rowOff>
    </xdr:to>
    <xdr:sp macro="_xll.PtreeEvent_ObjectClick" textlink="">
      <xdr:nvSpPr>
        <xdr:cNvPr id="1409" name="PTObj_DNode_1_348">
          <a:extLst>
            <a:ext uri="{FF2B5EF4-FFF2-40B4-BE49-F238E27FC236}">
              <a16:creationId xmlns:a16="http://schemas.microsoft.com/office/drawing/2014/main" id="{13857261-F3BE-4343-A1AC-867F01E54B51}"/>
            </a:ext>
          </a:extLst>
        </xdr:cNvPr>
        <xdr:cNvSpPr/>
      </xdr:nvSpPr>
      <xdr:spPr>
        <a:xfrm>
          <a:off x="19819747" y="127187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702</xdr:row>
      <xdr:rowOff>142731</xdr:rowOff>
    </xdr:from>
    <xdr:ext cx="514858" cy="180627"/>
    <xdr:sp macro="_xll.PtreeEvent_ObjectClick" textlink="">
      <xdr:nvSpPr>
        <xdr:cNvPr id="1412" name="PTObj_DBranchName_1_348">
          <a:extLst>
            <a:ext uri="{FF2B5EF4-FFF2-40B4-BE49-F238E27FC236}">
              <a16:creationId xmlns:a16="http://schemas.microsoft.com/office/drawing/2014/main" id="{7E41E309-9990-4E6B-B252-F67A4B56CC3D}"/>
            </a:ext>
          </a:extLst>
        </xdr:cNvPr>
        <xdr:cNvSpPr txBox="1"/>
      </xdr:nvSpPr>
      <xdr:spPr>
        <a:xfrm>
          <a:off x="18666904" y="127187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704</xdr:row>
      <xdr:rowOff>150175</xdr:rowOff>
    </xdr:from>
    <xdr:to>
      <xdr:col>12</xdr:col>
      <xdr:colOff>136338</xdr:colOff>
      <xdr:row>705</xdr:row>
      <xdr:rowOff>136840</xdr:rowOff>
    </xdr:to>
    <xdr:sp macro="_xll.PtreeEvent_ObjectClick" textlink="">
      <xdr:nvSpPr>
        <xdr:cNvPr id="1413" name="PTObj_DNode_1_349">
          <a:extLst>
            <a:ext uri="{FF2B5EF4-FFF2-40B4-BE49-F238E27FC236}">
              <a16:creationId xmlns:a16="http://schemas.microsoft.com/office/drawing/2014/main" id="{6B3F2677-D386-431D-B82F-57C0CBA109A2}"/>
            </a:ext>
          </a:extLst>
        </xdr:cNvPr>
        <xdr:cNvSpPr/>
      </xdr:nvSpPr>
      <xdr:spPr>
        <a:xfrm rot="-5400000">
          <a:off x="21248498" y="1275518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704</xdr:row>
      <xdr:rowOff>146539</xdr:rowOff>
    </xdr:from>
    <xdr:ext cx="514858" cy="180627"/>
    <xdr:sp macro="_xll.PtreeEvent_ObjectClick" textlink="">
      <xdr:nvSpPr>
        <xdr:cNvPr id="1416" name="PTObj_DBranchName_1_349">
          <a:extLst>
            <a:ext uri="{FF2B5EF4-FFF2-40B4-BE49-F238E27FC236}">
              <a16:creationId xmlns:a16="http://schemas.microsoft.com/office/drawing/2014/main" id="{5F884F9E-045A-4CC2-B78A-E1B03E312EE2}"/>
            </a:ext>
          </a:extLst>
        </xdr:cNvPr>
        <xdr:cNvSpPr txBox="1"/>
      </xdr:nvSpPr>
      <xdr:spPr>
        <a:xfrm>
          <a:off x="20094701" y="127552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716</xdr:row>
      <xdr:rowOff>170185</xdr:rowOff>
    </xdr:from>
    <xdr:to>
      <xdr:col>8</xdr:col>
      <xdr:colOff>154432</xdr:colOff>
      <xdr:row>717</xdr:row>
      <xdr:rowOff>172095</xdr:rowOff>
    </xdr:to>
    <xdr:sp macro="_xll.PtreeEvent_ObjectClick" textlink="">
      <xdr:nvSpPr>
        <xdr:cNvPr id="1417" name="PTObj_DNode_1_355">
          <a:extLst>
            <a:ext uri="{FF2B5EF4-FFF2-40B4-BE49-F238E27FC236}">
              <a16:creationId xmlns:a16="http://schemas.microsoft.com/office/drawing/2014/main" id="{44F819D2-58EA-46ED-AE75-FC39FFB7A12E}"/>
            </a:ext>
          </a:extLst>
        </xdr:cNvPr>
        <xdr:cNvSpPr/>
      </xdr:nvSpPr>
      <xdr:spPr>
        <a:xfrm>
          <a:off x="15544927" y="129748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716</xdr:row>
      <xdr:rowOff>175111</xdr:rowOff>
    </xdr:from>
    <xdr:ext cx="568425" cy="180627"/>
    <xdr:sp macro="_xll.PtreeEvent_ObjectClick" textlink="">
      <xdr:nvSpPr>
        <xdr:cNvPr id="1420" name="PTObj_DBranchName_1_355">
          <a:extLst>
            <a:ext uri="{FF2B5EF4-FFF2-40B4-BE49-F238E27FC236}">
              <a16:creationId xmlns:a16="http://schemas.microsoft.com/office/drawing/2014/main" id="{11FBC8B2-4AB9-418F-96F7-0C2F9E2435D2}"/>
            </a:ext>
          </a:extLst>
        </xdr:cNvPr>
        <xdr:cNvSpPr txBox="1"/>
      </xdr:nvSpPr>
      <xdr:spPr>
        <a:xfrm>
          <a:off x="14400657" y="12975321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708</xdr:row>
      <xdr:rowOff>154942</xdr:rowOff>
    </xdr:from>
    <xdr:to>
      <xdr:col>9</xdr:col>
      <xdr:colOff>150622</xdr:colOff>
      <xdr:row>709</xdr:row>
      <xdr:rowOff>168282</xdr:rowOff>
    </xdr:to>
    <xdr:sp macro="_xll.PtreeEvent_ObjectClick" textlink="">
      <xdr:nvSpPr>
        <xdr:cNvPr id="1421" name="PTObj_DNode_1_351">
          <a:extLst>
            <a:ext uri="{FF2B5EF4-FFF2-40B4-BE49-F238E27FC236}">
              <a16:creationId xmlns:a16="http://schemas.microsoft.com/office/drawing/2014/main" id="{7658FD6A-679D-4823-9698-55D7628019CA}"/>
            </a:ext>
          </a:extLst>
        </xdr:cNvPr>
        <xdr:cNvSpPr/>
      </xdr:nvSpPr>
      <xdr:spPr>
        <a:xfrm>
          <a:off x="16969867" y="128285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708</xdr:row>
      <xdr:rowOff>156071</xdr:rowOff>
    </xdr:from>
    <xdr:ext cx="568424" cy="180627"/>
    <xdr:sp macro="_xll.PtreeEvent_ObjectClick" textlink="">
      <xdr:nvSpPr>
        <xdr:cNvPr id="1424" name="PTObj_DBranchName_1_351">
          <a:extLst>
            <a:ext uri="{FF2B5EF4-FFF2-40B4-BE49-F238E27FC236}">
              <a16:creationId xmlns:a16="http://schemas.microsoft.com/office/drawing/2014/main" id="{E2AA7A2A-6AC0-4CCF-9661-90DDDC4EE29A}"/>
            </a:ext>
          </a:extLst>
        </xdr:cNvPr>
        <xdr:cNvSpPr txBox="1"/>
      </xdr:nvSpPr>
      <xdr:spPr>
        <a:xfrm>
          <a:off x="15820834" y="1282863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710</xdr:row>
      <xdr:rowOff>158750</xdr:rowOff>
    </xdr:from>
    <xdr:to>
      <xdr:col>10</xdr:col>
      <xdr:colOff>131573</xdr:colOff>
      <xdr:row>711</xdr:row>
      <xdr:rowOff>172090</xdr:rowOff>
    </xdr:to>
    <xdr:sp macro="_xll.PtreeEvent_ObjectClick" textlink="">
      <xdr:nvSpPr>
        <xdr:cNvPr id="1425" name="PTObj_DNode_1_352">
          <a:extLst>
            <a:ext uri="{FF2B5EF4-FFF2-40B4-BE49-F238E27FC236}">
              <a16:creationId xmlns:a16="http://schemas.microsoft.com/office/drawing/2014/main" id="{C9EA1C77-743C-4ECD-95EB-29B288A790EA}"/>
            </a:ext>
          </a:extLst>
        </xdr:cNvPr>
        <xdr:cNvSpPr/>
      </xdr:nvSpPr>
      <xdr:spPr>
        <a:xfrm>
          <a:off x="18394807" y="128651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710</xdr:row>
      <xdr:rowOff>161784</xdr:rowOff>
    </xdr:from>
    <xdr:ext cx="514858" cy="180627"/>
    <xdr:sp macro="_xll.PtreeEvent_ObjectClick" textlink="">
      <xdr:nvSpPr>
        <xdr:cNvPr id="1428" name="PTObj_DBranchName_1_352">
          <a:extLst>
            <a:ext uri="{FF2B5EF4-FFF2-40B4-BE49-F238E27FC236}">
              <a16:creationId xmlns:a16="http://schemas.microsoft.com/office/drawing/2014/main" id="{8583C9BC-037B-48F8-81D0-41469B494AF5}"/>
            </a:ext>
          </a:extLst>
        </xdr:cNvPr>
        <xdr:cNvSpPr txBox="1"/>
      </xdr:nvSpPr>
      <xdr:spPr>
        <a:xfrm>
          <a:off x="17244820" y="128654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712</xdr:row>
      <xdr:rowOff>162558</xdr:rowOff>
    </xdr:from>
    <xdr:to>
      <xdr:col>11</xdr:col>
      <xdr:colOff>135382</xdr:colOff>
      <xdr:row>713</xdr:row>
      <xdr:rowOff>168277</xdr:rowOff>
    </xdr:to>
    <xdr:sp macro="_xll.PtreeEvent_ObjectClick" textlink="">
      <xdr:nvSpPr>
        <xdr:cNvPr id="1429" name="PTObj_DNode_1_353">
          <a:extLst>
            <a:ext uri="{FF2B5EF4-FFF2-40B4-BE49-F238E27FC236}">
              <a16:creationId xmlns:a16="http://schemas.microsoft.com/office/drawing/2014/main" id="{BF2F99B7-59AD-4F07-8CC7-F18EC2BEC784}"/>
            </a:ext>
          </a:extLst>
        </xdr:cNvPr>
        <xdr:cNvSpPr/>
      </xdr:nvSpPr>
      <xdr:spPr>
        <a:xfrm>
          <a:off x="19819747" y="129016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712</xdr:row>
      <xdr:rowOff>165591</xdr:rowOff>
    </xdr:from>
    <xdr:ext cx="514858" cy="180627"/>
    <xdr:sp macro="_xll.PtreeEvent_ObjectClick" textlink="">
      <xdr:nvSpPr>
        <xdr:cNvPr id="1432" name="PTObj_DBranchName_1_353">
          <a:extLst>
            <a:ext uri="{FF2B5EF4-FFF2-40B4-BE49-F238E27FC236}">
              <a16:creationId xmlns:a16="http://schemas.microsoft.com/office/drawing/2014/main" id="{D7E18651-B345-4AED-9F82-F16995DD42DD}"/>
            </a:ext>
          </a:extLst>
        </xdr:cNvPr>
        <xdr:cNvSpPr txBox="1"/>
      </xdr:nvSpPr>
      <xdr:spPr>
        <a:xfrm>
          <a:off x="18666904" y="129019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714</xdr:row>
      <xdr:rowOff>173988</xdr:rowOff>
    </xdr:from>
    <xdr:to>
      <xdr:col>12</xdr:col>
      <xdr:colOff>131575</xdr:colOff>
      <xdr:row>715</xdr:row>
      <xdr:rowOff>168273</xdr:rowOff>
    </xdr:to>
    <xdr:sp macro="_xll.PtreeEvent_ObjectClick" textlink="">
      <xdr:nvSpPr>
        <xdr:cNvPr id="1433" name="PTObj_DNode_1_354">
          <a:extLst>
            <a:ext uri="{FF2B5EF4-FFF2-40B4-BE49-F238E27FC236}">
              <a16:creationId xmlns:a16="http://schemas.microsoft.com/office/drawing/2014/main" id="{189E479B-25A0-4CE9-9D65-D5F2AA48ED74}"/>
            </a:ext>
          </a:extLst>
        </xdr:cNvPr>
        <xdr:cNvSpPr/>
      </xdr:nvSpPr>
      <xdr:spPr>
        <a:xfrm rot="-5400000">
          <a:off x="21248498" y="1293863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714</xdr:row>
      <xdr:rowOff>171304</xdr:rowOff>
    </xdr:from>
    <xdr:ext cx="514858" cy="180627"/>
    <xdr:sp macro="_xll.PtreeEvent_ObjectClick" textlink="">
      <xdr:nvSpPr>
        <xdr:cNvPr id="1436" name="PTObj_DBranchName_1_354">
          <a:extLst>
            <a:ext uri="{FF2B5EF4-FFF2-40B4-BE49-F238E27FC236}">
              <a16:creationId xmlns:a16="http://schemas.microsoft.com/office/drawing/2014/main" id="{D0A2951F-EA18-43B2-8966-90E47467BB04}"/>
            </a:ext>
          </a:extLst>
        </xdr:cNvPr>
        <xdr:cNvSpPr txBox="1"/>
      </xdr:nvSpPr>
      <xdr:spPr>
        <a:xfrm>
          <a:off x="20094701" y="1293874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718</xdr:row>
      <xdr:rowOff>173992</xdr:rowOff>
    </xdr:from>
    <xdr:to>
      <xdr:col>9</xdr:col>
      <xdr:colOff>150622</xdr:colOff>
      <xdr:row>719</xdr:row>
      <xdr:rowOff>172092</xdr:rowOff>
    </xdr:to>
    <xdr:sp macro="_xll.PtreeEvent_ObjectClick" textlink="">
      <xdr:nvSpPr>
        <xdr:cNvPr id="1437" name="PTObj_DNode_1_356">
          <a:extLst>
            <a:ext uri="{FF2B5EF4-FFF2-40B4-BE49-F238E27FC236}">
              <a16:creationId xmlns:a16="http://schemas.microsoft.com/office/drawing/2014/main" id="{AAB8E84B-7867-4A2C-B7E3-90B50EF36598}"/>
            </a:ext>
          </a:extLst>
        </xdr:cNvPr>
        <xdr:cNvSpPr/>
      </xdr:nvSpPr>
      <xdr:spPr>
        <a:xfrm>
          <a:off x="16969867" y="130114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718</xdr:row>
      <xdr:rowOff>171311</xdr:rowOff>
    </xdr:from>
    <xdr:ext cx="568424" cy="180627"/>
    <xdr:sp macro="_xll.PtreeEvent_ObjectClick" textlink="">
      <xdr:nvSpPr>
        <xdr:cNvPr id="1440" name="PTObj_DBranchName_1_356">
          <a:extLst>
            <a:ext uri="{FF2B5EF4-FFF2-40B4-BE49-F238E27FC236}">
              <a16:creationId xmlns:a16="http://schemas.microsoft.com/office/drawing/2014/main" id="{0538DAF8-34A4-4375-994B-F51383896FE5}"/>
            </a:ext>
          </a:extLst>
        </xdr:cNvPr>
        <xdr:cNvSpPr txBox="1"/>
      </xdr:nvSpPr>
      <xdr:spPr>
        <a:xfrm>
          <a:off x="15820834" y="1301113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720</xdr:row>
      <xdr:rowOff>177800</xdr:rowOff>
    </xdr:from>
    <xdr:to>
      <xdr:col>10</xdr:col>
      <xdr:colOff>131573</xdr:colOff>
      <xdr:row>721</xdr:row>
      <xdr:rowOff>173995</xdr:rowOff>
    </xdr:to>
    <xdr:sp macro="_xll.PtreeEvent_ObjectClick" textlink="">
      <xdr:nvSpPr>
        <xdr:cNvPr id="1441" name="PTObj_DNode_1_357">
          <a:extLst>
            <a:ext uri="{FF2B5EF4-FFF2-40B4-BE49-F238E27FC236}">
              <a16:creationId xmlns:a16="http://schemas.microsoft.com/office/drawing/2014/main" id="{9B676018-B46F-4249-8CF7-AC1B5D5E3224}"/>
            </a:ext>
          </a:extLst>
        </xdr:cNvPr>
        <xdr:cNvSpPr/>
      </xdr:nvSpPr>
      <xdr:spPr>
        <a:xfrm>
          <a:off x="18394807" y="130479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720</xdr:row>
      <xdr:rowOff>175119</xdr:rowOff>
    </xdr:from>
    <xdr:ext cx="514858" cy="180627"/>
    <xdr:sp macro="_xll.PtreeEvent_ObjectClick" textlink="">
      <xdr:nvSpPr>
        <xdr:cNvPr id="1444" name="PTObj_DBranchName_1_357">
          <a:extLst>
            <a:ext uri="{FF2B5EF4-FFF2-40B4-BE49-F238E27FC236}">
              <a16:creationId xmlns:a16="http://schemas.microsoft.com/office/drawing/2014/main" id="{24715F81-4462-478E-92AD-4118A56A0B99}"/>
            </a:ext>
          </a:extLst>
        </xdr:cNvPr>
        <xdr:cNvSpPr txBox="1"/>
      </xdr:nvSpPr>
      <xdr:spPr>
        <a:xfrm>
          <a:off x="17244820" y="1304771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723</xdr:row>
      <xdr:rowOff>633</xdr:rowOff>
    </xdr:from>
    <xdr:to>
      <xdr:col>11</xdr:col>
      <xdr:colOff>135382</xdr:colOff>
      <xdr:row>724</xdr:row>
      <xdr:rowOff>2542</xdr:rowOff>
    </xdr:to>
    <xdr:sp macro="_xll.PtreeEvent_ObjectClick" textlink="">
      <xdr:nvSpPr>
        <xdr:cNvPr id="1445" name="PTObj_DNode_1_358">
          <a:extLst>
            <a:ext uri="{FF2B5EF4-FFF2-40B4-BE49-F238E27FC236}">
              <a16:creationId xmlns:a16="http://schemas.microsoft.com/office/drawing/2014/main" id="{B54BFDA7-7AEF-458F-AA22-54F7D3AA3462}"/>
            </a:ext>
          </a:extLst>
        </xdr:cNvPr>
        <xdr:cNvSpPr/>
      </xdr:nvSpPr>
      <xdr:spPr>
        <a:xfrm>
          <a:off x="19819747" y="130845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723</xdr:row>
      <xdr:rowOff>1761</xdr:rowOff>
    </xdr:from>
    <xdr:ext cx="514858" cy="180627"/>
    <xdr:sp macro="_xll.PtreeEvent_ObjectClick" textlink="">
      <xdr:nvSpPr>
        <xdr:cNvPr id="1448" name="PTObj_DBranchName_1_358">
          <a:extLst>
            <a:ext uri="{FF2B5EF4-FFF2-40B4-BE49-F238E27FC236}">
              <a16:creationId xmlns:a16="http://schemas.microsoft.com/office/drawing/2014/main" id="{659ACA60-0FC6-415A-A82A-147AE715445D}"/>
            </a:ext>
          </a:extLst>
        </xdr:cNvPr>
        <xdr:cNvSpPr txBox="1"/>
      </xdr:nvSpPr>
      <xdr:spPr>
        <a:xfrm>
          <a:off x="18666904" y="130846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725</xdr:row>
      <xdr:rowOff>10158</xdr:rowOff>
    </xdr:from>
    <xdr:to>
      <xdr:col>12</xdr:col>
      <xdr:colOff>131575</xdr:colOff>
      <xdr:row>726</xdr:row>
      <xdr:rowOff>19683</xdr:rowOff>
    </xdr:to>
    <xdr:sp macro="_xll.PtreeEvent_ObjectClick" textlink="">
      <xdr:nvSpPr>
        <xdr:cNvPr id="1449" name="PTObj_DNode_1_359">
          <a:extLst>
            <a:ext uri="{FF2B5EF4-FFF2-40B4-BE49-F238E27FC236}">
              <a16:creationId xmlns:a16="http://schemas.microsoft.com/office/drawing/2014/main" id="{623F4E1D-2DB2-40D9-B9E7-E09DDEF05EEA}"/>
            </a:ext>
          </a:extLst>
        </xdr:cNvPr>
        <xdr:cNvSpPr/>
      </xdr:nvSpPr>
      <xdr:spPr>
        <a:xfrm rot="-5400000">
          <a:off x="21248498" y="1312132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725</xdr:row>
      <xdr:rowOff>7474</xdr:rowOff>
    </xdr:from>
    <xdr:ext cx="514858" cy="180627"/>
    <xdr:sp macro="_xll.PtreeEvent_ObjectClick" textlink="">
      <xdr:nvSpPr>
        <xdr:cNvPr id="1452" name="PTObj_DBranchName_1_359">
          <a:extLst>
            <a:ext uri="{FF2B5EF4-FFF2-40B4-BE49-F238E27FC236}">
              <a16:creationId xmlns:a16="http://schemas.microsoft.com/office/drawing/2014/main" id="{4645CDE2-714E-4E52-8EE8-90CD75911A05}"/>
            </a:ext>
          </a:extLst>
        </xdr:cNvPr>
        <xdr:cNvSpPr txBox="1"/>
      </xdr:nvSpPr>
      <xdr:spPr>
        <a:xfrm>
          <a:off x="20094701" y="1312143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767</xdr:row>
      <xdr:rowOff>84460</xdr:rowOff>
    </xdr:from>
    <xdr:to>
      <xdr:col>6</xdr:col>
      <xdr:colOff>171577</xdr:colOff>
      <xdr:row>768</xdr:row>
      <xdr:rowOff>95895</xdr:rowOff>
    </xdr:to>
    <xdr:sp macro="_xll.PtreeEvent_ObjectClick" textlink="">
      <xdr:nvSpPr>
        <xdr:cNvPr id="1453" name="PTObj_DNode_1_380">
          <a:extLst>
            <a:ext uri="{FF2B5EF4-FFF2-40B4-BE49-F238E27FC236}">
              <a16:creationId xmlns:a16="http://schemas.microsoft.com/office/drawing/2014/main" id="{F1176BBB-B6A5-4754-97A1-DD070E270C36}"/>
            </a:ext>
          </a:extLst>
        </xdr:cNvPr>
        <xdr:cNvSpPr/>
      </xdr:nvSpPr>
      <xdr:spPr>
        <a:xfrm>
          <a:off x="12695047" y="13889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767</xdr:row>
      <xdr:rowOff>87481</xdr:rowOff>
    </xdr:from>
    <xdr:ext cx="566520" cy="180627"/>
    <xdr:sp macro="_xll.PtreeEvent_ObjectClick" textlink="">
      <xdr:nvSpPr>
        <xdr:cNvPr id="1456" name="PTObj_DBranchName_1_380">
          <a:extLst>
            <a:ext uri="{FF2B5EF4-FFF2-40B4-BE49-F238E27FC236}">
              <a16:creationId xmlns:a16="http://schemas.microsoft.com/office/drawing/2014/main" id="{29E8BBFD-C126-4A73-B5A5-012C0E097A51}"/>
            </a:ext>
          </a:extLst>
        </xdr:cNvPr>
        <xdr:cNvSpPr txBox="1"/>
      </xdr:nvSpPr>
      <xdr:spPr>
        <a:xfrm>
          <a:off x="11550776" y="1388953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747</xdr:row>
      <xdr:rowOff>46360</xdr:rowOff>
    </xdr:from>
    <xdr:to>
      <xdr:col>7</xdr:col>
      <xdr:colOff>167768</xdr:colOff>
      <xdr:row>748</xdr:row>
      <xdr:rowOff>53985</xdr:rowOff>
    </xdr:to>
    <xdr:sp macro="_xll.PtreeEvent_ObjectClick" textlink="">
      <xdr:nvSpPr>
        <xdr:cNvPr id="1457" name="PTObj_DNode_1_370">
          <a:extLst>
            <a:ext uri="{FF2B5EF4-FFF2-40B4-BE49-F238E27FC236}">
              <a16:creationId xmlns:a16="http://schemas.microsoft.com/office/drawing/2014/main" id="{A3624722-EFAA-421B-94BC-53F870D156E4}"/>
            </a:ext>
          </a:extLst>
        </xdr:cNvPr>
        <xdr:cNvSpPr/>
      </xdr:nvSpPr>
      <xdr:spPr>
        <a:xfrm>
          <a:off x="14119988" y="135234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747</xdr:row>
      <xdr:rowOff>49381</xdr:rowOff>
    </xdr:from>
    <xdr:ext cx="566520" cy="180627"/>
    <xdr:sp macro="_xll.PtreeEvent_ObjectClick" textlink="">
      <xdr:nvSpPr>
        <xdr:cNvPr id="1460" name="PTObj_DBranchName_1_370">
          <a:extLst>
            <a:ext uri="{FF2B5EF4-FFF2-40B4-BE49-F238E27FC236}">
              <a16:creationId xmlns:a16="http://schemas.microsoft.com/office/drawing/2014/main" id="{2DCCF344-6085-4305-84E8-ED714E14EA8E}"/>
            </a:ext>
          </a:extLst>
        </xdr:cNvPr>
        <xdr:cNvSpPr txBox="1"/>
      </xdr:nvSpPr>
      <xdr:spPr>
        <a:xfrm>
          <a:off x="12976669" y="1352377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737</xdr:row>
      <xdr:rowOff>27310</xdr:rowOff>
    </xdr:from>
    <xdr:to>
      <xdr:col>8</xdr:col>
      <xdr:colOff>154432</xdr:colOff>
      <xdr:row>738</xdr:row>
      <xdr:rowOff>21600</xdr:rowOff>
    </xdr:to>
    <xdr:sp macro="_xll.PtreeEvent_ObjectClick" textlink="">
      <xdr:nvSpPr>
        <xdr:cNvPr id="1461" name="PTObj_DNode_1_365">
          <a:extLst>
            <a:ext uri="{FF2B5EF4-FFF2-40B4-BE49-F238E27FC236}">
              <a16:creationId xmlns:a16="http://schemas.microsoft.com/office/drawing/2014/main" id="{09BF4F7C-A821-47B6-A04E-C14232698090}"/>
            </a:ext>
          </a:extLst>
        </xdr:cNvPr>
        <xdr:cNvSpPr/>
      </xdr:nvSpPr>
      <xdr:spPr>
        <a:xfrm>
          <a:off x="15544927" y="13340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737</xdr:row>
      <xdr:rowOff>26521</xdr:rowOff>
    </xdr:from>
    <xdr:ext cx="566519" cy="180627"/>
    <xdr:sp macro="_xll.PtreeEvent_ObjectClick" textlink="">
      <xdr:nvSpPr>
        <xdr:cNvPr id="1464" name="PTObj_DBranchName_1_365">
          <a:extLst>
            <a:ext uri="{FF2B5EF4-FFF2-40B4-BE49-F238E27FC236}">
              <a16:creationId xmlns:a16="http://schemas.microsoft.com/office/drawing/2014/main" id="{927DC45C-DAD2-471D-AF0F-DD75BFE9BE9E}"/>
            </a:ext>
          </a:extLst>
        </xdr:cNvPr>
        <xdr:cNvSpPr txBox="1"/>
      </xdr:nvSpPr>
      <xdr:spPr>
        <a:xfrm>
          <a:off x="14398752" y="13340509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729</xdr:row>
      <xdr:rowOff>12067</xdr:rowOff>
    </xdr:from>
    <xdr:to>
      <xdr:col>9</xdr:col>
      <xdr:colOff>150622</xdr:colOff>
      <xdr:row>730</xdr:row>
      <xdr:rowOff>21597</xdr:rowOff>
    </xdr:to>
    <xdr:sp macro="_xll.PtreeEvent_ObjectClick" textlink="">
      <xdr:nvSpPr>
        <xdr:cNvPr id="1465" name="PTObj_DNode_1_361">
          <a:extLst>
            <a:ext uri="{FF2B5EF4-FFF2-40B4-BE49-F238E27FC236}">
              <a16:creationId xmlns:a16="http://schemas.microsoft.com/office/drawing/2014/main" id="{C2BCD744-DBF1-442D-B303-F59DB818EE86}"/>
            </a:ext>
          </a:extLst>
        </xdr:cNvPr>
        <xdr:cNvSpPr/>
      </xdr:nvSpPr>
      <xdr:spPr>
        <a:xfrm>
          <a:off x="16969867" y="131942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729</xdr:row>
      <xdr:rowOff>17006</xdr:rowOff>
    </xdr:from>
    <xdr:ext cx="568424" cy="180627"/>
    <xdr:sp macro="_xll.PtreeEvent_ObjectClick" textlink="">
      <xdr:nvSpPr>
        <xdr:cNvPr id="1468" name="PTObj_DBranchName_1_361">
          <a:extLst>
            <a:ext uri="{FF2B5EF4-FFF2-40B4-BE49-F238E27FC236}">
              <a16:creationId xmlns:a16="http://schemas.microsoft.com/office/drawing/2014/main" id="{9FD3F706-75F5-409B-8AE2-490AC9937E11}"/>
            </a:ext>
          </a:extLst>
        </xdr:cNvPr>
        <xdr:cNvSpPr txBox="1"/>
      </xdr:nvSpPr>
      <xdr:spPr>
        <a:xfrm>
          <a:off x="15820834" y="1319477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731</xdr:row>
      <xdr:rowOff>15875</xdr:rowOff>
    </xdr:from>
    <xdr:to>
      <xdr:col>10</xdr:col>
      <xdr:colOff>135383</xdr:colOff>
      <xdr:row>732</xdr:row>
      <xdr:rowOff>21595</xdr:rowOff>
    </xdr:to>
    <xdr:sp macro="_xll.PtreeEvent_ObjectClick" textlink="">
      <xdr:nvSpPr>
        <xdr:cNvPr id="1469" name="PTObj_DNode_1_362">
          <a:extLst>
            <a:ext uri="{FF2B5EF4-FFF2-40B4-BE49-F238E27FC236}">
              <a16:creationId xmlns:a16="http://schemas.microsoft.com/office/drawing/2014/main" id="{CF3C1941-FEC6-4A34-9EC1-2DB0850CD932}"/>
            </a:ext>
          </a:extLst>
        </xdr:cNvPr>
        <xdr:cNvSpPr/>
      </xdr:nvSpPr>
      <xdr:spPr>
        <a:xfrm>
          <a:off x="18394807" y="132308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731</xdr:row>
      <xdr:rowOff>20814</xdr:rowOff>
    </xdr:from>
    <xdr:ext cx="514858" cy="180627"/>
    <xdr:sp macro="_xll.PtreeEvent_ObjectClick" textlink="">
      <xdr:nvSpPr>
        <xdr:cNvPr id="1472" name="PTObj_DBranchName_1_362">
          <a:extLst>
            <a:ext uri="{FF2B5EF4-FFF2-40B4-BE49-F238E27FC236}">
              <a16:creationId xmlns:a16="http://schemas.microsoft.com/office/drawing/2014/main" id="{067B2B2A-024A-4535-88C9-5E18BC2337DD}"/>
            </a:ext>
          </a:extLst>
        </xdr:cNvPr>
        <xdr:cNvSpPr txBox="1"/>
      </xdr:nvSpPr>
      <xdr:spPr>
        <a:xfrm>
          <a:off x="17244820" y="132313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733</xdr:row>
      <xdr:rowOff>19683</xdr:rowOff>
    </xdr:from>
    <xdr:to>
      <xdr:col>11</xdr:col>
      <xdr:colOff>131572</xdr:colOff>
      <xdr:row>734</xdr:row>
      <xdr:rowOff>21592</xdr:rowOff>
    </xdr:to>
    <xdr:sp macro="_xll.PtreeEvent_ObjectClick" textlink="">
      <xdr:nvSpPr>
        <xdr:cNvPr id="1473" name="PTObj_DNode_1_363">
          <a:extLst>
            <a:ext uri="{FF2B5EF4-FFF2-40B4-BE49-F238E27FC236}">
              <a16:creationId xmlns:a16="http://schemas.microsoft.com/office/drawing/2014/main" id="{83C56BA9-6E10-4750-AA98-E9C2C000E459}"/>
            </a:ext>
          </a:extLst>
        </xdr:cNvPr>
        <xdr:cNvSpPr/>
      </xdr:nvSpPr>
      <xdr:spPr>
        <a:xfrm>
          <a:off x="19819747" y="132674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733</xdr:row>
      <xdr:rowOff>17001</xdr:rowOff>
    </xdr:from>
    <xdr:ext cx="514858" cy="180627"/>
    <xdr:sp macro="_xll.PtreeEvent_ObjectClick" textlink="">
      <xdr:nvSpPr>
        <xdr:cNvPr id="1476" name="PTObj_DBranchName_1_363">
          <a:extLst>
            <a:ext uri="{FF2B5EF4-FFF2-40B4-BE49-F238E27FC236}">
              <a16:creationId xmlns:a16="http://schemas.microsoft.com/office/drawing/2014/main" id="{4E57A30A-B70D-4AB6-9A72-E36A3D84C363}"/>
            </a:ext>
          </a:extLst>
        </xdr:cNvPr>
        <xdr:cNvSpPr txBox="1"/>
      </xdr:nvSpPr>
      <xdr:spPr>
        <a:xfrm>
          <a:off x="18666904" y="132671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735</xdr:row>
      <xdr:rowOff>23493</xdr:rowOff>
    </xdr:from>
    <xdr:to>
      <xdr:col>12</xdr:col>
      <xdr:colOff>135385</xdr:colOff>
      <xdr:row>736</xdr:row>
      <xdr:rowOff>21588</xdr:rowOff>
    </xdr:to>
    <xdr:sp macro="_xll.PtreeEvent_ObjectClick" textlink="">
      <xdr:nvSpPr>
        <xdr:cNvPr id="1477" name="PTObj_DNode_1_364">
          <a:extLst>
            <a:ext uri="{FF2B5EF4-FFF2-40B4-BE49-F238E27FC236}">
              <a16:creationId xmlns:a16="http://schemas.microsoft.com/office/drawing/2014/main" id="{0AE7EFDD-A8B8-417B-A5FD-A1E169E5AC5A}"/>
            </a:ext>
          </a:extLst>
        </xdr:cNvPr>
        <xdr:cNvSpPr/>
      </xdr:nvSpPr>
      <xdr:spPr>
        <a:xfrm rot="-5400000">
          <a:off x="21248498" y="1330363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735</xdr:row>
      <xdr:rowOff>20809</xdr:rowOff>
    </xdr:from>
    <xdr:ext cx="514858" cy="180627"/>
    <xdr:sp macro="_xll.PtreeEvent_ObjectClick" textlink="">
      <xdr:nvSpPr>
        <xdr:cNvPr id="1480" name="PTObj_DBranchName_1_364">
          <a:extLst>
            <a:ext uri="{FF2B5EF4-FFF2-40B4-BE49-F238E27FC236}">
              <a16:creationId xmlns:a16="http://schemas.microsoft.com/office/drawing/2014/main" id="{2B23F06A-38CF-433F-B37D-2F48F0173C55}"/>
            </a:ext>
          </a:extLst>
        </xdr:cNvPr>
        <xdr:cNvSpPr txBox="1"/>
      </xdr:nvSpPr>
      <xdr:spPr>
        <a:xfrm>
          <a:off x="20094701" y="133037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739</xdr:row>
      <xdr:rowOff>31117</xdr:rowOff>
    </xdr:from>
    <xdr:to>
      <xdr:col>9</xdr:col>
      <xdr:colOff>150622</xdr:colOff>
      <xdr:row>740</xdr:row>
      <xdr:rowOff>17787</xdr:rowOff>
    </xdr:to>
    <xdr:sp macro="_xll.PtreeEvent_ObjectClick" textlink="">
      <xdr:nvSpPr>
        <xdr:cNvPr id="1481" name="PTObj_DNode_1_366">
          <a:extLst>
            <a:ext uri="{FF2B5EF4-FFF2-40B4-BE49-F238E27FC236}">
              <a16:creationId xmlns:a16="http://schemas.microsoft.com/office/drawing/2014/main" id="{80686641-F964-45E7-81AA-844D51875820}"/>
            </a:ext>
          </a:extLst>
        </xdr:cNvPr>
        <xdr:cNvSpPr/>
      </xdr:nvSpPr>
      <xdr:spPr>
        <a:xfrm>
          <a:off x="16969867" y="133771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739</xdr:row>
      <xdr:rowOff>30341</xdr:rowOff>
    </xdr:from>
    <xdr:ext cx="568424" cy="180627"/>
    <xdr:sp macro="_xll.PtreeEvent_ObjectClick" textlink="">
      <xdr:nvSpPr>
        <xdr:cNvPr id="1484" name="PTObj_DBranchName_1_366">
          <a:extLst>
            <a:ext uri="{FF2B5EF4-FFF2-40B4-BE49-F238E27FC236}">
              <a16:creationId xmlns:a16="http://schemas.microsoft.com/office/drawing/2014/main" id="{8FF2206A-CD7F-4C12-8B70-DB4E42EAD2CB}"/>
            </a:ext>
          </a:extLst>
        </xdr:cNvPr>
        <xdr:cNvSpPr txBox="1"/>
      </xdr:nvSpPr>
      <xdr:spPr>
        <a:xfrm>
          <a:off x="15820834" y="1337708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741</xdr:row>
      <xdr:rowOff>34925</xdr:rowOff>
    </xdr:from>
    <xdr:to>
      <xdr:col>10</xdr:col>
      <xdr:colOff>135383</xdr:colOff>
      <xdr:row>742</xdr:row>
      <xdr:rowOff>36835</xdr:rowOff>
    </xdr:to>
    <xdr:sp macro="_xll.PtreeEvent_ObjectClick" textlink="">
      <xdr:nvSpPr>
        <xdr:cNvPr id="1485" name="PTObj_DNode_1_367">
          <a:extLst>
            <a:ext uri="{FF2B5EF4-FFF2-40B4-BE49-F238E27FC236}">
              <a16:creationId xmlns:a16="http://schemas.microsoft.com/office/drawing/2014/main" id="{D9161D40-A512-4EFC-810D-E9DAC010CDBD}"/>
            </a:ext>
          </a:extLst>
        </xdr:cNvPr>
        <xdr:cNvSpPr/>
      </xdr:nvSpPr>
      <xdr:spPr>
        <a:xfrm>
          <a:off x="18394807" y="134137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741</xdr:row>
      <xdr:rowOff>36054</xdr:rowOff>
    </xdr:from>
    <xdr:ext cx="514858" cy="180627"/>
    <xdr:sp macro="_xll.PtreeEvent_ObjectClick" textlink="">
      <xdr:nvSpPr>
        <xdr:cNvPr id="1488" name="PTObj_DBranchName_1_367">
          <a:extLst>
            <a:ext uri="{FF2B5EF4-FFF2-40B4-BE49-F238E27FC236}">
              <a16:creationId xmlns:a16="http://schemas.microsoft.com/office/drawing/2014/main" id="{E2E24335-50E7-4FC7-AA1E-DDC7246DAEDE}"/>
            </a:ext>
          </a:extLst>
        </xdr:cNvPr>
        <xdr:cNvSpPr txBox="1"/>
      </xdr:nvSpPr>
      <xdr:spPr>
        <a:xfrm>
          <a:off x="17244820" y="1341385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743</xdr:row>
      <xdr:rowOff>38733</xdr:rowOff>
    </xdr:from>
    <xdr:to>
      <xdr:col>11</xdr:col>
      <xdr:colOff>131572</xdr:colOff>
      <xdr:row>744</xdr:row>
      <xdr:rowOff>40642</xdr:rowOff>
    </xdr:to>
    <xdr:sp macro="_xll.PtreeEvent_ObjectClick" textlink="">
      <xdr:nvSpPr>
        <xdr:cNvPr id="1489" name="PTObj_DNode_1_368">
          <a:extLst>
            <a:ext uri="{FF2B5EF4-FFF2-40B4-BE49-F238E27FC236}">
              <a16:creationId xmlns:a16="http://schemas.microsoft.com/office/drawing/2014/main" id="{70977BF9-8254-48F1-9A78-CAAB9AB0B5FF}"/>
            </a:ext>
          </a:extLst>
        </xdr:cNvPr>
        <xdr:cNvSpPr/>
      </xdr:nvSpPr>
      <xdr:spPr>
        <a:xfrm>
          <a:off x="19819747" y="134503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743</xdr:row>
      <xdr:rowOff>39861</xdr:rowOff>
    </xdr:from>
    <xdr:ext cx="514858" cy="180627"/>
    <xdr:sp macro="_xll.PtreeEvent_ObjectClick" textlink="">
      <xdr:nvSpPr>
        <xdr:cNvPr id="1492" name="PTObj_DBranchName_1_368">
          <a:extLst>
            <a:ext uri="{FF2B5EF4-FFF2-40B4-BE49-F238E27FC236}">
              <a16:creationId xmlns:a16="http://schemas.microsoft.com/office/drawing/2014/main" id="{97563576-979D-42AE-A378-E5ABE4FF0DD7}"/>
            </a:ext>
          </a:extLst>
        </xdr:cNvPr>
        <xdr:cNvSpPr txBox="1"/>
      </xdr:nvSpPr>
      <xdr:spPr>
        <a:xfrm>
          <a:off x="18666904" y="134504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745</xdr:row>
      <xdr:rowOff>48258</xdr:rowOff>
    </xdr:from>
    <xdr:to>
      <xdr:col>12</xdr:col>
      <xdr:colOff>135385</xdr:colOff>
      <xdr:row>746</xdr:row>
      <xdr:rowOff>53973</xdr:rowOff>
    </xdr:to>
    <xdr:sp macro="_xll.PtreeEvent_ObjectClick" textlink="">
      <xdr:nvSpPr>
        <xdr:cNvPr id="1493" name="PTObj_DNode_1_369">
          <a:extLst>
            <a:ext uri="{FF2B5EF4-FFF2-40B4-BE49-F238E27FC236}">
              <a16:creationId xmlns:a16="http://schemas.microsoft.com/office/drawing/2014/main" id="{4A54E2E5-A9AE-40A3-9A1A-C88E04A8AD90}"/>
            </a:ext>
          </a:extLst>
        </xdr:cNvPr>
        <xdr:cNvSpPr/>
      </xdr:nvSpPr>
      <xdr:spPr>
        <a:xfrm rot="-5400000">
          <a:off x="21248498" y="1348708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745</xdr:row>
      <xdr:rowOff>45574</xdr:rowOff>
    </xdr:from>
    <xdr:ext cx="514858" cy="180627"/>
    <xdr:sp macro="_xll.PtreeEvent_ObjectClick" textlink="">
      <xdr:nvSpPr>
        <xdr:cNvPr id="1496" name="PTObj_DBranchName_1_369">
          <a:extLst>
            <a:ext uri="{FF2B5EF4-FFF2-40B4-BE49-F238E27FC236}">
              <a16:creationId xmlns:a16="http://schemas.microsoft.com/office/drawing/2014/main" id="{65BD9981-5282-45D3-8B29-768D2D9EC4B5}"/>
            </a:ext>
          </a:extLst>
        </xdr:cNvPr>
        <xdr:cNvSpPr txBox="1"/>
      </xdr:nvSpPr>
      <xdr:spPr>
        <a:xfrm>
          <a:off x="20094701" y="1348719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757</xdr:row>
      <xdr:rowOff>65410</xdr:rowOff>
    </xdr:from>
    <xdr:to>
      <xdr:col>8</xdr:col>
      <xdr:colOff>154432</xdr:colOff>
      <xdr:row>758</xdr:row>
      <xdr:rowOff>55890</xdr:rowOff>
    </xdr:to>
    <xdr:sp macro="_xll.PtreeEvent_ObjectClick" textlink="">
      <xdr:nvSpPr>
        <xdr:cNvPr id="1497" name="PTObj_DNode_1_375">
          <a:extLst>
            <a:ext uri="{FF2B5EF4-FFF2-40B4-BE49-F238E27FC236}">
              <a16:creationId xmlns:a16="http://schemas.microsoft.com/office/drawing/2014/main" id="{371729B7-5CC2-40AC-A197-F507F16220DC}"/>
            </a:ext>
          </a:extLst>
        </xdr:cNvPr>
        <xdr:cNvSpPr/>
      </xdr:nvSpPr>
      <xdr:spPr>
        <a:xfrm>
          <a:off x="15544927" y="137063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757</xdr:row>
      <xdr:rowOff>64621</xdr:rowOff>
    </xdr:from>
    <xdr:ext cx="568425" cy="180627"/>
    <xdr:sp macro="_xll.PtreeEvent_ObjectClick" textlink="">
      <xdr:nvSpPr>
        <xdr:cNvPr id="1500" name="PTObj_DBranchName_1_375">
          <a:extLst>
            <a:ext uri="{FF2B5EF4-FFF2-40B4-BE49-F238E27FC236}">
              <a16:creationId xmlns:a16="http://schemas.microsoft.com/office/drawing/2014/main" id="{CE6E7E8A-2782-4CEF-9D48-7D5D51342A7D}"/>
            </a:ext>
          </a:extLst>
        </xdr:cNvPr>
        <xdr:cNvSpPr txBox="1"/>
      </xdr:nvSpPr>
      <xdr:spPr>
        <a:xfrm>
          <a:off x="14400657" y="1370626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749</xdr:row>
      <xdr:rowOff>50167</xdr:rowOff>
    </xdr:from>
    <xdr:to>
      <xdr:col>9</xdr:col>
      <xdr:colOff>150622</xdr:colOff>
      <xdr:row>750</xdr:row>
      <xdr:rowOff>55887</xdr:rowOff>
    </xdr:to>
    <xdr:sp macro="_xll.PtreeEvent_ObjectClick" textlink="">
      <xdr:nvSpPr>
        <xdr:cNvPr id="1501" name="PTObj_DNode_1_371">
          <a:extLst>
            <a:ext uri="{FF2B5EF4-FFF2-40B4-BE49-F238E27FC236}">
              <a16:creationId xmlns:a16="http://schemas.microsoft.com/office/drawing/2014/main" id="{AF11B406-B9B8-4C09-A2F6-3740E0BFAEFA}"/>
            </a:ext>
          </a:extLst>
        </xdr:cNvPr>
        <xdr:cNvSpPr/>
      </xdr:nvSpPr>
      <xdr:spPr>
        <a:xfrm>
          <a:off x="16969867" y="135600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749</xdr:row>
      <xdr:rowOff>55106</xdr:rowOff>
    </xdr:from>
    <xdr:ext cx="568424" cy="180627"/>
    <xdr:sp macro="_xll.PtreeEvent_ObjectClick" textlink="">
      <xdr:nvSpPr>
        <xdr:cNvPr id="1504" name="PTObj_DBranchName_1_371">
          <a:extLst>
            <a:ext uri="{FF2B5EF4-FFF2-40B4-BE49-F238E27FC236}">
              <a16:creationId xmlns:a16="http://schemas.microsoft.com/office/drawing/2014/main" id="{D28E7F6A-FD6B-4568-AE38-AD0C37E931AE}"/>
            </a:ext>
          </a:extLst>
        </xdr:cNvPr>
        <xdr:cNvSpPr txBox="1"/>
      </xdr:nvSpPr>
      <xdr:spPr>
        <a:xfrm>
          <a:off x="15820834" y="1356053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751</xdr:row>
      <xdr:rowOff>53975</xdr:rowOff>
    </xdr:from>
    <xdr:to>
      <xdr:col>10</xdr:col>
      <xdr:colOff>131573</xdr:colOff>
      <xdr:row>752</xdr:row>
      <xdr:rowOff>55885</xdr:rowOff>
    </xdr:to>
    <xdr:sp macro="_xll.PtreeEvent_ObjectClick" textlink="">
      <xdr:nvSpPr>
        <xdr:cNvPr id="1505" name="PTObj_DNode_1_372">
          <a:extLst>
            <a:ext uri="{FF2B5EF4-FFF2-40B4-BE49-F238E27FC236}">
              <a16:creationId xmlns:a16="http://schemas.microsoft.com/office/drawing/2014/main" id="{F0509611-4DCB-4627-B593-174F1401C6BE}"/>
            </a:ext>
          </a:extLst>
        </xdr:cNvPr>
        <xdr:cNvSpPr/>
      </xdr:nvSpPr>
      <xdr:spPr>
        <a:xfrm>
          <a:off x="18394807" y="135966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751</xdr:row>
      <xdr:rowOff>58914</xdr:rowOff>
    </xdr:from>
    <xdr:ext cx="514858" cy="180627"/>
    <xdr:sp macro="_xll.PtreeEvent_ObjectClick" textlink="">
      <xdr:nvSpPr>
        <xdr:cNvPr id="1508" name="PTObj_DBranchName_1_372">
          <a:extLst>
            <a:ext uri="{FF2B5EF4-FFF2-40B4-BE49-F238E27FC236}">
              <a16:creationId xmlns:a16="http://schemas.microsoft.com/office/drawing/2014/main" id="{86FA7237-5507-480B-AE34-C1B3FC7AD591}"/>
            </a:ext>
          </a:extLst>
        </xdr:cNvPr>
        <xdr:cNvSpPr txBox="1"/>
      </xdr:nvSpPr>
      <xdr:spPr>
        <a:xfrm>
          <a:off x="17244820" y="135971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753</xdr:row>
      <xdr:rowOff>57783</xdr:rowOff>
    </xdr:from>
    <xdr:to>
      <xdr:col>11</xdr:col>
      <xdr:colOff>135382</xdr:colOff>
      <xdr:row>754</xdr:row>
      <xdr:rowOff>55882</xdr:rowOff>
    </xdr:to>
    <xdr:sp macro="_xll.PtreeEvent_ObjectClick" textlink="">
      <xdr:nvSpPr>
        <xdr:cNvPr id="1509" name="PTObj_DNode_1_373">
          <a:extLst>
            <a:ext uri="{FF2B5EF4-FFF2-40B4-BE49-F238E27FC236}">
              <a16:creationId xmlns:a16="http://schemas.microsoft.com/office/drawing/2014/main" id="{A6A9F42B-6B03-423F-B888-D390268CF9A6}"/>
            </a:ext>
          </a:extLst>
        </xdr:cNvPr>
        <xdr:cNvSpPr/>
      </xdr:nvSpPr>
      <xdr:spPr>
        <a:xfrm>
          <a:off x="19819747" y="136331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753</xdr:row>
      <xdr:rowOff>55101</xdr:rowOff>
    </xdr:from>
    <xdr:ext cx="514858" cy="180627"/>
    <xdr:sp macro="_xll.PtreeEvent_ObjectClick" textlink="">
      <xdr:nvSpPr>
        <xdr:cNvPr id="1512" name="PTObj_DBranchName_1_373">
          <a:extLst>
            <a:ext uri="{FF2B5EF4-FFF2-40B4-BE49-F238E27FC236}">
              <a16:creationId xmlns:a16="http://schemas.microsoft.com/office/drawing/2014/main" id="{4ACCAB4E-0996-4A44-8701-BCF7D900229B}"/>
            </a:ext>
          </a:extLst>
        </xdr:cNvPr>
        <xdr:cNvSpPr txBox="1"/>
      </xdr:nvSpPr>
      <xdr:spPr>
        <a:xfrm>
          <a:off x="18666904" y="136329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755</xdr:row>
      <xdr:rowOff>61593</xdr:rowOff>
    </xdr:from>
    <xdr:to>
      <xdr:col>12</xdr:col>
      <xdr:colOff>131575</xdr:colOff>
      <xdr:row>756</xdr:row>
      <xdr:rowOff>55878</xdr:rowOff>
    </xdr:to>
    <xdr:sp macro="_xll.PtreeEvent_ObjectClick" textlink="">
      <xdr:nvSpPr>
        <xdr:cNvPr id="1513" name="PTObj_DNode_1_374">
          <a:extLst>
            <a:ext uri="{FF2B5EF4-FFF2-40B4-BE49-F238E27FC236}">
              <a16:creationId xmlns:a16="http://schemas.microsoft.com/office/drawing/2014/main" id="{FA394959-B3E4-4807-A5B9-FFE6C7CD15A0}"/>
            </a:ext>
          </a:extLst>
        </xdr:cNvPr>
        <xdr:cNvSpPr/>
      </xdr:nvSpPr>
      <xdr:spPr>
        <a:xfrm rot="-5400000">
          <a:off x="21248498" y="1366939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755</xdr:row>
      <xdr:rowOff>58909</xdr:rowOff>
    </xdr:from>
    <xdr:ext cx="514858" cy="180627"/>
    <xdr:sp macro="_xll.PtreeEvent_ObjectClick" textlink="">
      <xdr:nvSpPr>
        <xdr:cNvPr id="1516" name="PTObj_DBranchName_1_374">
          <a:extLst>
            <a:ext uri="{FF2B5EF4-FFF2-40B4-BE49-F238E27FC236}">
              <a16:creationId xmlns:a16="http://schemas.microsoft.com/office/drawing/2014/main" id="{3D9E3E0F-97DA-4A13-8FC4-F156D96F2C39}"/>
            </a:ext>
          </a:extLst>
        </xdr:cNvPr>
        <xdr:cNvSpPr txBox="1"/>
      </xdr:nvSpPr>
      <xdr:spPr>
        <a:xfrm>
          <a:off x="20094701" y="136695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759</xdr:row>
      <xdr:rowOff>69217</xdr:rowOff>
    </xdr:from>
    <xdr:to>
      <xdr:col>9</xdr:col>
      <xdr:colOff>150622</xdr:colOff>
      <xdr:row>760</xdr:row>
      <xdr:rowOff>59697</xdr:rowOff>
    </xdr:to>
    <xdr:sp macro="_xll.PtreeEvent_ObjectClick" textlink="">
      <xdr:nvSpPr>
        <xdr:cNvPr id="1517" name="PTObj_DNode_1_376">
          <a:extLst>
            <a:ext uri="{FF2B5EF4-FFF2-40B4-BE49-F238E27FC236}">
              <a16:creationId xmlns:a16="http://schemas.microsoft.com/office/drawing/2014/main" id="{5EE2FB78-E34D-46BC-B43A-B95C63D4C516}"/>
            </a:ext>
          </a:extLst>
        </xdr:cNvPr>
        <xdr:cNvSpPr/>
      </xdr:nvSpPr>
      <xdr:spPr>
        <a:xfrm>
          <a:off x="16969867" y="137429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759</xdr:row>
      <xdr:rowOff>68441</xdr:rowOff>
    </xdr:from>
    <xdr:ext cx="568424" cy="180627"/>
    <xdr:sp macro="_xll.PtreeEvent_ObjectClick" textlink="">
      <xdr:nvSpPr>
        <xdr:cNvPr id="1520" name="PTObj_DBranchName_1_376">
          <a:extLst>
            <a:ext uri="{FF2B5EF4-FFF2-40B4-BE49-F238E27FC236}">
              <a16:creationId xmlns:a16="http://schemas.microsoft.com/office/drawing/2014/main" id="{0E2EBA36-4581-40C2-8004-3A9DEFAD69C5}"/>
            </a:ext>
          </a:extLst>
        </xdr:cNvPr>
        <xdr:cNvSpPr txBox="1"/>
      </xdr:nvSpPr>
      <xdr:spPr>
        <a:xfrm>
          <a:off x="15820834" y="1374284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761</xdr:row>
      <xdr:rowOff>73025</xdr:rowOff>
    </xdr:from>
    <xdr:to>
      <xdr:col>10</xdr:col>
      <xdr:colOff>131573</xdr:colOff>
      <xdr:row>762</xdr:row>
      <xdr:rowOff>74935</xdr:rowOff>
    </xdr:to>
    <xdr:sp macro="_xll.PtreeEvent_ObjectClick" textlink="">
      <xdr:nvSpPr>
        <xdr:cNvPr id="1521" name="PTObj_DNode_1_377">
          <a:extLst>
            <a:ext uri="{FF2B5EF4-FFF2-40B4-BE49-F238E27FC236}">
              <a16:creationId xmlns:a16="http://schemas.microsoft.com/office/drawing/2014/main" id="{E24BFF39-15D5-4EE2-BB6C-73172FE8233E}"/>
            </a:ext>
          </a:extLst>
        </xdr:cNvPr>
        <xdr:cNvSpPr/>
      </xdr:nvSpPr>
      <xdr:spPr>
        <a:xfrm>
          <a:off x="18394807" y="137795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761</xdr:row>
      <xdr:rowOff>74154</xdr:rowOff>
    </xdr:from>
    <xdr:ext cx="514858" cy="180627"/>
    <xdr:sp macro="_xll.PtreeEvent_ObjectClick" textlink="">
      <xdr:nvSpPr>
        <xdr:cNvPr id="1524" name="PTObj_DBranchName_1_377">
          <a:extLst>
            <a:ext uri="{FF2B5EF4-FFF2-40B4-BE49-F238E27FC236}">
              <a16:creationId xmlns:a16="http://schemas.microsoft.com/office/drawing/2014/main" id="{F9D45E5A-2210-46DA-A358-7794AD2D0651}"/>
            </a:ext>
          </a:extLst>
        </xdr:cNvPr>
        <xdr:cNvSpPr txBox="1"/>
      </xdr:nvSpPr>
      <xdr:spPr>
        <a:xfrm>
          <a:off x="17244820" y="1377961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763</xdr:row>
      <xdr:rowOff>76833</xdr:rowOff>
    </xdr:from>
    <xdr:to>
      <xdr:col>11</xdr:col>
      <xdr:colOff>135382</xdr:colOff>
      <xdr:row>764</xdr:row>
      <xdr:rowOff>78742</xdr:rowOff>
    </xdr:to>
    <xdr:sp macro="_xll.PtreeEvent_ObjectClick" textlink="">
      <xdr:nvSpPr>
        <xdr:cNvPr id="1525" name="PTObj_DNode_1_378">
          <a:extLst>
            <a:ext uri="{FF2B5EF4-FFF2-40B4-BE49-F238E27FC236}">
              <a16:creationId xmlns:a16="http://schemas.microsoft.com/office/drawing/2014/main" id="{58E65E8A-B94E-46D6-B2B7-B3E392A7F60C}"/>
            </a:ext>
          </a:extLst>
        </xdr:cNvPr>
        <xdr:cNvSpPr/>
      </xdr:nvSpPr>
      <xdr:spPr>
        <a:xfrm>
          <a:off x="19819747" y="138160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763</xdr:row>
      <xdr:rowOff>77961</xdr:rowOff>
    </xdr:from>
    <xdr:ext cx="514858" cy="180627"/>
    <xdr:sp macro="_xll.PtreeEvent_ObjectClick" textlink="">
      <xdr:nvSpPr>
        <xdr:cNvPr id="1528" name="PTObj_DBranchName_1_378">
          <a:extLst>
            <a:ext uri="{FF2B5EF4-FFF2-40B4-BE49-F238E27FC236}">
              <a16:creationId xmlns:a16="http://schemas.microsoft.com/office/drawing/2014/main" id="{65ED764E-061E-440F-99FB-182CDE5992D0}"/>
            </a:ext>
          </a:extLst>
        </xdr:cNvPr>
        <xdr:cNvSpPr txBox="1"/>
      </xdr:nvSpPr>
      <xdr:spPr>
        <a:xfrm>
          <a:off x="18666904" y="138161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765</xdr:row>
      <xdr:rowOff>86358</xdr:rowOff>
    </xdr:from>
    <xdr:to>
      <xdr:col>12</xdr:col>
      <xdr:colOff>131575</xdr:colOff>
      <xdr:row>766</xdr:row>
      <xdr:rowOff>95883</xdr:rowOff>
    </xdr:to>
    <xdr:sp macro="_xll.PtreeEvent_ObjectClick" textlink="">
      <xdr:nvSpPr>
        <xdr:cNvPr id="1529" name="PTObj_DNode_1_379">
          <a:extLst>
            <a:ext uri="{FF2B5EF4-FFF2-40B4-BE49-F238E27FC236}">
              <a16:creationId xmlns:a16="http://schemas.microsoft.com/office/drawing/2014/main" id="{FD3EFDAD-B026-4239-821A-BDD8416F0026}"/>
            </a:ext>
          </a:extLst>
        </xdr:cNvPr>
        <xdr:cNvSpPr/>
      </xdr:nvSpPr>
      <xdr:spPr>
        <a:xfrm rot="-5400000">
          <a:off x="21248498" y="1385284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765</xdr:row>
      <xdr:rowOff>83674</xdr:rowOff>
    </xdr:from>
    <xdr:ext cx="514858" cy="180627"/>
    <xdr:sp macro="_xll.PtreeEvent_ObjectClick" textlink="">
      <xdr:nvSpPr>
        <xdr:cNvPr id="1532" name="PTObj_DBranchName_1_379">
          <a:extLst>
            <a:ext uri="{FF2B5EF4-FFF2-40B4-BE49-F238E27FC236}">
              <a16:creationId xmlns:a16="http://schemas.microsoft.com/office/drawing/2014/main" id="{FA73052F-AE26-4A43-8D27-A80FE86D7C53}"/>
            </a:ext>
          </a:extLst>
        </xdr:cNvPr>
        <xdr:cNvSpPr txBox="1"/>
      </xdr:nvSpPr>
      <xdr:spPr>
        <a:xfrm>
          <a:off x="20094701" y="1385295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787</xdr:row>
      <xdr:rowOff>122560</xdr:rowOff>
    </xdr:from>
    <xdr:to>
      <xdr:col>7</xdr:col>
      <xdr:colOff>171578</xdr:colOff>
      <xdr:row>788</xdr:row>
      <xdr:rowOff>133995</xdr:rowOff>
    </xdr:to>
    <xdr:sp macro="_xll.PtreeEvent_ObjectClick" textlink="">
      <xdr:nvSpPr>
        <xdr:cNvPr id="1533" name="PTObj_DNode_1_390">
          <a:extLst>
            <a:ext uri="{FF2B5EF4-FFF2-40B4-BE49-F238E27FC236}">
              <a16:creationId xmlns:a16="http://schemas.microsoft.com/office/drawing/2014/main" id="{C7D4C42A-2DC6-4AA6-AC06-8C01A326D2F3}"/>
            </a:ext>
          </a:extLst>
        </xdr:cNvPr>
        <xdr:cNvSpPr/>
      </xdr:nvSpPr>
      <xdr:spPr>
        <a:xfrm>
          <a:off x="14119988" y="142549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787</xdr:row>
      <xdr:rowOff>125581</xdr:rowOff>
    </xdr:from>
    <xdr:ext cx="566520" cy="180627"/>
    <xdr:sp macro="_xll.PtreeEvent_ObjectClick" textlink="">
      <xdr:nvSpPr>
        <xdr:cNvPr id="1536" name="PTObj_DBranchName_1_390">
          <a:extLst>
            <a:ext uri="{FF2B5EF4-FFF2-40B4-BE49-F238E27FC236}">
              <a16:creationId xmlns:a16="http://schemas.microsoft.com/office/drawing/2014/main" id="{DF17B7FD-2B6C-4246-9447-56D5ECC8BD6B}"/>
            </a:ext>
          </a:extLst>
        </xdr:cNvPr>
        <xdr:cNvSpPr txBox="1"/>
      </xdr:nvSpPr>
      <xdr:spPr>
        <a:xfrm>
          <a:off x="12974765" y="142552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777</xdr:row>
      <xdr:rowOff>103510</xdr:rowOff>
    </xdr:from>
    <xdr:to>
      <xdr:col>8</xdr:col>
      <xdr:colOff>154432</xdr:colOff>
      <xdr:row>778</xdr:row>
      <xdr:rowOff>93990</xdr:rowOff>
    </xdr:to>
    <xdr:sp macro="_xll.PtreeEvent_ObjectClick" textlink="">
      <xdr:nvSpPr>
        <xdr:cNvPr id="1537" name="PTObj_DNode_1_385">
          <a:extLst>
            <a:ext uri="{FF2B5EF4-FFF2-40B4-BE49-F238E27FC236}">
              <a16:creationId xmlns:a16="http://schemas.microsoft.com/office/drawing/2014/main" id="{4B0D3101-637E-46CB-AEE9-64CD311A0A05}"/>
            </a:ext>
          </a:extLst>
        </xdr:cNvPr>
        <xdr:cNvSpPr/>
      </xdr:nvSpPr>
      <xdr:spPr>
        <a:xfrm>
          <a:off x="15544927" y="140721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777</xdr:row>
      <xdr:rowOff>102721</xdr:rowOff>
    </xdr:from>
    <xdr:ext cx="566519" cy="180627"/>
    <xdr:sp macro="_xll.PtreeEvent_ObjectClick" textlink="">
      <xdr:nvSpPr>
        <xdr:cNvPr id="1540" name="PTObj_DBranchName_1_385">
          <a:extLst>
            <a:ext uri="{FF2B5EF4-FFF2-40B4-BE49-F238E27FC236}">
              <a16:creationId xmlns:a16="http://schemas.microsoft.com/office/drawing/2014/main" id="{83F3D118-072C-45AB-AD0B-5DC05DE7716C}"/>
            </a:ext>
          </a:extLst>
        </xdr:cNvPr>
        <xdr:cNvSpPr txBox="1"/>
      </xdr:nvSpPr>
      <xdr:spPr>
        <a:xfrm>
          <a:off x="14398752" y="14072029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769</xdr:row>
      <xdr:rowOff>88267</xdr:rowOff>
    </xdr:from>
    <xdr:to>
      <xdr:col>9</xdr:col>
      <xdr:colOff>150622</xdr:colOff>
      <xdr:row>770</xdr:row>
      <xdr:rowOff>93987</xdr:rowOff>
    </xdr:to>
    <xdr:sp macro="_xll.PtreeEvent_ObjectClick" textlink="">
      <xdr:nvSpPr>
        <xdr:cNvPr id="1541" name="PTObj_DNode_1_381">
          <a:extLst>
            <a:ext uri="{FF2B5EF4-FFF2-40B4-BE49-F238E27FC236}">
              <a16:creationId xmlns:a16="http://schemas.microsoft.com/office/drawing/2014/main" id="{A6B88B77-21D5-464F-86B5-08A09F63DD3D}"/>
            </a:ext>
          </a:extLst>
        </xdr:cNvPr>
        <xdr:cNvSpPr/>
      </xdr:nvSpPr>
      <xdr:spPr>
        <a:xfrm>
          <a:off x="16969867" y="139258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769</xdr:row>
      <xdr:rowOff>93206</xdr:rowOff>
    </xdr:from>
    <xdr:ext cx="568424" cy="180627"/>
    <xdr:sp macro="_xll.PtreeEvent_ObjectClick" textlink="">
      <xdr:nvSpPr>
        <xdr:cNvPr id="1544" name="PTObj_DBranchName_1_381">
          <a:extLst>
            <a:ext uri="{FF2B5EF4-FFF2-40B4-BE49-F238E27FC236}">
              <a16:creationId xmlns:a16="http://schemas.microsoft.com/office/drawing/2014/main" id="{8C711360-969E-4213-8592-E65676EA2542}"/>
            </a:ext>
          </a:extLst>
        </xdr:cNvPr>
        <xdr:cNvSpPr txBox="1"/>
      </xdr:nvSpPr>
      <xdr:spPr>
        <a:xfrm>
          <a:off x="15820834" y="1392629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771</xdr:row>
      <xdr:rowOff>92075</xdr:rowOff>
    </xdr:from>
    <xdr:to>
      <xdr:col>10</xdr:col>
      <xdr:colOff>131573</xdr:colOff>
      <xdr:row>772</xdr:row>
      <xdr:rowOff>93985</xdr:rowOff>
    </xdr:to>
    <xdr:sp macro="_xll.PtreeEvent_ObjectClick" textlink="">
      <xdr:nvSpPr>
        <xdr:cNvPr id="1545" name="PTObj_DNode_1_382">
          <a:extLst>
            <a:ext uri="{FF2B5EF4-FFF2-40B4-BE49-F238E27FC236}">
              <a16:creationId xmlns:a16="http://schemas.microsoft.com/office/drawing/2014/main" id="{4251A15B-5243-488D-AD03-F9AB7C3E09A6}"/>
            </a:ext>
          </a:extLst>
        </xdr:cNvPr>
        <xdr:cNvSpPr/>
      </xdr:nvSpPr>
      <xdr:spPr>
        <a:xfrm>
          <a:off x="18394807" y="139623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771</xdr:row>
      <xdr:rowOff>97014</xdr:rowOff>
    </xdr:from>
    <xdr:ext cx="514858" cy="180627"/>
    <xdr:sp macro="_xll.PtreeEvent_ObjectClick" textlink="">
      <xdr:nvSpPr>
        <xdr:cNvPr id="1548" name="PTObj_DBranchName_1_382">
          <a:extLst>
            <a:ext uri="{FF2B5EF4-FFF2-40B4-BE49-F238E27FC236}">
              <a16:creationId xmlns:a16="http://schemas.microsoft.com/office/drawing/2014/main" id="{41698161-A202-45FC-BFCC-814DC4A2620C}"/>
            </a:ext>
          </a:extLst>
        </xdr:cNvPr>
        <xdr:cNvSpPr txBox="1"/>
      </xdr:nvSpPr>
      <xdr:spPr>
        <a:xfrm>
          <a:off x="17244820" y="139628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773</xdr:row>
      <xdr:rowOff>95883</xdr:rowOff>
    </xdr:from>
    <xdr:to>
      <xdr:col>11</xdr:col>
      <xdr:colOff>135382</xdr:colOff>
      <xdr:row>774</xdr:row>
      <xdr:rowOff>93982</xdr:rowOff>
    </xdr:to>
    <xdr:sp macro="_xll.PtreeEvent_ObjectClick" textlink="">
      <xdr:nvSpPr>
        <xdr:cNvPr id="1549" name="PTObj_DNode_1_383">
          <a:extLst>
            <a:ext uri="{FF2B5EF4-FFF2-40B4-BE49-F238E27FC236}">
              <a16:creationId xmlns:a16="http://schemas.microsoft.com/office/drawing/2014/main" id="{F9684E8C-A768-4EF5-BB41-D2F82F9D1227}"/>
            </a:ext>
          </a:extLst>
        </xdr:cNvPr>
        <xdr:cNvSpPr/>
      </xdr:nvSpPr>
      <xdr:spPr>
        <a:xfrm>
          <a:off x="19819747" y="139989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773</xdr:row>
      <xdr:rowOff>93201</xdr:rowOff>
    </xdr:from>
    <xdr:ext cx="514858" cy="180627"/>
    <xdr:sp macro="_xll.PtreeEvent_ObjectClick" textlink="">
      <xdr:nvSpPr>
        <xdr:cNvPr id="1552" name="PTObj_DBranchName_1_383">
          <a:extLst>
            <a:ext uri="{FF2B5EF4-FFF2-40B4-BE49-F238E27FC236}">
              <a16:creationId xmlns:a16="http://schemas.microsoft.com/office/drawing/2014/main" id="{968C6509-E86D-43A4-9244-A6F4AE415651}"/>
            </a:ext>
          </a:extLst>
        </xdr:cNvPr>
        <xdr:cNvSpPr txBox="1"/>
      </xdr:nvSpPr>
      <xdr:spPr>
        <a:xfrm>
          <a:off x="18666904" y="139986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775</xdr:row>
      <xdr:rowOff>99693</xdr:rowOff>
    </xdr:from>
    <xdr:to>
      <xdr:col>12</xdr:col>
      <xdr:colOff>131575</xdr:colOff>
      <xdr:row>776</xdr:row>
      <xdr:rowOff>93978</xdr:rowOff>
    </xdr:to>
    <xdr:sp macro="_xll.PtreeEvent_ObjectClick" textlink="">
      <xdr:nvSpPr>
        <xdr:cNvPr id="1553" name="PTObj_DNode_1_384">
          <a:extLst>
            <a:ext uri="{FF2B5EF4-FFF2-40B4-BE49-F238E27FC236}">
              <a16:creationId xmlns:a16="http://schemas.microsoft.com/office/drawing/2014/main" id="{94169D6C-8133-4014-837A-C08892AA7912}"/>
            </a:ext>
          </a:extLst>
        </xdr:cNvPr>
        <xdr:cNvSpPr/>
      </xdr:nvSpPr>
      <xdr:spPr>
        <a:xfrm rot="-5400000">
          <a:off x="21248498" y="1403515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775</xdr:row>
      <xdr:rowOff>97009</xdr:rowOff>
    </xdr:from>
    <xdr:ext cx="514858" cy="180627"/>
    <xdr:sp macro="_xll.PtreeEvent_ObjectClick" textlink="">
      <xdr:nvSpPr>
        <xdr:cNvPr id="1556" name="PTObj_DBranchName_1_384">
          <a:extLst>
            <a:ext uri="{FF2B5EF4-FFF2-40B4-BE49-F238E27FC236}">
              <a16:creationId xmlns:a16="http://schemas.microsoft.com/office/drawing/2014/main" id="{9F15CE9E-2918-4F04-B722-1E35238C072A}"/>
            </a:ext>
          </a:extLst>
        </xdr:cNvPr>
        <xdr:cNvSpPr txBox="1"/>
      </xdr:nvSpPr>
      <xdr:spPr>
        <a:xfrm>
          <a:off x="20094701" y="140352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779</xdr:row>
      <xdr:rowOff>107317</xdr:rowOff>
    </xdr:from>
    <xdr:to>
      <xdr:col>9</xdr:col>
      <xdr:colOff>150622</xdr:colOff>
      <xdr:row>780</xdr:row>
      <xdr:rowOff>97797</xdr:rowOff>
    </xdr:to>
    <xdr:sp macro="_xll.PtreeEvent_ObjectClick" textlink="">
      <xdr:nvSpPr>
        <xdr:cNvPr id="1557" name="PTObj_DNode_1_386">
          <a:extLst>
            <a:ext uri="{FF2B5EF4-FFF2-40B4-BE49-F238E27FC236}">
              <a16:creationId xmlns:a16="http://schemas.microsoft.com/office/drawing/2014/main" id="{90B0AB31-7AEB-4680-BA7C-7946C1EFADF9}"/>
            </a:ext>
          </a:extLst>
        </xdr:cNvPr>
        <xdr:cNvSpPr/>
      </xdr:nvSpPr>
      <xdr:spPr>
        <a:xfrm>
          <a:off x="16969867" y="141086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779</xdr:row>
      <xdr:rowOff>106541</xdr:rowOff>
    </xdr:from>
    <xdr:ext cx="568424" cy="180627"/>
    <xdr:sp macro="_xll.PtreeEvent_ObjectClick" textlink="">
      <xdr:nvSpPr>
        <xdr:cNvPr id="1560" name="PTObj_DBranchName_1_386">
          <a:extLst>
            <a:ext uri="{FF2B5EF4-FFF2-40B4-BE49-F238E27FC236}">
              <a16:creationId xmlns:a16="http://schemas.microsoft.com/office/drawing/2014/main" id="{A38DC28F-63E9-44D8-ABEA-1E8322120EDA}"/>
            </a:ext>
          </a:extLst>
        </xdr:cNvPr>
        <xdr:cNvSpPr txBox="1"/>
      </xdr:nvSpPr>
      <xdr:spPr>
        <a:xfrm>
          <a:off x="15820834" y="1410860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781</xdr:row>
      <xdr:rowOff>111125</xdr:rowOff>
    </xdr:from>
    <xdr:to>
      <xdr:col>10</xdr:col>
      <xdr:colOff>131573</xdr:colOff>
      <xdr:row>782</xdr:row>
      <xdr:rowOff>113035</xdr:rowOff>
    </xdr:to>
    <xdr:sp macro="_xll.PtreeEvent_ObjectClick" textlink="">
      <xdr:nvSpPr>
        <xdr:cNvPr id="1561" name="PTObj_DNode_1_387">
          <a:extLst>
            <a:ext uri="{FF2B5EF4-FFF2-40B4-BE49-F238E27FC236}">
              <a16:creationId xmlns:a16="http://schemas.microsoft.com/office/drawing/2014/main" id="{13422019-B4B6-45D3-A505-68FADACFD541}"/>
            </a:ext>
          </a:extLst>
        </xdr:cNvPr>
        <xdr:cNvSpPr/>
      </xdr:nvSpPr>
      <xdr:spPr>
        <a:xfrm>
          <a:off x="18394807" y="141452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781</xdr:row>
      <xdr:rowOff>112254</xdr:rowOff>
    </xdr:from>
    <xdr:ext cx="514858" cy="180627"/>
    <xdr:sp macro="_xll.PtreeEvent_ObjectClick" textlink="">
      <xdr:nvSpPr>
        <xdr:cNvPr id="1564" name="PTObj_DBranchName_1_387">
          <a:extLst>
            <a:ext uri="{FF2B5EF4-FFF2-40B4-BE49-F238E27FC236}">
              <a16:creationId xmlns:a16="http://schemas.microsoft.com/office/drawing/2014/main" id="{3286BE22-EB08-4DC8-8D17-95FEAB664D31}"/>
            </a:ext>
          </a:extLst>
        </xdr:cNvPr>
        <xdr:cNvSpPr txBox="1"/>
      </xdr:nvSpPr>
      <xdr:spPr>
        <a:xfrm>
          <a:off x="17244820" y="1414537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783</xdr:row>
      <xdr:rowOff>114933</xdr:rowOff>
    </xdr:from>
    <xdr:to>
      <xdr:col>11</xdr:col>
      <xdr:colOff>135382</xdr:colOff>
      <xdr:row>784</xdr:row>
      <xdr:rowOff>116842</xdr:rowOff>
    </xdr:to>
    <xdr:sp macro="_xll.PtreeEvent_ObjectClick" textlink="">
      <xdr:nvSpPr>
        <xdr:cNvPr id="1565" name="PTObj_DNode_1_388">
          <a:extLst>
            <a:ext uri="{FF2B5EF4-FFF2-40B4-BE49-F238E27FC236}">
              <a16:creationId xmlns:a16="http://schemas.microsoft.com/office/drawing/2014/main" id="{844A0EF1-C570-42D3-BA83-D2CC20D73738}"/>
            </a:ext>
          </a:extLst>
        </xdr:cNvPr>
        <xdr:cNvSpPr/>
      </xdr:nvSpPr>
      <xdr:spPr>
        <a:xfrm>
          <a:off x="19819747" y="141818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783</xdr:row>
      <xdr:rowOff>116061</xdr:rowOff>
    </xdr:from>
    <xdr:ext cx="514858" cy="180627"/>
    <xdr:sp macro="_xll.PtreeEvent_ObjectClick" textlink="">
      <xdr:nvSpPr>
        <xdr:cNvPr id="1568" name="PTObj_DBranchName_1_388">
          <a:extLst>
            <a:ext uri="{FF2B5EF4-FFF2-40B4-BE49-F238E27FC236}">
              <a16:creationId xmlns:a16="http://schemas.microsoft.com/office/drawing/2014/main" id="{12BDF760-D367-4862-8948-073F91B9CDBE}"/>
            </a:ext>
          </a:extLst>
        </xdr:cNvPr>
        <xdr:cNvSpPr txBox="1"/>
      </xdr:nvSpPr>
      <xdr:spPr>
        <a:xfrm>
          <a:off x="18666904" y="141819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785</xdr:row>
      <xdr:rowOff>124458</xdr:rowOff>
    </xdr:from>
    <xdr:to>
      <xdr:col>12</xdr:col>
      <xdr:colOff>131575</xdr:colOff>
      <xdr:row>786</xdr:row>
      <xdr:rowOff>133983</xdr:rowOff>
    </xdr:to>
    <xdr:sp macro="_xll.PtreeEvent_ObjectClick" textlink="">
      <xdr:nvSpPr>
        <xdr:cNvPr id="1569" name="PTObj_DNode_1_389">
          <a:extLst>
            <a:ext uri="{FF2B5EF4-FFF2-40B4-BE49-F238E27FC236}">
              <a16:creationId xmlns:a16="http://schemas.microsoft.com/office/drawing/2014/main" id="{87D1E1EE-8012-458B-81B0-21AC3E36986A}"/>
            </a:ext>
          </a:extLst>
        </xdr:cNvPr>
        <xdr:cNvSpPr/>
      </xdr:nvSpPr>
      <xdr:spPr>
        <a:xfrm rot="-5400000">
          <a:off x="21248498" y="1421860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785</xdr:row>
      <xdr:rowOff>121774</xdr:rowOff>
    </xdr:from>
    <xdr:ext cx="514858" cy="180627"/>
    <xdr:sp macro="_xll.PtreeEvent_ObjectClick" textlink="">
      <xdr:nvSpPr>
        <xdr:cNvPr id="1572" name="PTObj_DBranchName_1_389">
          <a:extLst>
            <a:ext uri="{FF2B5EF4-FFF2-40B4-BE49-F238E27FC236}">
              <a16:creationId xmlns:a16="http://schemas.microsoft.com/office/drawing/2014/main" id="{BBE45549-CD2D-4940-A529-A58111DF5051}"/>
            </a:ext>
          </a:extLst>
        </xdr:cNvPr>
        <xdr:cNvSpPr txBox="1"/>
      </xdr:nvSpPr>
      <xdr:spPr>
        <a:xfrm>
          <a:off x="20094701" y="1421871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797</xdr:row>
      <xdr:rowOff>141610</xdr:rowOff>
    </xdr:from>
    <xdr:to>
      <xdr:col>8</xdr:col>
      <xdr:colOff>154432</xdr:colOff>
      <xdr:row>798</xdr:row>
      <xdr:rowOff>135900</xdr:rowOff>
    </xdr:to>
    <xdr:sp macro="_xll.PtreeEvent_ObjectClick" textlink="">
      <xdr:nvSpPr>
        <xdr:cNvPr id="1573" name="PTObj_DNode_1_395">
          <a:extLst>
            <a:ext uri="{FF2B5EF4-FFF2-40B4-BE49-F238E27FC236}">
              <a16:creationId xmlns:a16="http://schemas.microsoft.com/office/drawing/2014/main" id="{6D13D6EF-23B7-401D-ADE2-96D00AA50ED5}"/>
            </a:ext>
          </a:extLst>
        </xdr:cNvPr>
        <xdr:cNvSpPr/>
      </xdr:nvSpPr>
      <xdr:spPr>
        <a:xfrm>
          <a:off x="15544927" y="144378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797</xdr:row>
      <xdr:rowOff>140821</xdr:rowOff>
    </xdr:from>
    <xdr:ext cx="568425" cy="180627"/>
    <xdr:sp macro="_xll.PtreeEvent_ObjectClick" textlink="">
      <xdr:nvSpPr>
        <xdr:cNvPr id="1576" name="PTObj_DBranchName_1_395">
          <a:extLst>
            <a:ext uri="{FF2B5EF4-FFF2-40B4-BE49-F238E27FC236}">
              <a16:creationId xmlns:a16="http://schemas.microsoft.com/office/drawing/2014/main" id="{3F9BC877-1FF9-462A-BD0F-E5DFE6227773}"/>
            </a:ext>
          </a:extLst>
        </xdr:cNvPr>
        <xdr:cNvSpPr txBox="1"/>
      </xdr:nvSpPr>
      <xdr:spPr>
        <a:xfrm>
          <a:off x="14400657" y="1443778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789</xdr:row>
      <xdr:rowOff>126367</xdr:rowOff>
    </xdr:from>
    <xdr:to>
      <xdr:col>9</xdr:col>
      <xdr:colOff>150622</xdr:colOff>
      <xdr:row>790</xdr:row>
      <xdr:rowOff>135897</xdr:rowOff>
    </xdr:to>
    <xdr:sp macro="_xll.PtreeEvent_ObjectClick" textlink="">
      <xdr:nvSpPr>
        <xdr:cNvPr id="1577" name="PTObj_DNode_1_391">
          <a:extLst>
            <a:ext uri="{FF2B5EF4-FFF2-40B4-BE49-F238E27FC236}">
              <a16:creationId xmlns:a16="http://schemas.microsoft.com/office/drawing/2014/main" id="{E7CDB1A4-6BA1-429D-B11B-4EB11431AB68}"/>
            </a:ext>
          </a:extLst>
        </xdr:cNvPr>
        <xdr:cNvSpPr/>
      </xdr:nvSpPr>
      <xdr:spPr>
        <a:xfrm>
          <a:off x="16969867" y="142915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789</xdr:row>
      <xdr:rowOff>131306</xdr:rowOff>
    </xdr:from>
    <xdr:ext cx="568424" cy="180627"/>
    <xdr:sp macro="_xll.PtreeEvent_ObjectClick" textlink="">
      <xdr:nvSpPr>
        <xdr:cNvPr id="1580" name="PTObj_DBranchName_1_391">
          <a:extLst>
            <a:ext uri="{FF2B5EF4-FFF2-40B4-BE49-F238E27FC236}">
              <a16:creationId xmlns:a16="http://schemas.microsoft.com/office/drawing/2014/main" id="{BA68D6FA-F6E3-411F-B706-36573D3FAD8C}"/>
            </a:ext>
          </a:extLst>
        </xdr:cNvPr>
        <xdr:cNvSpPr txBox="1"/>
      </xdr:nvSpPr>
      <xdr:spPr>
        <a:xfrm>
          <a:off x="15820834" y="1429205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791</xdr:row>
      <xdr:rowOff>130175</xdr:rowOff>
    </xdr:from>
    <xdr:to>
      <xdr:col>10</xdr:col>
      <xdr:colOff>135383</xdr:colOff>
      <xdr:row>792</xdr:row>
      <xdr:rowOff>135895</xdr:rowOff>
    </xdr:to>
    <xdr:sp macro="_xll.PtreeEvent_ObjectClick" textlink="">
      <xdr:nvSpPr>
        <xdr:cNvPr id="1581" name="PTObj_DNode_1_392">
          <a:extLst>
            <a:ext uri="{FF2B5EF4-FFF2-40B4-BE49-F238E27FC236}">
              <a16:creationId xmlns:a16="http://schemas.microsoft.com/office/drawing/2014/main" id="{0B255498-C217-475F-8F23-FEC1F7BA2AF9}"/>
            </a:ext>
          </a:extLst>
        </xdr:cNvPr>
        <xdr:cNvSpPr/>
      </xdr:nvSpPr>
      <xdr:spPr>
        <a:xfrm>
          <a:off x="18394807" y="143281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791</xdr:row>
      <xdr:rowOff>135114</xdr:rowOff>
    </xdr:from>
    <xdr:ext cx="514858" cy="180627"/>
    <xdr:sp macro="_xll.PtreeEvent_ObjectClick" textlink="">
      <xdr:nvSpPr>
        <xdr:cNvPr id="1584" name="PTObj_DBranchName_1_392">
          <a:extLst>
            <a:ext uri="{FF2B5EF4-FFF2-40B4-BE49-F238E27FC236}">
              <a16:creationId xmlns:a16="http://schemas.microsoft.com/office/drawing/2014/main" id="{81C55B8A-380C-4ED3-BDCD-00F558C7CAB1}"/>
            </a:ext>
          </a:extLst>
        </xdr:cNvPr>
        <xdr:cNvSpPr txBox="1"/>
      </xdr:nvSpPr>
      <xdr:spPr>
        <a:xfrm>
          <a:off x="17244820" y="143286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793</xdr:row>
      <xdr:rowOff>133983</xdr:rowOff>
    </xdr:from>
    <xdr:to>
      <xdr:col>11</xdr:col>
      <xdr:colOff>131572</xdr:colOff>
      <xdr:row>794</xdr:row>
      <xdr:rowOff>135892</xdr:rowOff>
    </xdr:to>
    <xdr:sp macro="_xll.PtreeEvent_ObjectClick" textlink="">
      <xdr:nvSpPr>
        <xdr:cNvPr id="1585" name="PTObj_DNode_1_393">
          <a:extLst>
            <a:ext uri="{FF2B5EF4-FFF2-40B4-BE49-F238E27FC236}">
              <a16:creationId xmlns:a16="http://schemas.microsoft.com/office/drawing/2014/main" id="{8F2D83D1-645D-4CBD-A5DC-B191ECDF48F2}"/>
            </a:ext>
          </a:extLst>
        </xdr:cNvPr>
        <xdr:cNvSpPr/>
      </xdr:nvSpPr>
      <xdr:spPr>
        <a:xfrm>
          <a:off x="19819747" y="143647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793</xdr:row>
      <xdr:rowOff>131301</xdr:rowOff>
    </xdr:from>
    <xdr:ext cx="514858" cy="180627"/>
    <xdr:sp macro="_xll.PtreeEvent_ObjectClick" textlink="">
      <xdr:nvSpPr>
        <xdr:cNvPr id="1588" name="PTObj_DBranchName_1_393">
          <a:extLst>
            <a:ext uri="{FF2B5EF4-FFF2-40B4-BE49-F238E27FC236}">
              <a16:creationId xmlns:a16="http://schemas.microsoft.com/office/drawing/2014/main" id="{E3D6BEC8-D55A-4FA4-8889-F7FBCFFD7D1D}"/>
            </a:ext>
          </a:extLst>
        </xdr:cNvPr>
        <xdr:cNvSpPr txBox="1"/>
      </xdr:nvSpPr>
      <xdr:spPr>
        <a:xfrm>
          <a:off x="18666904" y="143644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795</xdr:row>
      <xdr:rowOff>137793</xdr:rowOff>
    </xdr:from>
    <xdr:to>
      <xdr:col>12</xdr:col>
      <xdr:colOff>135385</xdr:colOff>
      <xdr:row>796</xdr:row>
      <xdr:rowOff>135888</xdr:rowOff>
    </xdr:to>
    <xdr:sp macro="_xll.PtreeEvent_ObjectClick" textlink="">
      <xdr:nvSpPr>
        <xdr:cNvPr id="1589" name="PTObj_DNode_1_394">
          <a:extLst>
            <a:ext uri="{FF2B5EF4-FFF2-40B4-BE49-F238E27FC236}">
              <a16:creationId xmlns:a16="http://schemas.microsoft.com/office/drawing/2014/main" id="{4C267A64-3DA2-44A7-99B6-87CA80DEBCE5}"/>
            </a:ext>
          </a:extLst>
        </xdr:cNvPr>
        <xdr:cNvSpPr/>
      </xdr:nvSpPr>
      <xdr:spPr>
        <a:xfrm rot="-5400000">
          <a:off x="21248498" y="1440091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795</xdr:row>
      <xdr:rowOff>135109</xdr:rowOff>
    </xdr:from>
    <xdr:ext cx="514858" cy="180627"/>
    <xdr:sp macro="_xll.PtreeEvent_ObjectClick" textlink="">
      <xdr:nvSpPr>
        <xdr:cNvPr id="1592" name="PTObj_DBranchName_1_394">
          <a:extLst>
            <a:ext uri="{FF2B5EF4-FFF2-40B4-BE49-F238E27FC236}">
              <a16:creationId xmlns:a16="http://schemas.microsoft.com/office/drawing/2014/main" id="{5162E5DE-3D16-4B5B-B916-1DD7CD1F709E}"/>
            </a:ext>
          </a:extLst>
        </xdr:cNvPr>
        <xdr:cNvSpPr txBox="1"/>
      </xdr:nvSpPr>
      <xdr:spPr>
        <a:xfrm>
          <a:off x="20094701" y="144010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799</xdr:row>
      <xdr:rowOff>145417</xdr:rowOff>
    </xdr:from>
    <xdr:to>
      <xdr:col>9</xdr:col>
      <xdr:colOff>150622</xdr:colOff>
      <xdr:row>800</xdr:row>
      <xdr:rowOff>132087</xdr:rowOff>
    </xdr:to>
    <xdr:sp macro="_xll.PtreeEvent_ObjectClick" textlink="">
      <xdr:nvSpPr>
        <xdr:cNvPr id="1593" name="PTObj_DNode_1_396">
          <a:extLst>
            <a:ext uri="{FF2B5EF4-FFF2-40B4-BE49-F238E27FC236}">
              <a16:creationId xmlns:a16="http://schemas.microsoft.com/office/drawing/2014/main" id="{E9C28A5A-D36F-4FCA-BA16-82178D53D5EE}"/>
            </a:ext>
          </a:extLst>
        </xdr:cNvPr>
        <xdr:cNvSpPr/>
      </xdr:nvSpPr>
      <xdr:spPr>
        <a:xfrm>
          <a:off x="16969867" y="144744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799</xdr:row>
      <xdr:rowOff>144641</xdr:rowOff>
    </xdr:from>
    <xdr:ext cx="568424" cy="180627"/>
    <xdr:sp macro="_xll.PtreeEvent_ObjectClick" textlink="">
      <xdr:nvSpPr>
        <xdr:cNvPr id="1596" name="PTObj_DBranchName_1_396">
          <a:extLst>
            <a:ext uri="{FF2B5EF4-FFF2-40B4-BE49-F238E27FC236}">
              <a16:creationId xmlns:a16="http://schemas.microsoft.com/office/drawing/2014/main" id="{C0BD31D1-FEEC-4638-ADE6-F9B814A5CE3F}"/>
            </a:ext>
          </a:extLst>
        </xdr:cNvPr>
        <xdr:cNvSpPr txBox="1"/>
      </xdr:nvSpPr>
      <xdr:spPr>
        <a:xfrm>
          <a:off x="15820834" y="1447436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801</xdr:row>
      <xdr:rowOff>149225</xdr:rowOff>
    </xdr:from>
    <xdr:to>
      <xdr:col>10</xdr:col>
      <xdr:colOff>135383</xdr:colOff>
      <xdr:row>802</xdr:row>
      <xdr:rowOff>151135</xdr:rowOff>
    </xdr:to>
    <xdr:sp macro="_xll.PtreeEvent_ObjectClick" textlink="">
      <xdr:nvSpPr>
        <xdr:cNvPr id="1597" name="PTObj_DNode_1_397">
          <a:extLst>
            <a:ext uri="{FF2B5EF4-FFF2-40B4-BE49-F238E27FC236}">
              <a16:creationId xmlns:a16="http://schemas.microsoft.com/office/drawing/2014/main" id="{DF014334-CD1B-4BEC-A9FE-67039F3730EF}"/>
            </a:ext>
          </a:extLst>
        </xdr:cNvPr>
        <xdr:cNvSpPr/>
      </xdr:nvSpPr>
      <xdr:spPr>
        <a:xfrm>
          <a:off x="18394807" y="145110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801</xdr:row>
      <xdr:rowOff>150354</xdr:rowOff>
    </xdr:from>
    <xdr:ext cx="514858" cy="180627"/>
    <xdr:sp macro="_xll.PtreeEvent_ObjectClick" textlink="">
      <xdr:nvSpPr>
        <xdr:cNvPr id="1600" name="PTObj_DBranchName_1_397">
          <a:extLst>
            <a:ext uri="{FF2B5EF4-FFF2-40B4-BE49-F238E27FC236}">
              <a16:creationId xmlns:a16="http://schemas.microsoft.com/office/drawing/2014/main" id="{1E313C35-EBEA-4EA4-BA39-180EBA48E4E7}"/>
            </a:ext>
          </a:extLst>
        </xdr:cNvPr>
        <xdr:cNvSpPr txBox="1"/>
      </xdr:nvSpPr>
      <xdr:spPr>
        <a:xfrm>
          <a:off x="17244820" y="1451113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803</xdr:row>
      <xdr:rowOff>153033</xdr:rowOff>
    </xdr:from>
    <xdr:to>
      <xdr:col>11</xdr:col>
      <xdr:colOff>131572</xdr:colOff>
      <xdr:row>804</xdr:row>
      <xdr:rowOff>154942</xdr:rowOff>
    </xdr:to>
    <xdr:sp macro="_xll.PtreeEvent_ObjectClick" textlink="">
      <xdr:nvSpPr>
        <xdr:cNvPr id="1601" name="PTObj_DNode_1_398">
          <a:extLst>
            <a:ext uri="{FF2B5EF4-FFF2-40B4-BE49-F238E27FC236}">
              <a16:creationId xmlns:a16="http://schemas.microsoft.com/office/drawing/2014/main" id="{BC00EAC0-24EC-4EB0-A123-91F076A8804F}"/>
            </a:ext>
          </a:extLst>
        </xdr:cNvPr>
        <xdr:cNvSpPr/>
      </xdr:nvSpPr>
      <xdr:spPr>
        <a:xfrm>
          <a:off x="19819747" y="145475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803</xdr:row>
      <xdr:rowOff>154161</xdr:rowOff>
    </xdr:from>
    <xdr:ext cx="514858" cy="180627"/>
    <xdr:sp macro="_xll.PtreeEvent_ObjectClick" textlink="">
      <xdr:nvSpPr>
        <xdr:cNvPr id="1604" name="PTObj_DBranchName_1_398">
          <a:extLst>
            <a:ext uri="{FF2B5EF4-FFF2-40B4-BE49-F238E27FC236}">
              <a16:creationId xmlns:a16="http://schemas.microsoft.com/office/drawing/2014/main" id="{37912BBF-B7D5-435B-ACBD-4D2C9E321432}"/>
            </a:ext>
          </a:extLst>
        </xdr:cNvPr>
        <xdr:cNvSpPr txBox="1"/>
      </xdr:nvSpPr>
      <xdr:spPr>
        <a:xfrm>
          <a:off x="18666904" y="145477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805</xdr:row>
      <xdr:rowOff>162558</xdr:rowOff>
    </xdr:from>
    <xdr:to>
      <xdr:col>12</xdr:col>
      <xdr:colOff>135385</xdr:colOff>
      <xdr:row>806</xdr:row>
      <xdr:rowOff>168273</xdr:rowOff>
    </xdr:to>
    <xdr:sp macro="_xll.PtreeEvent_ObjectClick" textlink="">
      <xdr:nvSpPr>
        <xdr:cNvPr id="1605" name="PTObj_DNode_1_399">
          <a:extLst>
            <a:ext uri="{FF2B5EF4-FFF2-40B4-BE49-F238E27FC236}">
              <a16:creationId xmlns:a16="http://schemas.microsoft.com/office/drawing/2014/main" id="{6C819419-48C6-485A-88BA-CFFC2F5C3E20}"/>
            </a:ext>
          </a:extLst>
        </xdr:cNvPr>
        <xdr:cNvSpPr/>
      </xdr:nvSpPr>
      <xdr:spPr>
        <a:xfrm rot="-5400000">
          <a:off x="21248498" y="1458436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805</xdr:row>
      <xdr:rowOff>159874</xdr:rowOff>
    </xdr:from>
    <xdr:ext cx="514858" cy="180627"/>
    <xdr:sp macro="_xll.PtreeEvent_ObjectClick" textlink="">
      <xdr:nvSpPr>
        <xdr:cNvPr id="1608" name="PTObj_DBranchName_1_399">
          <a:extLst>
            <a:ext uri="{FF2B5EF4-FFF2-40B4-BE49-F238E27FC236}">
              <a16:creationId xmlns:a16="http://schemas.microsoft.com/office/drawing/2014/main" id="{FC77F3F4-8894-4C03-80AE-54EDFDB35284}"/>
            </a:ext>
          </a:extLst>
        </xdr:cNvPr>
        <xdr:cNvSpPr txBox="1"/>
      </xdr:nvSpPr>
      <xdr:spPr>
        <a:xfrm>
          <a:off x="20094701" y="1458447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1411732</xdr:colOff>
      <xdr:row>888</xdr:row>
      <xdr:rowOff>132085</xdr:rowOff>
    </xdr:from>
    <xdr:to>
      <xdr:col>5</xdr:col>
      <xdr:colOff>173482</xdr:colOff>
      <xdr:row>889</xdr:row>
      <xdr:rowOff>133995</xdr:rowOff>
    </xdr:to>
    <xdr:sp macro="_xll.PtreeEvent_ObjectClick" textlink="">
      <xdr:nvSpPr>
        <xdr:cNvPr id="1609" name="PTObj_DNode_1_440">
          <a:extLst>
            <a:ext uri="{FF2B5EF4-FFF2-40B4-BE49-F238E27FC236}">
              <a16:creationId xmlns:a16="http://schemas.microsoft.com/office/drawing/2014/main" id="{99AF11BB-6964-4B24-8D2A-CFF0F47E718D}"/>
            </a:ext>
          </a:extLst>
        </xdr:cNvPr>
        <xdr:cNvSpPr/>
      </xdr:nvSpPr>
      <xdr:spPr>
        <a:xfrm>
          <a:off x="11270107" y="16083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888</xdr:row>
      <xdr:rowOff>137011</xdr:rowOff>
    </xdr:from>
    <xdr:ext cx="566520" cy="180627"/>
    <xdr:sp macro="_xll.PtreeEvent_ObjectClick" textlink="">
      <xdr:nvSpPr>
        <xdr:cNvPr id="1612" name="PTObj_DBranchName_1_440">
          <a:extLst>
            <a:ext uri="{FF2B5EF4-FFF2-40B4-BE49-F238E27FC236}">
              <a16:creationId xmlns:a16="http://schemas.microsoft.com/office/drawing/2014/main" id="{6F0B588C-A209-450F-85FC-71627ACFD5BF}"/>
            </a:ext>
          </a:extLst>
        </xdr:cNvPr>
        <xdr:cNvSpPr txBox="1"/>
      </xdr:nvSpPr>
      <xdr:spPr>
        <a:xfrm>
          <a:off x="10124885" y="160842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1407922</xdr:colOff>
      <xdr:row>848</xdr:row>
      <xdr:rowOff>55885</xdr:rowOff>
    </xdr:from>
    <xdr:to>
      <xdr:col>6</xdr:col>
      <xdr:colOff>171577</xdr:colOff>
      <xdr:row>849</xdr:row>
      <xdr:rowOff>53985</xdr:rowOff>
    </xdr:to>
    <xdr:sp macro="_xll.PtreeEvent_ObjectClick" textlink="">
      <xdr:nvSpPr>
        <xdr:cNvPr id="1613" name="PTObj_DNode_1_420">
          <a:extLst>
            <a:ext uri="{FF2B5EF4-FFF2-40B4-BE49-F238E27FC236}">
              <a16:creationId xmlns:a16="http://schemas.microsoft.com/office/drawing/2014/main" id="{ED2E91AE-FF24-430E-BC37-74BB7A8B92EF}"/>
            </a:ext>
          </a:extLst>
        </xdr:cNvPr>
        <xdr:cNvSpPr/>
      </xdr:nvSpPr>
      <xdr:spPr>
        <a:xfrm>
          <a:off x="12695047" y="153522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848</xdr:row>
      <xdr:rowOff>60811</xdr:rowOff>
    </xdr:from>
    <xdr:ext cx="568424" cy="180627"/>
    <xdr:sp macro="_xll.PtreeEvent_ObjectClick" textlink="">
      <xdr:nvSpPr>
        <xdr:cNvPr id="1616" name="PTObj_DBranchName_1_420">
          <a:extLst>
            <a:ext uri="{FF2B5EF4-FFF2-40B4-BE49-F238E27FC236}">
              <a16:creationId xmlns:a16="http://schemas.microsoft.com/office/drawing/2014/main" id="{AC903A7F-6EA2-4169-BE9F-61E87EC5A2F8}"/>
            </a:ext>
          </a:extLst>
        </xdr:cNvPr>
        <xdr:cNvSpPr txBox="1"/>
      </xdr:nvSpPr>
      <xdr:spPr>
        <a:xfrm>
          <a:off x="11548872" y="15352761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828</xdr:row>
      <xdr:rowOff>17785</xdr:rowOff>
    </xdr:from>
    <xdr:to>
      <xdr:col>7</xdr:col>
      <xdr:colOff>167768</xdr:colOff>
      <xdr:row>829</xdr:row>
      <xdr:rowOff>19695</xdr:rowOff>
    </xdr:to>
    <xdr:sp macro="_xll.PtreeEvent_ObjectClick" textlink="">
      <xdr:nvSpPr>
        <xdr:cNvPr id="1617" name="PTObj_DNode_1_410">
          <a:extLst>
            <a:ext uri="{FF2B5EF4-FFF2-40B4-BE49-F238E27FC236}">
              <a16:creationId xmlns:a16="http://schemas.microsoft.com/office/drawing/2014/main" id="{5A7ED70D-0EEF-4EFC-AFEF-2434A91ADB46}"/>
            </a:ext>
          </a:extLst>
        </xdr:cNvPr>
        <xdr:cNvSpPr/>
      </xdr:nvSpPr>
      <xdr:spPr>
        <a:xfrm>
          <a:off x="14119988" y="14986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828</xdr:row>
      <xdr:rowOff>22711</xdr:rowOff>
    </xdr:from>
    <xdr:ext cx="566520" cy="180627"/>
    <xdr:sp macro="_xll.PtreeEvent_ObjectClick" textlink="">
      <xdr:nvSpPr>
        <xdr:cNvPr id="1620" name="PTObj_DBranchName_1_410">
          <a:extLst>
            <a:ext uri="{FF2B5EF4-FFF2-40B4-BE49-F238E27FC236}">
              <a16:creationId xmlns:a16="http://schemas.microsoft.com/office/drawing/2014/main" id="{010AC4D9-EE3E-4B50-8FCB-BD985A7EF759}"/>
            </a:ext>
          </a:extLst>
        </xdr:cNvPr>
        <xdr:cNvSpPr txBox="1"/>
      </xdr:nvSpPr>
      <xdr:spPr>
        <a:xfrm>
          <a:off x="12976669" y="1498700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817</xdr:row>
      <xdr:rowOff>179710</xdr:rowOff>
    </xdr:from>
    <xdr:to>
      <xdr:col>8</xdr:col>
      <xdr:colOff>154432</xdr:colOff>
      <xdr:row>819</xdr:row>
      <xdr:rowOff>645</xdr:rowOff>
    </xdr:to>
    <xdr:sp macro="_xll.PtreeEvent_ObjectClick" textlink="">
      <xdr:nvSpPr>
        <xdr:cNvPr id="1621" name="PTObj_DNode_1_405">
          <a:extLst>
            <a:ext uri="{FF2B5EF4-FFF2-40B4-BE49-F238E27FC236}">
              <a16:creationId xmlns:a16="http://schemas.microsoft.com/office/drawing/2014/main" id="{6C535BD7-54BD-4F2F-AD25-7F9BCFA65B49}"/>
            </a:ext>
          </a:extLst>
        </xdr:cNvPr>
        <xdr:cNvSpPr/>
      </xdr:nvSpPr>
      <xdr:spPr>
        <a:xfrm>
          <a:off x="15544927" y="148036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817</xdr:row>
      <xdr:rowOff>178921</xdr:rowOff>
    </xdr:from>
    <xdr:ext cx="566519" cy="180627"/>
    <xdr:sp macro="_xll.PtreeEvent_ObjectClick" textlink="">
      <xdr:nvSpPr>
        <xdr:cNvPr id="1624" name="PTObj_DBranchName_1_405">
          <a:extLst>
            <a:ext uri="{FF2B5EF4-FFF2-40B4-BE49-F238E27FC236}">
              <a16:creationId xmlns:a16="http://schemas.microsoft.com/office/drawing/2014/main" id="{59398F37-F29D-4FAF-880B-81AD3BC10FB7}"/>
            </a:ext>
          </a:extLst>
        </xdr:cNvPr>
        <xdr:cNvSpPr txBox="1"/>
      </xdr:nvSpPr>
      <xdr:spPr>
        <a:xfrm>
          <a:off x="14398752" y="14803549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809</xdr:row>
      <xdr:rowOff>164467</xdr:rowOff>
    </xdr:from>
    <xdr:to>
      <xdr:col>9</xdr:col>
      <xdr:colOff>150622</xdr:colOff>
      <xdr:row>810</xdr:row>
      <xdr:rowOff>173997</xdr:rowOff>
    </xdr:to>
    <xdr:sp macro="_xll.PtreeEvent_ObjectClick" textlink="">
      <xdr:nvSpPr>
        <xdr:cNvPr id="1625" name="PTObj_DNode_1_401">
          <a:extLst>
            <a:ext uri="{FF2B5EF4-FFF2-40B4-BE49-F238E27FC236}">
              <a16:creationId xmlns:a16="http://schemas.microsoft.com/office/drawing/2014/main" id="{69D5A174-80CF-45DC-8685-6CD40D14AA9A}"/>
            </a:ext>
          </a:extLst>
        </xdr:cNvPr>
        <xdr:cNvSpPr/>
      </xdr:nvSpPr>
      <xdr:spPr>
        <a:xfrm>
          <a:off x="16969867" y="146573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809</xdr:row>
      <xdr:rowOff>169406</xdr:rowOff>
    </xdr:from>
    <xdr:ext cx="568424" cy="180627"/>
    <xdr:sp macro="_xll.PtreeEvent_ObjectClick" textlink="">
      <xdr:nvSpPr>
        <xdr:cNvPr id="1628" name="PTObj_DBranchName_1_401">
          <a:extLst>
            <a:ext uri="{FF2B5EF4-FFF2-40B4-BE49-F238E27FC236}">
              <a16:creationId xmlns:a16="http://schemas.microsoft.com/office/drawing/2014/main" id="{98816C6A-C6D9-42DB-8AF3-54BD111E31A3}"/>
            </a:ext>
          </a:extLst>
        </xdr:cNvPr>
        <xdr:cNvSpPr txBox="1"/>
      </xdr:nvSpPr>
      <xdr:spPr>
        <a:xfrm>
          <a:off x="15820834" y="1465781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811</xdr:row>
      <xdr:rowOff>168275</xdr:rowOff>
    </xdr:from>
    <xdr:to>
      <xdr:col>10</xdr:col>
      <xdr:colOff>135383</xdr:colOff>
      <xdr:row>812</xdr:row>
      <xdr:rowOff>173995</xdr:rowOff>
    </xdr:to>
    <xdr:sp macro="_xll.PtreeEvent_ObjectClick" textlink="">
      <xdr:nvSpPr>
        <xdr:cNvPr id="1629" name="PTObj_DNode_1_402">
          <a:extLst>
            <a:ext uri="{FF2B5EF4-FFF2-40B4-BE49-F238E27FC236}">
              <a16:creationId xmlns:a16="http://schemas.microsoft.com/office/drawing/2014/main" id="{FC359740-D6FD-4A12-9FA5-2500E831D4BA}"/>
            </a:ext>
          </a:extLst>
        </xdr:cNvPr>
        <xdr:cNvSpPr/>
      </xdr:nvSpPr>
      <xdr:spPr>
        <a:xfrm>
          <a:off x="18394807" y="146939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811</xdr:row>
      <xdr:rowOff>173214</xdr:rowOff>
    </xdr:from>
    <xdr:ext cx="514858" cy="180627"/>
    <xdr:sp macro="_xll.PtreeEvent_ObjectClick" textlink="">
      <xdr:nvSpPr>
        <xdr:cNvPr id="1632" name="PTObj_DBranchName_1_402">
          <a:extLst>
            <a:ext uri="{FF2B5EF4-FFF2-40B4-BE49-F238E27FC236}">
              <a16:creationId xmlns:a16="http://schemas.microsoft.com/office/drawing/2014/main" id="{8A1DEDD8-05A4-40FA-970B-047B095D207D}"/>
            </a:ext>
          </a:extLst>
        </xdr:cNvPr>
        <xdr:cNvSpPr txBox="1"/>
      </xdr:nvSpPr>
      <xdr:spPr>
        <a:xfrm>
          <a:off x="17244820" y="146943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813</xdr:row>
      <xdr:rowOff>172083</xdr:rowOff>
    </xdr:from>
    <xdr:to>
      <xdr:col>11</xdr:col>
      <xdr:colOff>131572</xdr:colOff>
      <xdr:row>814</xdr:row>
      <xdr:rowOff>173992</xdr:rowOff>
    </xdr:to>
    <xdr:sp macro="_xll.PtreeEvent_ObjectClick" textlink="">
      <xdr:nvSpPr>
        <xdr:cNvPr id="1633" name="PTObj_DNode_1_403">
          <a:extLst>
            <a:ext uri="{FF2B5EF4-FFF2-40B4-BE49-F238E27FC236}">
              <a16:creationId xmlns:a16="http://schemas.microsoft.com/office/drawing/2014/main" id="{68289C4F-EFD0-4911-A802-45F4DFB0CF43}"/>
            </a:ext>
          </a:extLst>
        </xdr:cNvPr>
        <xdr:cNvSpPr/>
      </xdr:nvSpPr>
      <xdr:spPr>
        <a:xfrm>
          <a:off x="19819747" y="147304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813</xdr:row>
      <xdr:rowOff>169401</xdr:rowOff>
    </xdr:from>
    <xdr:ext cx="514858" cy="180627"/>
    <xdr:sp macro="_xll.PtreeEvent_ObjectClick" textlink="">
      <xdr:nvSpPr>
        <xdr:cNvPr id="1636" name="PTObj_DBranchName_1_403">
          <a:extLst>
            <a:ext uri="{FF2B5EF4-FFF2-40B4-BE49-F238E27FC236}">
              <a16:creationId xmlns:a16="http://schemas.microsoft.com/office/drawing/2014/main" id="{1E338FA5-C920-43BA-B095-BFFCBB4F0D1C}"/>
            </a:ext>
          </a:extLst>
        </xdr:cNvPr>
        <xdr:cNvSpPr txBox="1"/>
      </xdr:nvSpPr>
      <xdr:spPr>
        <a:xfrm>
          <a:off x="18666904" y="147302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815</xdr:row>
      <xdr:rowOff>175893</xdr:rowOff>
    </xdr:from>
    <xdr:to>
      <xdr:col>12</xdr:col>
      <xdr:colOff>135385</xdr:colOff>
      <xdr:row>816</xdr:row>
      <xdr:rowOff>173988</xdr:rowOff>
    </xdr:to>
    <xdr:sp macro="_xll.PtreeEvent_ObjectClick" textlink="">
      <xdr:nvSpPr>
        <xdr:cNvPr id="1637" name="PTObj_DNode_1_404">
          <a:extLst>
            <a:ext uri="{FF2B5EF4-FFF2-40B4-BE49-F238E27FC236}">
              <a16:creationId xmlns:a16="http://schemas.microsoft.com/office/drawing/2014/main" id="{2E8C76C1-475A-4D0C-A9D8-248E0CE235BE}"/>
            </a:ext>
          </a:extLst>
        </xdr:cNvPr>
        <xdr:cNvSpPr/>
      </xdr:nvSpPr>
      <xdr:spPr>
        <a:xfrm rot="-5400000">
          <a:off x="21248498" y="1476667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815</xdr:row>
      <xdr:rowOff>173209</xdr:rowOff>
    </xdr:from>
    <xdr:ext cx="514858" cy="180627"/>
    <xdr:sp macro="_xll.PtreeEvent_ObjectClick" textlink="">
      <xdr:nvSpPr>
        <xdr:cNvPr id="1640" name="PTObj_DBranchName_1_404">
          <a:extLst>
            <a:ext uri="{FF2B5EF4-FFF2-40B4-BE49-F238E27FC236}">
              <a16:creationId xmlns:a16="http://schemas.microsoft.com/office/drawing/2014/main" id="{B34183DB-485A-4EFC-87C6-3F5F824FCB8C}"/>
            </a:ext>
          </a:extLst>
        </xdr:cNvPr>
        <xdr:cNvSpPr txBox="1"/>
      </xdr:nvSpPr>
      <xdr:spPr>
        <a:xfrm>
          <a:off x="20094701" y="147667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820</xdr:row>
      <xdr:rowOff>2542</xdr:rowOff>
    </xdr:from>
    <xdr:to>
      <xdr:col>9</xdr:col>
      <xdr:colOff>150622</xdr:colOff>
      <xdr:row>821</xdr:row>
      <xdr:rowOff>19692</xdr:rowOff>
    </xdr:to>
    <xdr:sp macro="_xll.PtreeEvent_ObjectClick" textlink="">
      <xdr:nvSpPr>
        <xdr:cNvPr id="1641" name="PTObj_DNode_1_406">
          <a:extLst>
            <a:ext uri="{FF2B5EF4-FFF2-40B4-BE49-F238E27FC236}">
              <a16:creationId xmlns:a16="http://schemas.microsoft.com/office/drawing/2014/main" id="{B9189278-02DB-4860-9F56-D73C3BF583B3}"/>
            </a:ext>
          </a:extLst>
        </xdr:cNvPr>
        <xdr:cNvSpPr/>
      </xdr:nvSpPr>
      <xdr:spPr>
        <a:xfrm>
          <a:off x="16969867" y="148402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820</xdr:row>
      <xdr:rowOff>3671</xdr:rowOff>
    </xdr:from>
    <xdr:ext cx="568424" cy="180627"/>
    <xdr:sp macro="_xll.PtreeEvent_ObjectClick" textlink="">
      <xdr:nvSpPr>
        <xdr:cNvPr id="1644" name="PTObj_DBranchName_1_406">
          <a:extLst>
            <a:ext uri="{FF2B5EF4-FFF2-40B4-BE49-F238E27FC236}">
              <a16:creationId xmlns:a16="http://schemas.microsoft.com/office/drawing/2014/main" id="{DCE1D0FD-737C-477A-9545-1EC84AFD5019}"/>
            </a:ext>
          </a:extLst>
        </xdr:cNvPr>
        <xdr:cNvSpPr txBox="1"/>
      </xdr:nvSpPr>
      <xdr:spPr>
        <a:xfrm>
          <a:off x="15820834" y="1484031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822</xdr:row>
      <xdr:rowOff>6350</xdr:rowOff>
    </xdr:from>
    <xdr:to>
      <xdr:col>10</xdr:col>
      <xdr:colOff>135383</xdr:colOff>
      <xdr:row>823</xdr:row>
      <xdr:rowOff>15880</xdr:rowOff>
    </xdr:to>
    <xdr:sp macro="_xll.PtreeEvent_ObjectClick" textlink="">
      <xdr:nvSpPr>
        <xdr:cNvPr id="1645" name="PTObj_DNode_1_407">
          <a:extLst>
            <a:ext uri="{FF2B5EF4-FFF2-40B4-BE49-F238E27FC236}">
              <a16:creationId xmlns:a16="http://schemas.microsoft.com/office/drawing/2014/main" id="{98360044-C6F0-4DF4-8247-7CCAEE6F63FE}"/>
            </a:ext>
          </a:extLst>
        </xdr:cNvPr>
        <xdr:cNvSpPr/>
      </xdr:nvSpPr>
      <xdr:spPr>
        <a:xfrm>
          <a:off x="18394807" y="148767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822</xdr:row>
      <xdr:rowOff>9384</xdr:rowOff>
    </xdr:from>
    <xdr:ext cx="514858" cy="180627"/>
    <xdr:sp macro="_xll.PtreeEvent_ObjectClick" textlink="">
      <xdr:nvSpPr>
        <xdr:cNvPr id="1648" name="PTObj_DBranchName_1_407">
          <a:extLst>
            <a:ext uri="{FF2B5EF4-FFF2-40B4-BE49-F238E27FC236}">
              <a16:creationId xmlns:a16="http://schemas.microsoft.com/office/drawing/2014/main" id="{7621DC22-88B7-4462-8772-E7CE85A9427B}"/>
            </a:ext>
          </a:extLst>
        </xdr:cNvPr>
        <xdr:cNvSpPr txBox="1"/>
      </xdr:nvSpPr>
      <xdr:spPr>
        <a:xfrm>
          <a:off x="17244820" y="148770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824</xdr:row>
      <xdr:rowOff>10158</xdr:rowOff>
    </xdr:from>
    <xdr:to>
      <xdr:col>11</xdr:col>
      <xdr:colOff>131572</xdr:colOff>
      <xdr:row>825</xdr:row>
      <xdr:rowOff>19687</xdr:rowOff>
    </xdr:to>
    <xdr:sp macro="_xll.PtreeEvent_ObjectClick" textlink="">
      <xdr:nvSpPr>
        <xdr:cNvPr id="1649" name="PTObj_DNode_1_408">
          <a:extLst>
            <a:ext uri="{FF2B5EF4-FFF2-40B4-BE49-F238E27FC236}">
              <a16:creationId xmlns:a16="http://schemas.microsoft.com/office/drawing/2014/main" id="{79ABAC60-B15B-4308-B100-D37E86137347}"/>
            </a:ext>
          </a:extLst>
        </xdr:cNvPr>
        <xdr:cNvSpPr/>
      </xdr:nvSpPr>
      <xdr:spPr>
        <a:xfrm>
          <a:off x="19819747" y="149133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824</xdr:row>
      <xdr:rowOff>13191</xdr:rowOff>
    </xdr:from>
    <xdr:ext cx="514858" cy="180627"/>
    <xdr:sp macro="_xll.PtreeEvent_ObjectClick" textlink="">
      <xdr:nvSpPr>
        <xdr:cNvPr id="1652" name="PTObj_DBranchName_1_408">
          <a:extLst>
            <a:ext uri="{FF2B5EF4-FFF2-40B4-BE49-F238E27FC236}">
              <a16:creationId xmlns:a16="http://schemas.microsoft.com/office/drawing/2014/main" id="{12BE4FD0-5656-4777-ABC6-C8592ADE74C2}"/>
            </a:ext>
          </a:extLst>
        </xdr:cNvPr>
        <xdr:cNvSpPr txBox="1"/>
      </xdr:nvSpPr>
      <xdr:spPr>
        <a:xfrm>
          <a:off x="18666904" y="149136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826</xdr:row>
      <xdr:rowOff>21588</xdr:rowOff>
    </xdr:from>
    <xdr:to>
      <xdr:col>12</xdr:col>
      <xdr:colOff>135385</xdr:colOff>
      <xdr:row>827</xdr:row>
      <xdr:rowOff>19683</xdr:rowOff>
    </xdr:to>
    <xdr:sp macro="_xll.PtreeEvent_ObjectClick" textlink="">
      <xdr:nvSpPr>
        <xdr:cNvPr id="1653" name="PTObj_DNode_1_409">
          <a:extLst>
            <a:ext uri="{FF2B5EF4-FFF2-40B4-BE49-F238E27FC236}">
              <a16:creationId xmlns:a16="http://schemas.microsoft.com/office/drawing/2014/main" id="{72D7CC71-8521-449A-859E-B080F2AAC556}"/>
            </a:ext>
          </a:extLst>
        </xdr:cNvPr>
        <xdr:cNvSpPr/>
      </xdr:nvSpPr>
      <xdr:spPr>
        <a:xfrm rot="-5400000">
          <a:off x="21248498" y="1495031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826</xdr:row>
      <xdr:rowOff>18904</xdr:rowOff>
    </xdr:from>
    <xdr:ext cx="514858" cy="180627"/>
    <xdr:sp macro="_xll.PtreeEvent_ObjectClick" textlink="">
      <xdr:nvSpPr>
        <xdr:cNvPr id="1656" name="PTObj_DBranchName_1_409">
          <a:extLst>
            <a:ext uri="{FF2B5EF4-FFF2-40B4-BE49-F238E27FC236}">
              <a16:creationId xmlns:a16="http://schemas.microsoft.com/office/drawing/2014/main" id="{B77B7ACF-EA67-4C59-9CB1-5DB092A37E8B}"/>
            </a:ext>
          </a:extLst>
        </xdr:cNvPr>
        <xdr:cNvSpPr txBox="1"/>
      </xdr:nvSpPr>
      <xdr:spPr>
        <a:xfrm>
          <a:off x="20094701" y="1495042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838</xdr:row>
      <xdr:rowOff>36835</xdr:rowOff>
    </xdr:from>
    <xdr:to>
      <xdr:col>8</xdr:col>
      <xdr:colOff>154432</xdr:colOff>
      <xdr:row>839</xdr:row>
      <xdr:rowOff>38745</xdr:rowOff>
    </xdr:to>
    <xdr:sp macro="_xll.PtreeEvent_ObjectClick" textlink="">
      <xdr:nvSpPr>
        <xdr:cNvPr id="1657" name="PTObj_DNode_1_415">
          <a:extLst>
            <a:ext uri="{FF2B5EF4-FFF2-40B4-BE49-F238E27FC236}">
              <a16:creationId xmlns:a16="http://schemas.microsoft.com/office/drawing/2014/main" id="{A947379C-46AC-4577-9836-18CCB993A0E3}"/>
            </a:ext>
          </a:extLst>
        </xdr:cNvPr>
        <xdr:cNvSpPr/>
      </xdr:nvSpPr>
      <xdr:spPr>
        <a:xfrm>
          <a:off x="15544927" y="15169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838</xdr:row>
      <xdr:rowOff>37951</xdr:rowOff>
    </xdr:from>
    <xdr:ext cx="568425" cy="180627"/>
    <xdr:sp macro="_xll.PtreeEvent_ObjectClick" textlink="">
      <xdr:nvSpPr>
        <xdr:cNvPr id="1660" name="PTObj_DBranchName_1_415">
          <a:extLst>
            <a:ext uri="{FF2B5EF4-FFF2-40B4-BE49-F238E27FC236}">
              <a16:creationId xmlns:a16="http://schemas.microsoft.com/office/drawing/2014/main" id="{A8E477FC-FD8B-40FE-82C5-6DA6D487460C}"/>
            </a:ext>
          </a:extLst>
        </xdr:cNvPr>
        <xdr:cNvSpPr txBox="1"/>
      </xdr:nvSpPr>
      <xdr:spPr>
        <a:xfrm>
          <a:off x="14400657" y="15169500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830</xdr:row>
      <xdr:rowOff>21592</xdr:rowOff>
    </xdr:from>
    <xdr:to>
      <xdr:col>9</xdr:col>
      <xdr:colOff>150622</xdr:colOff>
      <xdr:row>831</xdr:row>
      <xdr:rowOff>19692</xdr:rowOff>
    </xdr:to>
    <xdr:sp macro="_xll.PtreeEvent_ObjectClick" textlink="">
      <xdr:nvSpPr>
        <xdr:cNvPr id="1661" name="PTObj_DNode_1_411">
          <a:extLst>
            <a:ext uri="{FF2B5EF4-FFF2-40B4-BE49-F238E27FC236}">
              <a16:creationId xmlns:a16="http://schemas.microsoft.com/office/drawing/2014/main" id="{7E6BB5CA-C525-489C-A4C0-54D0DF2801DE}"/>
            </a:ext>
          </a:extLst>
        </xdr:cNvPr>
        <xdr:cNvSpPr/>
      </xdr:nvSpPr>
      <xdr:spPr>
        <a:xfrm>
          <a:off x="16969867" y="150230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830</xdr:row>
      <xdr:rowOff>18911</xdr:rowOff>
    </xdr:from>
    <xdr:ext cx="568424" cy="180627"/>
    <xdr:sp macro="_xll.PtreeEvent_ObjectClick" textlink="">
      <xdr:nvSpPr>
        <xdr:cNvPr id="1664" name="PTObj_DBranchName_1_411">
          <a:extLst>
            <a:ext uri="{FF2B5EF4-FFF2-40B4-BE49-F238E27FC236}">
              <a16:creationId xmlns:a16="http://schemas.microsoft.com/office/drawing/2014/main" id="{CE3E4C3F-63A6-4347-8825-18DDCDCA5A1C}"/>
            </a:ext>
          </a:extLst>
        </xdr:cNvPr>
        <xdr:cNvSpPr txBox="1"/>
      </xdr:nvSpPr>
      <xdr:spPr>
        <a:xfrm>
          <a:off x="15820834" y="1502281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832</xdr:row>
      <xdr:rowOff>25400</xdr:rowOff>
    </xdr:from>
    <xdr:to>
      <xdr:col>10</xdr:col>
      <xdr:colOff>131573</xdr:colOff>
      <xdr:row>833</xdr:row>
      <xdr:rowOff>21595</xdr:rowOff>
    </xdr:to>
    <xdr:sp macro="_xll.PtreeEvent_ObjectClick" textlink="">
      <xdr:nvSpPr>
        <xdr:cNvPr id="1665" name="PTObj_DNode_1_412">
          <a:extLst>
            <a:ext uri="{FF2B5EF4-FFF2-40B4-BE49-F238E27FC236}">
              <a16:creationId xmlns:a16="http://schemas.microsoft.com/office/drawing/2014/main" id="{BE7DFCCD-6648-4D4F-B5EC-60C72004547F}"/>
            </a:ext>
          </a:extLst>
        </xdr:cNvPr>
        <xdr:cNvSpPr/>
      </xdr:nvSpPr>
      <xdr:spPr>
        <a:xfrm>
          <a:off x="18394807" y="150596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832</xdr:row>
      <xdr:rowOff>22719</xdr:rowOff>
    </xdr:from>
    <xdr:ext cx="514858" cy="180627"/>
    <xdr:sp macro="_xll.PtreeEvent_ObjectClick" textlink="">
      <xdr:nvSpPr>
        <xdr:cNvPr id="1668" name="PTObj_DBranchName_1_412">
          <a:extLst>
            <a:ext uri="{FF2B5EF4-FFF2-40B4-BE49-F238E27FC236}">
              <a16:creationId xmlns:a16="http://schemas.microsoft.com/office/drawing/2014/main" id="{1EE30294-CCA8-4811-AFA6-7D6B049561BE}"/>
            </a:ext>
          </a:extLst>
        </xdr:cNvPr>
        <xdr:cNvSpPr txBox="1"/>
      </xdr:nvSpPr>
      <xdr:spPr>
        <a:xfrm>
          <a:off x="17244820" y="1505939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834</xdr:row>
      <xdr:rowOff>29208</xdr:rowOff>
    </xdr:from>
    <xdr:to>
      <xdr:col>11</xdr:col>
      <xdr:colOff>135382</xdr:colOff>
      <xdr:row>835</xdr:row>
      <xdr:rowOff>17782</xdr:rowOff>
    </xdr:to>
    <xdr:sp macro="_xll.PtreeEvent_ObjectClick" textlink="">
      <xdr:nvSpPr>
        <xdr:cNvPr id="1669" name="PTObj_DNode_1_413">
          <a:extLst>
            <a:ext uri="{FF2B5EF4-FFF2-40B4-BE49-F238E27FC236}">
              <a16:creationId xmlns:a16="http://schemas.microsoft.com/office/drawing/2014/main" id="{6A74A2F2-F70F-4FAA-B4C1-7CD16CAAEFAB}"/>
            </a:ext>
          </a:extLst>
        </xdr:cNvPr>
        <xdr:cNvSpPr/>
      </xdr:nvSpPr>
      <xdr:spPr>
        <a:xfrm>
          <a:off x="19819747" y="150962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834</xdr:row>
      <xdr:rowOff>28431</xdr:rowOff>
    </xdr:from>
    <xdr:ext cx="514858" cy="180627"/>
    <xdr:sp macro="_xll.PtreeEvent_ObjectClick" textlink="">
      <xdr:nvSpPr>
        <xdr:cNvPr id="1672" name="PTObj_DBranchName_1_413">
          <a:extLst>
            <a:ext uri="{FF2B5EF4-FFF2-40B4-BE49-F238E27FC236}">
              <a16:creationId xmlns:a16="http://schemas.microsoft.com/office/drawing/2014/main" id="{D4C7A998-870F-406F-93C5-D63BEC3F03D0}"/>
            </a:ext>
          </a:extLst>
        </xdr:cNvPr>
        <xdr:cNvSpPr txBox="1"/>
      </xdr:nvSpPr>
      <xdr:spPr>
        <a:xfrm>
          <a:off x="18666904" y="150961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836</xdr:row>
      <xdr:rowOff>35875</xdr:rowOff>
    </xdr:from>
    <xdr:to>
      <xdr:col>12</xdr:col>
      <xdr:colOff>132528</xdr:colOff>
      <xdr:row>837</xdr:row>
      <xdr:rowOff>18730</xdr:rowOff>
    </xdr:to>
    <xdr:sp macro="_xll.PtreeEvent_ObjectClick" textlink="">
      <xdr:nvSpPr>
        <xdr:cNvPr id="1673" name="PTObj_DNode_1_414">
          <a:extLst>
            <a:ext uri="{FF2B5EF4-FFF2-40B4-BE49-F238E27FC236}">
              <a16:creationId xmlns:a16="http://schemas.microsoft.com/office/drawing/2014/main" id="{6097103B-21DF-44E2-A083-3B9CE1D17AC9}"/>
            </a:ext>
          </a:extLst>
        </xdr:cNvPr>
        <xdr:cNvSpPr/>
      </xdr:nvSpPr>
      <xdr:spPr>
        <a:xfrm rot="-5400000">
          <a:off x="21248498" y="1513262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836</xdr:row>
      <xdr:rowOff>32239</xdr:rowOff>
    </xdr:from>
    <xdr:ext cx="514858" cy="180627"/>
    <xdr:sp macro="_xll.PtreeEvent_ObjectClick" textlink="">
      <xdr:nvSpPr>
        <xdr:cNvPr id="1676" name="PTObj_DBranchName_1_414">
          <a:extLst>
            <a:ext uri="{FF2B5EF4-FFF2-40B4-BE49-F238E27FC236}">
              <a16:creationId xmlns:a16="http://schemas.microsoft.com/office/drawing/2014/main" id="{7FD41D0F-4F54-4628-B523-0266D60F281F}"/>
            </a:ext>
          </a:extLst>
        </xdr:cNvPr>
        <xdr:cNvSpPr txBox="1"/>
      </xdr:nvSpPr>
      <xdr:spPr>
        <a:xfrm>
          <a:off x="20094701" y="151327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840</xdr:row>
      <xdr:rowOff>40642</xdr:rowOff>
    </xdr:from>
    <xdr:to>
      <xdr:col>9</xdr:col>
      <xdr:colOff>150622</xdr:colOff>
      <xdr:row>841</xdr:row>
      <xdr:rowOff>53982</xdr:rowOff>
    </xdr:to>
    <xdr:sp macro="_xll.PtreeEvent_ObjectClick" textlink="">
      <xdr:nvSpPr>
        <xdr:cNvPr id="1677" name="PTObj_DNode_1_416">
          <a:extLst>
            <a:ext uri="{FF2B5EF4-FFF2-40B4-BE49-F238E27FC236}">
              <a16:creationId xmlns:a16="http://schemas.microsoft.com/office/drawing/2014/main" id="{93EE0D01-9B31-45C5-A028-94DA8FFD92F2}"/>
            </a:ext>
          </a:extLst>
        </xdr:cNvPr>
        <xdr:cNvSpPr/>
      </xdr:nvSpPr>
      <xdr:spPr>
        <a:xfrm>
          <a:off x="16969867" y="152059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840</xdr:row>
      <xdr:rowOff>41771</xdr:rowOff>
    </xdr:from>
    <xdr:ext cx="568424" cy="180627"/>
    <xdr:sp macro="_xll.PtreeEvent_ObjectClick" textlink="">
      <xdr:nvSpPr>
        <xdr:cNvPr id="1680" name="PTObj_DBranchName_1_416">
          <a:extLst>
            <a:ext uri="{FF2B5EF4-FFF2-40B4-BE49-F238E27FC236}">
              <a16:creationId xmlns:a16="http://schemas.microsoft.com/office/drawing/2014/main" id="{64DD8BFF-741A-4693-8EA2-A734CEA19C0C}"/>
            </a:ext>
          </a:extLst>
        </xdr:cNvPr>
        <xdr:cNvSpPr txBox="1"/>
      </xdr:nvSpPr>
      <xdr:spPr>
        <a:xfrm>
          <a:off x="15820834" y="1520607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842</xdr:row>
      <xdr:rowOff>44450</xdr:rowOff>
    </xdr:from>
    <xdr:to>
      <xdr:col>10</xdr:col>
      <xdr:colOff>131573</xdr:colOff>
      <xdr:row>843</xdr:row>
      <xdr:rowOff>57790</xdr:rowOff>
    </xdr:to>
    <xdr:sp macro="_xll.PtreeEvent_ObjectClick" textlink="">
      <xdr:nvSpPr>
        <xdr:cNvPr id="1681" name="PTObj_DNode_1_417">
          <a:extLst>
            <a:ext uri="{FF2B5EF4-FFF2-40B4-BE49-F238E27FC236}">
              <a16:creationId xmlns:a16="http://schemas.microsoft.com/office/drawing/2014/main" id="{3EDD1AA2-BAA7-40D0-ADF6-6730E60890C5}"/>
            </a:ext>
          </a:extLst>
        </xdr:cNvPr>
        <xdr:cNvSpPr/>
      </xdr:nvSpPr>
      <xdr:spPr>
        <a:xfrm>
          <a:off x="18394807" y="152425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842</xdr:row>
      <xdr:rowOff>47484</xdr:rowOff>
    </xdr:from>
    <xdr:ext cx="514858" cy="180627"/>
    <xdr:sp macro="_xll.PtreeEvent_ObjectClick" textlink="">
      <xdr:nvSpPr>
        <xdr:cNvPr id="1684" name="PTObj_DBranchName_1_417">
          <a:extLst>
            <a:ext uri="{FF2B5EF4-FFF2-40B4-BE49-F238E27FC236}">
              <a16:creationId xmlns:a16="http://schemas.microsoft.com/office/drawing/2014/main" id="{7348C8A6-9862-4B16-A3BF-B1BF96A55A28}"/>
            </a:ext>
          </a:extLst>
        </xdr:cNvPr>
        <xdr:cNvSpPr txBox="1"/>
      </xdr:nvSpPr>
      <xdr:spPr>
        <a:xfrm>
          <a:off x="17244820" y="152428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844</xdr:row>
      <xdr:rowOff>48258</xdr:rowOff>
    </xdr:from>
    <xdr:to>
      <xdr:col>11</xdr:col>
      <xdr:colOff>135382</xdr:colOff>
      <xdr:row>845</xdr:row>
      <xdr:rowOff>53977</xdr:rowOff>
    </xdr:to>
    <xdr:sp macro="_xll.PtreeEvent_ObjectClick" textlink="">
      <xdr:nvSpPr>
        <xdr:cNvPr id="1685" name="PTObj_DNode_1_418">
          <a:extLst>
            <a:ext uri="{FF2B5EF4-FFF2-40B4-BE49-F238E27FC236}">
              <a16:creationId xmlns:a16="http://schemas.microsoft.com/office/drawing/2014/main" id="{4B15AC09-D081-4214-B014-5B88DB4C518E}"/>
            </a:ext>
          </a:extLst>
        </xdr:cNvPr>
        <xdr:cNvSpPr/>
      </xdr:nvSpPr>
      <xdr:spPr>
        <a:xfrm>
          <a:off x="19819747" y="152791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844</xdr:row>
      <xdr:rowOff>51291</xdr:rowOff>
    </xdr:from>
    <xdr:ext cx="514858" cy="180627"/>
    <xdr:sp macro="_xll.PtreeEvent_ObjectClick" textlink="">
      <xdr:nvSpPr>
        <xdr:cNvPr id="1688" name="PTObj_DBranchName_1_418">
          <a:extLst>
            <a:ext uri="{FF2B5EF4-FFF2-40B4-BE49-F238E27FC236}">
              <a16:creationId xmlns:a16="http://schemas.microsoft.com/office/drawing/2014/main" id="{D858990F-DB22-40ED-BCFB-0CE3A5539DD1}"/>
            </a:ext>
          </a:extLst>
        </xdr:cNvPr>
        <xdr:cNvSpPr txBox="1"/>
      </xdr:nvSpPr>
      <xdr:spPr>
        <a:xfrm>
          <a:off x="18666904" y="152794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846</xdr:row>
      <xdr:rowOff>59688</xdr:rowOff>
    </xdr:from>
    <xdr:to>
      <xdr:col>12</xdr:col>
      <xdr:colOff>131575</xdr:colOff>
      <xdr:row>847</xdr:row>
      <xdr:rowOff>53973</xdr:rowOff>
    </xdr:to>
    <xdr:sp macro="_xll.PtreeEvent_ObjectClick" textlink="">
      <xdr:nvSpPr>
        <xdr:cNvPr id="1689" name="PTObj_DNode_1_419">
          <a:extLst>
            <a:ext uri="{FF2B5EF4-FFF2-40B4-BE49-F238E27FC236}">
              <a16:creationId xmlns:a16="http://schemas.microsoft.com/office/drawing/2014/main" id="{4B8F7186-2635-4EC6-84FB-DC7B62C14C26}"/>
            </a:ext>
          </a:extLst>
        </xdr:cNvPr>
        <xdr:cNvSpPr/>
      </xdr:nvSpPr>
      <xdr:spPr>
        <a:xfrm rot="-5400000">
          <a:off x="21248498" y="1531607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846</xdr:row>
      <xdr:rowOff>57004</xdr:rowOff>
    </xdr:from>
    <xdr:ext cx="514858" cy="180627"/>
    <xdr:sp macro="_xll.PtreeEvent_ObjectClick" textlink="">
      <xdr:nvSpPr>
        <xdr:cNvPr id="1692" name="PTObj_DBranchName_1_419">
          <a:extLst>
            <a:ext uri="{FF2B5EF4-FFF2-40B4-BE49-F238E27FC236}">
              <a16:creationId xmlns:a16="http://schemas.microsoft.com/office/drawing/2014/main" id="{F76DC650-C117-4446-AF56-E20979A04DDD}"/>
            </a:ext>
          </a:extLst>
        </xdr:cNvPr>
        <xdr:cNvSpPr txBox="1"/>
      </xdr:nvSpPr>
      <xdr:spPr>
        <a:xfrm>
          <a:off x="20094701" y="1531618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868</xdr:row>
      <xdr:rowOff>93985</xdr:rowOff>
    </xdr:from>
    <xdr:to>
      <xdr:col>7</xdr:col>
      <xdr:colOff>171578</xdr:colOff>
      <xdr:row>869</xdr:row>
      <xdr:rowOff>92085</xdr:rowOff>
    </xdr:to>
    <xdr:sp macro="_xll.PtreeEvent_ObjectClick" textlink="">
      <xdr:nvSpPr>
        <xdr:cNvPr id="1693" name="PTObj_DNode_1_430">
          <a:extLst>
            <a:ext uri="{FF2B5EF4-FFF2-40B4-BE49-F238E27FC236}">
              <a16:creationId xmlns:a16="http://schemas.microsoft.com/office/drawing/2014/main" id="{3517BC9A-10CE-4A74-BC5E-0E96EBC4A6B3}"/>
            </a:ext>
          </a:extLst>
        </xdr:cNvPr>
        <xdr:cNvSpPr/>
      </xdr:nvSpPr>
      <xdr:spPr>
        <a:xfrm>
          <a:off x="14119988" y="157180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868</xdr:row>
      <xdr:rowOff>98911</xdr:rowOff>
    </xdr:from>
    <xdr:ext cx="566520" cy="180627"/>
    <xdr:sp macro="_xll.PtreeEvent_ObjectClick" textlink="">
      <xdr:nvSpPr>
        <xdr:cNvPr id="1696" name="PTObj_DBranchName_1_430">
          <a:extLst>
            <a:ext uri="{FF2B5EF4-FFF2-40B4-BE49-F238E27FC236}">
              <a16:creationId xmlns:a16="http://schemas.microsoft.com/office/drawing/2014/main" id="{89E5A41B-3AF6-442B-8DC2-4EDB876A417F}"/>
            </a:ext>
          </a:extLst>
        </xdr:cNvPr>
        <xdr:cNvSpPr txBox="1"/>
      </xdr:nvSpPr>
      <xdr:spPr>
        <a:xfrm>
          <a:off x="12974765" y="157185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858</xdr:row>
      <xdr:rowOff>74935</xdr:rowOff>
    </xdr:from>
    <xdr:to>
      <xdr:col>8</xdr:col>
      <xdr:colOff>154432</xdr:colOff>
      <xdr:row>859</xdr:row>
      <xdr:rowOff>76845</xdr:rowOff>
    </xdr:to>
    <xdr:sp macro="_xll.PtreeEvent_ObjectClick" textlink="">
      <xdr:nvSpPr>
        <xdr:cNvPr id="1697" name="PTObj_DNode_1_425">
          <a:extLst>
            <a:ext uri="{FF2B5EF4-FFF2-40B4-BE49-F238E27FC236}">
              <a16:creationId xmlns:a16="http://schemas.microsoft.com/office/drawing/2014/main" id="{8D792AFE-B0E1-4910-9F35-3222A282FC73}"/>
            </a:ext>
          </a:extLst>
        </xdr:cNvPr>
        <xdr:cNvSpPr/>
      </xdr:nvSpPr>
      <xdr:spPr>
        <a:xfrm>
          <a:off x="15544927" y="155351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858</xdr:row>
      <xdr:rowOff>76051</xdr:rowOff>
    </xdr:from>
    <xdr:ext cx="566519" cy="180627"/>
    <xdr:sp macro="_xll.PtreeEvent_ObjectClick" textlink="">
      <xdr:nvSpPr>
        <xdr:cNvPr id="1700" name="PTObj_DBranchName_1_425">
          <a:extLst>
            <a:ext uri="{FF2B5EF4-FFF2-40B4-BE49-F238E27FC236}">
              <a16:creationId xmlns:a16="http://schemas.microsoft.com/office/drawing/2014/main" id="{3C8CE707-D0F8-4190-AA4D-67154396FF2C}"/>
            </a:ext>
          </a:extLst>
        </xdr:cNvPr>
        <xdr:cNvSpPr txBox="1"/>
      </xdr:nvSpPr>
      <xdr:spPr>
        <a:xfrm>
          <a:off x="14398752" y="15535260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850</xdr:row>
      <xdr:rowOff>59692</xdr:rowOff>
    </xdr:from>
    <xdr:to>
      <xdr:col>9</xdr:col>
      <xdr:colOff>150622</xdr:colOff>
      <xdr:row>851</xdr:row>
      <xdr:rowOff>57792</xdr:rowOff>
    </xdr:to>
    <xdr:sp macro="_xll.PtreeEvent_ObjectClick" textlink="">
      <xdr:nvSpPr>
        <xdr:cNvPr id="1701" name="PTObj_DNode_1_421">
          <a:extLst>
            <a:ext uri="{FF2B5EF4-FFF2-40B4-BE49-F238E27FC236}">
              <a16:creationId xmlns:a16="http://schemas.microsoft.com/office/drawing/2014/main" id="{07C79B36-40CD-4B1C-969D-DA048F8CF3D2}"/>
            </a:ext>
          </a:extLst>
        </xdr:cNvPr>
        <xdr:cNvSpPr/>
      </xdr:nvSpPr>
      <xdr:spPr>
        <a:xfrm>
          <a:off x="16969867" y="153888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850</xdr:row>
      <xdr:rowOff>57011</xdr:rowOff>
    </xdr:from>
    <xdr:ext cx="568424" cy="180627"/>
    <xdr:sp macro="_xll.PtreeEvent_ObjectClick" textlink="">
      <xdr:nvSpPr>
        <xdr:cNvPr id="1704" name="PTObj_DBranchName_1_421">
          <a:extLst>
            <a:ext uri="{FF2B5EF4-FFF2-40B4-BE49-F238E27FC236}">
              <a16:creationId xmlns:a16="http://schemas.microsoft.com/office/drawing/2014/main" id="{CDC4CE02-B94E-4152-B673-978EA17C3B55}"/>
            </a:ext>
          </a:extLst>
        </xdr:cNvPr>
        <xdr:cNvSpPr txBox="1"/>
      </xdr:nvSpPr>
      <xdr:spPr>
        <a:xfrm>
          <a:off x="15820834" y="1538857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852</xdr:row>
      <xdr:rowOff>63500</xdr:rowOff>
    </xdr:from>
    <xdr:to>
      <xdr:col>10</xdr:col>
      <xdr:colOff>131573</xdr:colOff>
      <xdr:row>853</xdr:row>
      <xdr:rowOff>59695</xdr:rowOff>
    </xdr:to>
    <xdr:sp macro="_xll.PtreeEvent_ObjectClick" textlink="">
      <xdr:nvSpPr>
        <xdr:cNvPr id="1705" name="PTObj_DNode_1_422">
          <a:extLst>
            <a:ext uri="{FF2B5EF4-FFF2-40B4-BE49-F238E27FC236}">
              <a16:creationId xmlns:a16="http://schemas.microsoft.com/office/drawing/2014/main" id="{68F4A91C-B231-4C59-BC78-8214C2EF3621}"/>
            </a:ext>
          </a:extLst>
        </xdr:cNvPr>
        <xdr:cNvSpPr/>
      </xdr:nvSpPr>
      <xdr:spPr>
        <a:xfrm>
          <a:off x="18394807" y="154254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852</xdr:row>
      <xdr:rowOff>60819</xdr:rowOff>
    </xdr:from>
    <xdr:ext cx="514858" cy="180627"/>
    <xdr:sp macro="_xll.PtreeEvent_ObjectClick" textlink="">
      <xdr:nvSpPr>
        <xdr:cNvPr id="1708" name="PTObj_DBranchName_1_422">
          <a:extLst>
            <a:ext uri="{FF2B5EF4-FFF2-40B4-BE49-F238E27FC236}">
              <a16:creationId xmlns:a16="http://schemas.microsoft.com/office/drawing/2014/main" id="{1FF7E1ED-A0B9-4D23-9BE1-18CF5D65FE95}"/>
            </a:ext>
          </a:extLst>
        </xdr:cNvPr>
        <xdr:cNvSpPr txBox="1"/>
      </xdr:nvSpPr>
      <xdr:spPr>
        <a:xfrm>
          <a:off x="17244820" y="1542515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854</xdr:row>
      <xdr:rowOff>67308</xdr:rowOff>
    </xdr:from>
    <xdr:to>
      <xdr:col>11</xdr:col>
      <xdr:colOff>135382</xdr:colOff>
      <xdr:row>855</xdr:row>
      <xdr:rowOff>55882</xdr:rowOff>
    </xdr:to>
    <xdr:sp macro="_xll.PtreeEvent_ObjectClick" textlink="">
      <xdr:nvSpPr>
        <xdr:cNvPr id="1709" name="PTObj_DNode_1_423">
          <a:extLst>
            <a:ext uri="{FF2B5EF4-FFF2-40B4-BE49-F238E27FC236}">
              <a16:creationId xmlns:a16="http://schemas.microsoft.com/office/drawing/2014/main" id="{DAF5D675-9C51-4302-B3EC-AAD36A4AC052}"/>
            </a:ext>
          </a:extLst>
        </xdr:cNvPr>
        <xdr:cNvSpPr/>
      </xdr:nvSpPr>
      <xdr:spPr>
        <a:xfrm>
          <a:off x="19819747" y="154619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854</xdr:row>
      <xdr:rowOff>66531</xdr:rowOff>
    </xdr:from>
    <xdr:ext cx="514858" cy="180627"/>
    <xdr:sp macro="_xll.PtreeEvent_ObjectClick" textlink="">
      <xdr:nvSpPr>
        <xdr:cNvPr id="1712" name="PTObj_DBranchName_1_423">
          <a:extLst>
            <a:ext uri="{FF2B5EF4-FFF2-40B4-BE49-F238E27FC236}">
              <a16:creationId xmlns:a16="http://schemas.microsoft.com/office/drawing/2014/main" id="{49AFCFD0-A6B7-4024-803D-5A9E392ED22F}"/>
            </a:ext>
          </a:extLst>
        </xdr:cNvPr>
        <xdr:cNvSpPr txBox="1"/>
      </xdr:nvSpPr>
      <xdr:spPr>
        <a:xfrm>
          <a:off x="18666904" y="154619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856</xdr:row>
      <xdr:rowOff>73975</xdr:rowOff>
    </xdr:from>
    <xdr:to>
      <xdr:col>12</xdr:col>
      <xdr:colOff>132528</xdr:colOff>
      <xdr:row>857</xdr:row>
      <xdr:rowOff>56830</xdr:rowOff>
    </xdr:to>
    <xdr:sp macro="_xll.PtreeEvent_ObjectClick" textlink="">
      <xdr:nvSpPr>
        <xdr:cNvPr id="1713" name="PTObj_DNode_1_424">
          <a:extLst>
            <a:ext uri="{FF2B5EF4-FFF2-40B4-BE49-F238E27FC236}">
              <a16:creationId xmlns:a16="http://schemas.microsoft.com/office/drawing/2014/main" id="{E8D46B49-F068-4CCB-9DD7-61EF87815EFA}"/>
            </a:ext>
          </a:extLst>
        </xdr:cNvPr>
        <xdr:cNvSpPr/>
      </xdr:nvSpPr>
      <xdr:spPr>
        <a:xfrm rot="-5400000">
          <a:off x="21248498" y="1549838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856</xdr:row>
      <xdr:rowOff>70339</xdr:rowOff>
    </xdr:from>
    <xdr:ext cx="514858" cy="180627"/>
    <xdr:sp macro="_xll.PtreeEvent_ObjectClick" textlink="">
      <xdr:nvSpPr>
        <xdr:cNvPr id="1716" name="PTObj_DBranchName_1_424">
          <a:extLst>
            <a:ext uri="{FF2B5EF4-FFF2-40B4-BE49-F238E27FC236}">
              <a16:creationId xmlns:a16="http://schemas.microsoft.com/office/drawing/2014/main" id="{9F52D026-98A9-434E-9554-55FBA38B40E9}"/>
            </a:ext>
          </a:extLst>
        </xdr:cNvPr>
        <xdr:cNvSpPr txBox="1"/>
      </xdr:nvSpPr>
      <xdr:spPr>
        <a:xfrm>
          <a:off x="20094701" y="154984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860</xdr:row>
      <xdr:rowOff>78742</xdr:rowOff>
    </xdr:from>
    <xdr:to>
      <xdr:col>9</xdr:col>
      <xdr:colOff>150622</xdr:colOff>
      <xdr:row>861</xdr:row>
      <xdr:rowOff>92082</xdr:rowOff>
    </xdr:to>
    <xdr:sp macro="_xll.PtreeEvent_ObjectClick" textlink="">
      <xdr:nvSpPr>
        <xdr:cNvPr id="1717" name="PTObj_DNode_1_426">
          <a:extLst>
            <a:ext uri="{FF2B5EF4-FFF2-40B4-BE49-F238E27FC236}">
              <a16:creationId xmlns:a16="http://schemas.microsoft.com/office/drawing/2014/main" id="{3802ED91-AA87-4DA9-A53E-F46E9C144B34}"/>
            </a:ext>
          </a:extLst>
        </xdr:cNvPr>
        <xdr:cNvSpPr/>
      </xdr:nvSpPr>
      <xdr:spPr>
        <a:xfrm>
          <a:off x="16969867" y="155717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860</xdr:row>
      <xdr:rowOff>79871</xdr:rowOff>
    </xdr:from>
    <xdr:ext cx="568424" cy="180627"/>
    <xdr:sp macro="_xll.PtreeEvent_ObjectClick" textlink="">
      <xdr:nvSpPr>
        <xdr:cNvPr id="1720" name="PTObj_DBranchName_1_426">
          <a:extLst>
            <a:ext uri="{FF2B5EF4-FFF2-40B4-BE49-F238E27FC236}">
              <a16:creationId xmlns:a16="http://schemas.microsoft.com/office/drawing/2014/main" id="{9CDFF1E0-7110-4CC1-B81D-D6B95295124A}"/>
            </a:ext>
          </a:extLst>
        </xdr:cNvPr>
        <xdr:cNvSpPr txBox="1"/>
      </xdr:nvSpPr>
      <xdr:spPr>
        <a:xfrm>
          <a:off x="15820834" y="1557183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862</xdr:row>
      <xdr:rowOff>82550</xdr:rowOff>
    </xdr:from>
    <xdr:to>
      <xdr:col>10</xdr:col>
      <xdr:colOff>131573</xdr:colOff>
      <xdr:row>863</xdr:row>
      <xdr:rowOff>95890</xdr:rowOff>
    </xdr:to>
    <xdr:sp macro="_xll.PtreeEvent_ObjectClick" textlink="">
      <xdr:nvSpPr>
        <xdr:cNvPr id="1721" name="PTObj_DNode_1_427">
          <a:extLst>
            <a:ext uri="{FF2B5EF4-FFF2-40B4-BE49-F238E27FC236}">
              <a16:creationId xmlns:a16="http://schemas.microsoft.com/office/drawing/2014/main" id="{E6F03769-E34E-479C-B184-661A1F83B1AA}"/>
            </a:ext>
          </a:extLst>
        </xdr:cNvPr>
        <xdr:cNvSpPr/>
      </xdr:nvSpPr>
      <xdr:spPr>
        <a:xfrm>
          <a:off x="18394807" y="156083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862</xdr:row>
      <xdr:rowOff>85584</xdr:rowOff>
    </xdr:from>
    <xdr:ext cx="514858" cy="180627"/>
    <xdr:sp macro="_xll.PtreeEvent_ObjectClick" textlink="">
      <xdr:nvSpPr>
        <xdr:cNvPr id="1724" name="PTObj_DBranchName_1_427">
          <a:extLst>
            <a:ext uri="{FF2B5EF4-FFF2-40B4-BE49-F238E27FC236}">
              <a16:creationId xmlns:a16="http://schemas.microsoft.com/office/drawing/2014/main" id="{5FDEC629-DF07-42F9-9635-4135C4446046}"/>
            </a:ext>
          </a:extLst>
        </xdr:cNvPr>
        <xdr:cNvSpPr txBox="1"/>
      </xdr:nvSpPr>
      <xdr:spPr>
        <a:xfrm>
          <a:off x="17244820" y="156086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864</xdr:row>
      <xdr:rowOff>86358</xdr:rowOff>
    </xdr:from>
    <xdr:to>
      <xdr:col>11</xdr:col>
      <xdr:colOff>135382</xdr:colOff>
      <xdr:row>865</xdr:row>
      <xdr:rowOff>92077</xdr:rowOff>
    </xdr:to>
    <xdr:sp macro="_xll.PtreeEvent_ObjectClick" textlink="">
      <xdr:nvSpPr>
        <xdr:cNvPr id="1725" name="PTObj_DNode_1_428">
          <a:extLst>
            <a:ext uri="{FF2B5EF4-FFF2-40B4-BE49-F238E27FC236}">
              <a16:creationId xmlns:a16="http://schemas.microsoft.com/office/drawing/2014/main" id="{F38BFCB6-0160-4322-ACEC-9C5C69DEAC85}"/>
            </a:ext>
          </a:extLst>
        </xdr:cNvPr>
        <xdr:cNvSpPr/>
      </xdr:nvSpPr>
      <xdr:spPr>
        <a:xfrm>
          <a:off x="19819747" y="156448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864</xdr:row>
      <xdr:rowOff>89391</xdr:rowOff>
    </xdr:from>
    <xdr:ext cx="514858" cy="180627"/>
    <xdr:sp macro="_xll.PtreeEvent_ObjectClick" textlink="">
      <xdr:nvSpPr>
        <xdr:cNvPr id="1728" name="PTObj_DBranchName_1_428">
          <a:extLst>
            <a:ext uri="{FF2B5EF4-FFF2-40B4-BE49-F238E27FC236}">
              <a16:creationId xmlns:a16="http://schemas.microsoft.com/office/drawing/2014/main" id="{0700D57B-78F9-4B05-AA5A-A2858BC29726}"/>
            </a:ext>
          </a:extLst>
        </xdr:cNvPr>
        <xdr:cNvSpPr txBox="1"/>
      </xdr:nvSpPr>
      <xdr:spPr>
        <a:xfrm>
          <a:off x="18666904" y="156451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866</xdr:row>
      <xdr:rowOff>97788</xdr:rowOff>
    </xdr:from>
    <xdr:to>
      <xdr:col>12</xdr:col>
      <xdr:colOff>131575</xdr:colOff>
      <xdr:row>867</xdr:row>
      <xdr:rowOff>92073</xdr:rowOff>
    </xdr:to>
    <xdr:sp macro="_xll.PtreeEvent_ObjectClick" textlink="">
      <xdr:nvSpPr>
        <xdr:cNvPr id="1729" name="PTObj_DNode_1_429">
          <a:extLst>
            <a:ext uri="{FF2B5EF4-FFF2-40B4-BE49-F238E27FC236}">
              <a16:creationId xmlns:a16="http://schemas.microsoft.com/office/drawing/2014/main" id="{6598E839-85C2-48E1-AB8F-72F3FBF6F540}"/>
            </a:ext>
          </a:extLst>
        </xdr:cNvPr>
        <xdr:cNvSpPr/>
      </xdr:nvSpPr>
      <xdr:spPr>
        <a:xfrm rot="-5400000">
          <a:off x="21248498" y="1568183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866</xdr:row>
      <xdr:rowOff>95104</xdr:rowOff>
    </xdr:from>
    <xdr:ext cx="514858" cy="180627"/>
    <xdr:sp macro="_xll.PtreeEvent_ObjectClick" textlink="">
      <xdr:nvSpPr>
        <xdr:cNvPr id="1732" name="PTObj_DBranchName_1_429">
          <a:extLst>
            <a:ext uri="{FF2B5EF4-FFF2-40B4-BE49-F238E27FC236}">
              <a16:creationId xmlns:a16="http://schemas.microsoft.com/office/drawing/2014/main" id="{5F77B237-3FAC-4310-BD4A-D4441AC0F9EB}"/>
            </a:ext>
          </a:extLst>
        </xdr:cNvPr>
        <xdr:cNvSpPr txBox="1"/>
      </xdr:nvSpPr>
      <xdr:spPr>
        <a:xfrm>
          <a:off x="20094701" y="1568194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878</xdr:row>
      <xdr:rowOff>113035</xdr:rowOff>
    </xdr:from>
    <xdr:to>
      <xdr:col>8</xdr:col>
      <xdr:colOff>154432</xdr:colOff>
      <xdr:row>879</xdr:row>
      <xdr:rowOff>114945</xdr:rowOff>
    </xdr:to>
    <xdr:sp macro="_xll.PtreeEvent_ObjectClick" textlink="">
      <xdr:nvSpPr>
        <xdr:cNvPr id="1733" name="PTObj_DNode_1_435">
          <a:extLst>
            <a:ext uri="{FF2B5EF4-FFF2-40B4-BE49-F238E27FC236}">
              <a16:creationId xmlns:a16="http://schemas.microsoft.com/office/drawing/2014/main" id="{206F37C9-911D-4590-9439-0DFF31D26190}"/>
            </a:ext>
          </a:extLst>
        </xdr:cNvPr>
        <xdr:cNvSpPr/>
      </xdr:nvSpPr>
      <xdr:spPr>
        <a:xfrm>
          <a:off x="15544927" y="159009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878</xdr:row>
      <xdr:rowOff>114151</xdr:rowOff>
    </xdr:from>
    <xdr:ext cx="568425" cy="180627"/>
    <xdr:sp macro="_xll.PtreeEvent_ObjectClick" textlink="">
      <xdr:nvSpPr>
        <xdr:cNvPr id="1736" name="PTObj_DBranchName_1_435">
          <a:extLst>
            <a:ext uri="{FF2B5EF4-FFF2-40B4-BE49-F238E27FC236}">
              <a16:creationId xmlns:a16="http://schemas.microsoft.com/office/drawing/2014/main" id="{CCE7FC44-C918-45D1-B424-7D4C34458AE8}"/>
            </a:ext>
          </a:extLst>
        </xdr:cNvPr>
        <xdr:cNvSpPr txBox="1"/>
      </xdr:nvSpPr>
      <xdr:spPr>
        <a:xfrm>
          <a:off x="14400657" y="15901020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870</xdr:row>
      <xdr:rowOff>97792</xdr:rowOff>
    </xdr:from>
    <xdr:to>
      <xdr:col>9</xdr:col>
      <xdr:colOff>150622</xdr:colOff>
      <xdr:row>871</xdr:row>
      <xdr:rowOff>92082</xdr:rowOff>
    </xdr:to>
    <xdr:sp macro="_xll.PtreeEvent_ObjectClick" textlink="">
      <xdr:nvSpPr>
        <xdr:cNvPr id="1737" name="PTObj_DNode_1_431">
          <a:extLst>
            <a:ext uri="{FF2B5EF4-FFF2-40B4-BE49-F238E27FC236}">
              <a16:creationId xmlns:a16="http://schemas.microsoft.com/office/drawing/2014/main" id="{4302BD3E-4937-40F8-A976-06A714E3C8A3}"/>
            </a:ext>
          </a:extLst>
        </xdr:cNvPr>
        <xdr:cNvSpPr/>
      </xdr:nvSpPr>
      <xdr:spPr>
        <a:xfrm>
          <a:off x="16969867" y="157546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870</xdr:row>
      <xdr:rowOff>95111</xdr:rowOff>
    </xdr:from>
    <xdr:ext cx="568424" cy="180627"/>
    <xdr:sp macro="_xll.PtreeEvent_ObjectClick" textlink="">
      <xdr:nvSpPr>
        <xdr:cNvPr id="1740" name="PTObj_DBranchName_1_431">
          <a:extLst>
            <a:ext uri="{FF2B5EF4-FFF2-40B4-BE49-F238E27FC236}">
              <a16:creationId xmlns:a16="http://schemas.microsoft.com/office/drawing/2014/main" id="{D8EB344D-48B7-44DC-AB90-96FB6323B237}"/>
            </a:ext>
          </a:extLst>
        </xdr:cNvPr>
        <xdr:cNvSpPr txBox="1"/>
      </xdr:nvSpPr>
      <xdr:spPr>
        <a:xfrm>
          <a:off x="15820834" y="1575433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872</xdr:row>
      <xdr:rowOff>101600</xdr:rowOff>
    </xdr:from>
    <xdr:to>
      <xdr:col>10</xdr:col>
      <xdr:colOff>135383</xdr:colOff>
      <xdr:row>873</xdr:row>
      <xdr:rowOff>93985</xdr:rowOff>
    </xdr:to>
    <xdr:sp macro="_xll.PtreeEvent_ObjectClick" textlink="">
      <xdr:nvSpPr>
        <xdr:cNvPr id="1741" name="PTObj_DNode_1_432">
          <a:extLst>
            <a:ext uri="{FF2B5EF4-FFF2-40B4-BE49-F238E27FC236}">
              <a16:creationId xmlns:a16="http://schemas.microsoft.com/office/drawing/2014/main" id="{5263604E-630D-4FB9-AE52-E9EF9855FF5E}"/>
            </a:ext>
          </a:extLst>
        </xdr:cNvPr>
        <xdr:cNvSpPr/>
      </xdr:nvSpPr>
      <xdr:spPr>
        <a:xfrm>
          <a:off x="18394807" y="157911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872</xdr:row>
      <xdr:rowOff>98919</xdr:rowOff>
    </xdr:from>
    <xdr:ext cx="514858" cy="180627"/>
    <xdr:sp macro="_xll.PtreeEvent_ObjectClick" textlink="">
      <xdr:nvSpPr>
        <xdr:cNvPr id="1744" name="PTObj_DBranchName_1_432">
          <a:extLst>
            <a:ext uri="{FF2B5EF4-FFF2-40B4-BE49-F238E27FC236}">
              <a16:creationId xmlns:a16="http://schemas.microsoft.com/office/drawing/2014/main" id="{DA9A7B67-C237-4064-9793-C573116C0191}"/>
            </a:ext>
          </a:extLst>
        </xdr:cNvPr>
        <xdr:cNvSpPr txBox="1"/>
      </xdr:nvSpPr>
      <xdr:spPr>
        <a:xfrm>
          <a:off x="17244820" y="1579091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874</xdr:row>
      <xdr:rowOff>105408</xdr:rowOff>
    </xdr:from>
    <xdr:to>
      <xdr:col>11</xdr:col>
      <xdr:colOff>131572</xdr:colOff>
      <xdr:row>875</xdr:row>
      <xdr:rowOff>97792</xdr:rowOff>
    </xdr:to>
    <xdr:sp macro="_xll.PtreeEvent_ObjectClick" textlink="">
      <xdr:nvSpPr>
        <xdr:cNvPr id="1745" name="PTObj_DNode_1_433">
          <a:extLst>
            <a:ext uri="{FF2B5EF4-FFF2-40B4-BE49-F238E27FC236}">
              <a16:creationId xmlns:a16="http://schemas.microsoft.com/office/drawing/2014/main" id="{15675C6E-1DB2-48A1-8C7E-55CDD335CD48}"/>
            </a:ext>
          </a:extLst>
        </xdr:cNvPr>
        <xdr:cNvSpPr/>
      </xdr:nvSpPr>
      <xdr:spPr>
        <a:xfrm>
          <a:off x="19819747" y="158277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874</xdr:row>
      <xdr:rowOff>104631</xdr:rowOff>
    </xdr:from>
    <xdr:ext cx="514858" cy="180627"/>
    <xdr:sp macro="_xll.PtreeEvent_ObjectClick" textlink="">
      <xdr:nvSpPr>
        <xdr:cNvPr id="1748" name="PTObj_DBranchName_1_433">
          <a:extLst>
            <a:ext uri="{FF2B5EF4-FFF2-40B4-BE49-F238E27FC236}">
              <a16:creationId xmlns:a16="http://schemas.microsoft.com/office/drawing/2014/main" id="{63D962C5-583C-456D-9ED4-980CE8BEBEE4}"/>
            </a:ext>
          </a:extLst>
        </xdr:cNvPr>
        <xdr:cNvSpPr txBox="1"/>
      </xdr:nvSpPr>
      <xdr:spPr>
        <a:xfrm>
          <a:off x="18666904" y="158276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876</xdr:row>
      <xdr:rowOff>112075</xdr:rowOff>
    </xdr:from>
    <xdr:to>
      <xdr:col>12</xdr:col>
      <xdr:colOff>136338</xdr:colOff>
      <xdr:row>877</xdr:row>
      <xdr:rowOff>98740</xdr:rowOff>
    </xdr:to>
    <xdr:sp macro="_xll.PtreeEvent_ObjectClick" textlink="">
      <xdr:nvSpPr>
        <xdr:cNvPr id="1749" name="PTObj_DNode_1_434">
          <a:extLst>
            <a:ext uri="{FF2B5EF4-FFF2-40B4-BE49-F238E27FC236}">
              <a16:creationId xmlns:a16="http://schemas.microsoft.com/office/drawing/2014/main" id="{26EF9F0E-E6D2-4610-9FEE-50F24EA31F18}"/>
            </a:ext>
          </a:extLst>
        </xdr:cNvPr>
        <xdr:cNvSpPr/>
      </xdr:nvSpPr>
      <xdr:spPr>
        <a:xfrm rot="-5400000">
          <a:off x="21248498" y="1586414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876</xdr:row>
      <xdr:rowOff>108439</xdr:rowOff>
    </xdr:from>
    <xdr:ext cx="514858" cy="180627"/>
    <xdr:sp macro="_xll.PtreeEvent_ObjectClick" textlink="">
      <xdr:nvSpPr>
        <xdr:cNvPr id="1752" name="PTObj_DBranchName_1_434">
          <a:extLst>
            <a:ext uri="{FF2B5EF4-FFF2-40B4-BE49-F238E27FC236}">
              <a16:creationId xmlns:a16="http://schemas.microsoft.com/office/drawing/2014/main" id="{9CA39D80-016C-401E-8BBB-671297C45709}"/>
            </a:ext>
          </a:extLst>
        </xdr:cNvPr>
        <xdr:cNvSpPr txBox="1"/>
      </xdr:nvSpPr>
      <xdr:spPr>
        <a:xfrm>
          <a:off x="20094701" y="158642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880</xdr:row>
      <xdr:rowOff>116842</xdr:rowOff>
    </xdr:from>
    <xdr:to>
      <xdr:col>9</xdr:col>
      <xdr:colOff>150622</xdr:colOff>
      <xdr:row>881</xdr:row>
      <xdr:rowOff>133992</xdr:rowOff>
    </xdr:to>
    <xdr:sp macro="_xll.PtreeEvent_ObjectClick" textlink="">
      <xdr:nvSpPr>
        <xdr:cNvPr id="1753" name="PTObj_DNode_1_436">
          <a:extLst>
            <a:ext uri="{FF2B5EF4-FFF2-40B4-BE49-F238E27FC236}">
              <a16:creationId xmlns:a16="http://schemas.microsoft.com/office/drawing/2014/main" id="{A4F4717A-BB6B-46F5-BE46-398640BEEDB5}"/>
            </a:ext>
          </a:extLst>
        </xdr:cNvPr>
        <xdr:cNvSpPr/>
      </xdr:nvSpPr>
      <xdr:spPr>
        <a:xfrm>
          <a:off x="16969867" y="159374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880</xdr:row>
      <xdr:rowOff>117971</xdr:rowOff>
    </xdr:from>
    <xdr:ext cx="568424" cy="180627"/>
    <xdr:sp macro="_xll.PtreeEvent_ObjectClick" textlink="">
      <xdr:nvSpPr>
        <xdr:cNvPr id="1756" name="PTObj_DBranchName_1_436">
          <a:extLst>
            <a:ext uri="{FF2B5EF4-FFF2-40B4-BE49-F238E27FC236}">
              <a16:creationId xmlns:a16="http://schemas.microsoft.com/office/drawing/2014/main" id="{F92B498A-D6F1-4F57-A3CB-33AE6D408555}"/>
            </a:ext>
          </a:extLst>
        </xdr:cNvPr>
        <xdr:cNvSpPr txBox="1"/>
      </xdr:nvSpPr>
      <xdr:spPr>
        <a:xfrm>
          <a:off x="15820834" y="1593759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882</xdr:row>
      <xdr:rowOff>120650</xdr:rowOff>
    </xdr:from>
    <xdr:to>
      <xdr:col>10</xdr:col>
      <xdr:colOff>135383</xdr:colOff>
      <xdr:row>883</xdr:row>
      <xdr:rowOff>130180</xdr:rowOff>
    </xdr:to>
    <xdr:sp macro="_xll.PtreeEvent_ObjectClick" textlink="">
      <xdr:nvSpPr>
        <xdr:cNvPr id="1757" name="PTObj_DNode_1_437">
          <a:extLst>
            <a:ext uri="{FF2B5EF4-FFF2-40B4-BE49-F238E27FC236}">
              <a16:creationId xmlns:a16="http://schemas.microsoft.com/office/drawing/2014/main" id="{B093C326-C12A-49E9-84F1-EFCBEBD01CCA}"/>
            </a:ext>
          </a:extLst>
        </xdr:cNvPr>
        <xdr:cNvSpPr/>
      </xdr:nvSpPr>
      <xdr:spPr>
        <a:xfrm>
          <a:off x="18394807" y="159740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882</xdr:row>
      <xdr:rowOff>123684</xdr:rowOff>
    </xdr:from>
    <xdr:ext cx="514858" cy="180627"/>
    <xdr:sp macro="_xll.PtreeEvent_ObjectClick" textlink="">
      <xdr:nvSpPr>
        <xdr:cNvPr id="1760" name="PTObj_DBranchName_1_437">
          <a:extLst>
            <a:ext uri="{FF2B5EF4-FFF2-40B4-BE49-F238E27FC236}">
              <a16:creationId xmlns:a16="http://schemas.microsoft.com/office/drawing/2014/main" id="{81017123-0757-4894-BB0E-590EE96578BE}"/>
            </a:ext>
          </a:extLst>
        </xdr:cNvPr>
        <xdr:cNvSpPr txBox="1"/>
      </xdr:nvSpPr>
      <xdr:spPr>
        <a:xfrm>
          <a:off x="17244820" y="159743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884</xdr:row>
      <xdr:rowOff>124458</xdr:rowOff>
    </xdr:from>
    <xdr:to>
      <xdr:col>11</xdr:col>
      <xdr:colOff>131572</xdr:colOff>
      <xdr:row>885</xdr:row>
      <xdr:rowOff>133987</xdr:rowOff>
    </xdr:to>
    <xdr:sp macro="_xll.PtreeEvent_ObjectClick" textlink="">
      <xdr:nvSpPr>
        <xdr:cNvPr id="1761" name="PTObj_DNode_1_438">
          <a:extLst>
            <a:ext uri="{FF2B5EF4-FFF2-40B4-BE49-F238E27FC236}">
              <a16:creationId xmlns:a16="http://schemas.microsoft.com/office/drawing/2014/main" id="{30569BFC-D076-4CBF-AAE4-072FAF7EE77F}"/>
            </a:ext>
          </a:extLst>
        </xdr:cNvPr>
        <xdr:cNvSpPr/>
      </xdr:nvSpPr>
      <xdr:spPr>
        <a:xfrm>
          <a:off x="19819747" y="160106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884</xdr:row>
      <xdr:rowOff>127491</xdr:rowOff>
    </xdr:from>
    <xdr:ext cx="514858" cy="180627"/>
    <xdr:sp macro="_xll.PtreeEvent_ObjectClick" textlink="">
      <xdr:nvSpPr>
        <xdr:cNvPr id="1764" name="PTObj_DBranchName_1_438">
          <a:extLst>
            <a:ext uri="{FF2B5EF4-FFF2-40B4-BE49-F238E27FC236}">
              <a16:creationId xmlns:a16="http://schemas.microsoft.com/office/drawing/2014/main" id="{154CF1EC-CA8B-48A2-9882-1FB775C95F66}"/>
            </a:ext>
          </a:extLst>
        </xdr:cNvPr>
        <xdr:cNvSpPr txBox="1"/>
      </xdr:nvSpPr>
      <xdr:spPr>
        <a:xfrm>
          <a:off x="18666904" y="160109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886</xdr:row>
      <xdr:rowOff>135888</xdr:rowOff>
    </xdr:from>
    <xdr:to>
      <xdr:col>12</xdr:col>
      <xdr:colOff>135385</xdr:colOff>
      <xdr:row>887</xdr:row>
      <xdr:rowOff>133983</xdr:rowOff>
    </xdr:to>
    <xdr:sp macro="_xll.PtreeEvent_ObjectClick" textlink="">
      <xdr:nvSpPr>
        <xdr:cNvPr id="1765" name="PTObj_DNode_1_439">
          <a:extLst>
            <a:ext uri="{FF2B5EF4-FFF2-40B4-BE49-F238E27FC236}">
              <a16:creationId xmlns:a16="http://schemas.microsoft.com/office/drawing/2014/main" id="{C10CDA21-DA5C-485E-AE59-B5F3743F2083}"/>
            </a:ext>
          </a:extLst>
        </xdr:cNvPr>
        <xdr:cNvSpPr/>
      </xdr:nvSpPr>
      <xdr:spPr>
        <a:xfrm rot="-5400000">
          <a:off x="21248498" y="1604759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886</xdr:row>
      <xdr:rowOff>133204</xdr:rowOff>
    </xdr:from>
    <xdr:ext cx="514858" cy="180627"/>
    <xdr:sp macro="_xll.PtreeEvent_ObjectClick" textlink="">
      <xdr:nvSpPr>
        <xdr:cNvPr id="1768" name="PTObj_DBranchName_1_439">
          <a:extLst>
            <a:ext uri="{FF2B5EF4-FFF2-40B4-BE49-F238E27FC236}">
              <a16:creationId xmlns:a16="http://schemas.microsoft.com/office/drawing/2014/main" id="{E58522CE-E154-4676-8FC6-31ABCF3F02E6}"/>
            </a:ext>
          </a:extLst>
        </xdr:cNvPr>
        <xdr:cNvSpPr txBox="1"/>
      </xdr:nvSpPr>
      <xdr:spPr>
        <a:xfrm>
          <a:off x="20094701" y="1604770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929</xdr:row>
      <xdr:rowOff>27310</xdr:rowOff>
    </xdr:from>
    <xdr:to>
      <xdr:col>6</xdr:col>
      <xdr:colOff>167767</xdr:colOff>
      <xdr:row>930</xdr:row>
      <xdr:rowOff>17790</xdr:rowOff>
    </xdr:to>
    <xdr:sp macro="_xll.PtreeEvent_ObjectClick" textlink="">
      <xdr:nvSpPr>
        <xdr:cNvPr id="1769" name="PTObj_DNode_1_460">
          <a:extLst>
            <a:ext uri="{FF2B5EF4-FFF2-40B4-BE49-F238E27FC236}">
              <a16:creationId xmlns:a16="http://schemas.microsoft.com/office/drawing/2014/main" id="{807E9C00-206C-4F96-A792-4FB5BD8FBDAC}"/>
            </a:ext>
          </a:extLst>
        </xdr:cNvPr>
        <xdr:cNvSpPr/>
      </xdr:nvSpPr>
      <xdr:spPr>
        <a:xfrm>
          <a:off x="12695047" y="168153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929</xdr:row>
      <xdr:rowOff>26521</xdr:rowOff>
    </xdr:from>
    <xdr:ext cx="566520" cy="180627"/>
    <xdr:sp macro="_xll.PtreeEvent_ObjectClick" textlink="">
      <xdr:nvSpPr>
        <xdr:cNvPr id="1772" name="PTObj_DBranchName_1_460">
          <a:extLst>
            <a:ext uri="{FF2B5EF4-FFF2-40B4-BE49-F238E27FC236}">
              <a16:creationId xmlns:a16="http://schemas.microsoft.com/office/drawing/2014/main" id="{3BA64F06-E72A-4D33-A876-D1E3F9AD5461}"/>
            </a:ext>
          </a:extLst>
        </xdr:cNvPr>
        <xdr:cNvSpPr txBox="1"/>
      </xdr:nvSpPr>
      <xdr:spPr>
        <a:xfrm>
          <a:off x="11550776" y="168152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908</xdr:row>
      <xdr:rowOff>170185</xdr:rowOff>
    </xdr:from>
    <xdr:to>
      <xdr:col>7</xdr:col>
      <xdr:colOff>171578</xdr:colOff>
      <xdr:row>909</xdr:row>
      <xdr:rowOff>168285</xdr:rowOff>
    </xdr:to>
    <xdr:sp macro="_xll.PtreeEvent_ObjectClick" textlink="">
      <xdr:nvSpPr>
        <xdr:cNvPr id="1773" name="PTObj_DNode_1_450">
          <a:extLst>
            <a:ext uri="{FF2B5EF4-FFF2-40B4-BE49-F238E27FC236}">
              <a16:creationId xmlns:a16="http://schemas.microsoft.com/office/drawing/2014/main" id="{014342C5-2750-451E-9266-FF06A481B834}"/>
            </a:ext>
          </a:extLst>
        </xdr:cNvPr>
        <xdr:cNvSpPr/>
      </xdr:nvSpPr>
      <xdr:spPr>
        <a:xfrm>
          <a:off x="14119988" y="16449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908</xdr:row>
      <xdr:rowOff>175111</xdr:rowOff>
    </xdr:from>
    <xdr:ext cx="566520" cy="180627"/>
    <xdr:sp macro="_xll.PtreeEvent_ObjectClick" textlink="">
      <xdr:nvSpPr>
        <xdr:cNvPr id="1776" name="PTObj_DBranchName_1_450">
          <a:extLst>
            <a:ext uri="{FF2B5EF4-FFF2-40B4-BE49-F238E27FC236}">
              <a16:creationId xmlns:a16="http://schemas.microsoft.com/office/drawing/2014/main" id="{A7619C29-5888-4130-8BD7-E76717BC3404}"/>
            </a:ext>
          </a:extLst>
        </xdr:cNvPr>
        <xdr:cNvSpPr txBox="1"/>
      </xdr:nvSpPr>
      <xdr:spPr>
        <a:xfrm>
          <a:off x="12976669" y="164500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898</xdr:row>
      <xdr:rowOff>151135</xdr:rowOff>
    </xdr:from>
    <xdr:to>
      <xdr:col>8</xdr:col>
      <xdr:colOff>154432</xdr:colOff>
      <xdr:row>899</xdr:row>
      <xdr:rowOff>153045</xdr:rowOff>
    </xdr:to>
    <xdr:sp macro="_xll.PtreeEvent_ObjectClick" textlink="">
      <xdr:nvSpPr>
        <xdr:cNvPr id="1777" name="PTObj_DNode_1_445">
          <a:extLst>
            <a:ext uri="{FF2B5EF4-FFF2-40B4-BE49-F238E27FC236}">
              <a16:creationId xmlns:a16="http://schemas.microsoft.com/office/drawing/2014/main" id="{41DFDCD7-8DA2-405E-87E1-64E0B773CE3A}"/>
            </a:ext>
          </a:extLst>
        </xdr:cNvPr>
        <xdr:cNvSpPr/>
      </xdr:nvSpPr>
      <xdr:spPr>
        <a:xfrm>
          <a:off x="15544927" y="162666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898</xdr:row>
      <xdr:rowOff>152251</xdr:rowOff>
    </xdr:from>
    <xdr:ext cx="566519" cy="180627"/>
    <xdr:sp macro="_xll.PtreeEvent_ObjectClick" textlink="">
      <xdr:nvSpPr>
        <xdr:cNvPr id="1780" name="PTObj_DBranchName_1_445">
          <a:extLst>
            <a:ext uri="{FF2B5EF4-FFF2-40B4-BE49-F238E27FC236}">
              <a16:creationId xmlns:a16="http://schemas.microsoft.com/office/drawing/2014/main" id="{DB0E335B-D490-4376-A751-4BB5F392B1F4}"/>
            </a:ext>
          </a:extLst>
        </xdr:cNvPr>
        <xdr:cNvSpPr txBox="1"/>
      </xdr:nvSpPr>
      <xdr:spPr>
        <a:xfrm>
          <a:off x="14398752" y="16266780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890</xdr:row>
      <xdr:rowOff>135892</xdr:rowOff>
    </xdr:from>
    <xdr:to>
      <xdr:col>9</xdr:col>
      <xdr:colOff>150622</xdr:colOff>
      <xdr:row>891</xdr:row>
      <xdr:rowOff>133992</xdr:rowOff>
    </xdr:to>
    <xdr:sp macro="_xll.PtreeEvent_ObjectClick" textlink="">
      <xdr:nvSpPr>
        <xdr:cNvPr id="1781" name="PTObj_DNode_1_441">
          <a:extLst>
            <a:ext uri="{FF2B5EF4-FFF2-40B4-BE49-F238E27FC236}">
              <a16:creationId xmlns:a16="http://schemas.microsoft.com/office/drawing/2014/main" id="{1B5F00B3-9089-4F46-B4CB-DA7973A850D8}"/>
            </a:ext>
          </a:extLst>
        </xdr:cNvPr>
        <xdr:cNvSpPr/>
      </xdr:nvSpPr>
      <xdr:spPr>
        <a:xfrm>
          <a:off x="16969867" y="161203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890</xdr:row>
      <xdr:rowOff>133211</xdr:rowOff>
    </xdr:from>
    <xdr:ext cx="568424" cy="180627"/>
    <xdr:sp macro="_xll.PtreeEvent_ObjectClick" textlink="">
      <xdr:nvSpPr>
        <xdr:cNvPr id="1784" name="PTObj_DBranchName_1_441">
          <a:extLst>
            <a:ext uri="{FF2B5EF4-FFF2-40B4-BE49-F238E27FC236}">
              <a16:creationId xmlns:a16="http://schemas.microsoft.com/office/drawing/2014/main" id="{EC3512A1-A60B-4EB7-A590-083B5F62ECBE}"/>
            </a:ext>
          </a:extLst>
        </xdr:cNvPr>
        <xdr:cNvSpPr txBox="1"/>
      </xdr:nvSpPr>
      <xdr:spPr>
        <a:xfrm>
          <a:off x="15820834" y="1612009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892</xdr:row>
      <xdr:rowOff>139700</xdr:rowOff>
    </xdr:from>
    <xdr:to>
      <xdr:col>10</xdr:col>
      <xdr:colOff>131573</xdr:colOff>
      <xdr:row>893</xdr:row>
      <xdr:rowOff>135895</xdr:rowOff>
    </xdr:to>
    <xdr:sp macro="_xll.PtreeEvent_ObjectClick" textlink="">
      <xdr:nvSpPr>
        <xdr:cNvPr id="1785" name="PTObj_DNode_1_442">
          <a:extLst>
            <a:ext uri="{FF2B5EF4-FFF2-40B4-BE49-F238E27FC236}">
              <a16:creationId xmlns:a16="http://schemas.microsoft.com/office/drawing/2014/main" id="{71A256F4-B1DD-4DA1-B94E-A5F032F2B02C}"/>
            </a:ext>
          </a:extLst>
        </xdr:cNvPr>
        <xdr:cNvSpPr/>
      </xdr:nvSpPr>
      <xdr:spPr>
        <a:xfrm>
          <a:off x="18394807" y="161569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892</xdr:row>
      <xdr:rowOff>137019</xdr:rowOff>
    </xdr:from>
    <xdr:ext cx="514858" cy="180627"/>
    <xdr:sp macro="_xll.PtreeEvent_ObjectClick" textlink="">
      <xdr:nvSpPr>
        <xdr:cNvPr id="1788" name="PTObj_DBranchName_1_442">
          <a:extLst>
            <a:ext uri="{FF2B5EF4-FFF2-40B4-BE49-F238E27FC236}">
              <a16:creationId xmlns:a16="http://schemas.microsoft.com/office/drawing/2014/main" id="{C9E5A402-4972-484E-B4E8-00DF98767D5F}"/>
            </a:ext>
          </a:extLst>
        </xdr:cNvPr>
        <xdr:cNvSpPr txBox="1"/>
      </xdr:nvSpPr>
      <xdr:spPr>
        <a:xfrm>
          <a:off x="17244820" y="1615667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894</xdr:row>
      <xdr:rowOff>143508</xdr:rowOff>
    </xdr:from>
    <xdr:to>
      <xdr:col>11</xdr:col>
      <xdr:colOff>135382</xdr:colOff>
      <xdr:row>895</xdr:row>
      <xdr:rowOff>132082</xdr:rowOff>
    </xdr:to>
    <xdr:sp macro="_xll.PtreeEvent_ObjectClick" textlink="">
      <xdr:nvSpPr>
        <xdr:cNvPr id="1789" name="PTObj_DNode_1_443">
          <a:extLst>
            <a:ext uri="{FF2B5EF4-FFF2-40B4-BE49-F238E27FC236}">
              <a16:creationId xmlns:a16="http://schemas.microsoft.com/office/drawing/2014/main" id="{821F583B-0FFD-4E4B-B79C-7F13E9AFD75B}"/>
            </a:ext>
          </a:extLst>
        </xdr:cNvPr>
        <xdr:cNvSpPr/>
      </xdr:nvSpPr>
      <xdr:spPr>
        <a:xfrm>
          <a:off x="19819747" y="161935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894</xdr:row>
      <xdr:rowOff>142731</xdr:rowOff>
    </xdr:from>
    <xdr:ext cx="514858" cy="180627"/>
    <xdr:sp macro="_xll.PtreeEvent_ObjectClick" textlink="">
      <xdr:nvSpPr>
        <xdr:cNvPr id="1792" name="PTObj_DBranchName_1_443">
          <a:extLst>
            <a:ext uri="{FF2B5EF4-FFF2-40B4-BE49-F238E27FC236}">
              <a16:creationId xmlns:a16="http://schemas.microsoft.com/office/drawing/2014/main" id="{033F7C0B-4656-4497-82E4-F976515322CD}"/>
            </a:ext>
          </a:extLst>
        </xdr:cNvPr>
        <xdr:cNvSpPr txBox="1"/>
      </xdr:nvSpPr>
      <xdr:spPr>
        <a:xfrm>
          <a:off x="18666904" y="161934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896</xdr:row>
      <xdr:rowOff>150175</xdr:rowOff>
    </xdr:from>
    <xdr:to>
      <xdr:col>12</xdr:col>
      <xdr:colOff>132528</xdr:colOff>
      <xdr:row>897</xdr:row>
      <xdr:rowOff>133030</xdr:rowOff>
    </xdr:to>
    <xdr:sp macro="_xll.PtreeEvent_ObjectClick" textlink="">
      <xdr:nvSpPr>
        <xdr:cNvPr id="1793" name="PTObj_DNode_1_444">
          <a:extLst>
            <a:ext uri="{FF2B5EF4-FFF2-40B4-BE49-F238E27FC236}">
              <a16:creationId xmlns:a16="http://schemas.microsoft.com/office/drawing/2014/main" id="{F794D684-AAA9-41B1-951D-E69DDB168B18}"/>
            </a:ext>
          </a:extLst>
        </xdr:cNvPr>
        <xdr:cNvSpPr/>
      </xdr:nvSpPr>
      <xdr:spPr>
        <a:xfrm rot="-5400000">
          <a:off x="21248498" y="1622990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896</xdr:row>
      <xdr:rowOff>146539</xdr:rowOff>
    </xdr:from>
    <xdr:ext cx="514858" cy="180627"/>
    <xdr:sp macro="_xll.PtreeEvent_ObjectClick" textlink="">
      <xdr:nvSpPr>
        <xdr:cNvPr id="1796" name="PTObj_DBranchName_1_444">
          <a:extLst>
            <a:ext uri="{FF2B5EF4-FFF2-40B4-BE49-F238E27FC236}">
              <a16:creationId xmlns:a16="http://schemas.microsoft.com/office/drawing/2014/main" id="{6045546E-0EEF-4533-8D0E-871BD1248C5A}"/>
            </a:ext>
          </a:extLst>
        </xdr:cNvPr>
        <xdr:cNvSpPr txBox="1"/>
      </xdr:nvSpPr>
      <xdr:spPr>
        <a:xfrm>
          <a:off x="20094701" y="162300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900</xdr:row>
      <xdr:rowOff>154942</xdr:rowOff>
    </xdr:from>
    <xdr:to>
      <xdr:col>9</xdr:col>
      <xdr:colOff>150622</xdr:colOff>
      <xdr:row>901</xdr:row>
      <xdr:rowOff>168282</xdr:rowOff>
    </xdr:to>
    <xdr:sp macro="_xll.PtreeEvent_ObjectClick" textlink="">
      <xdr:nvSpPr>
        <xdr:cNvPr id="1797" name="PTObj_DNode_1_446">
          <a:extLst>
            <a:ext uri="{FF2B5EF4-FFF2-40B4-BE49-F238E27FC236}">
              <a16:creationId xmlns:a16="http://schemas.microsoft.com/office/drawing/2014/main" id="{1FC110D4-C096-4C4B-B139-A73DC47C86E1}"/>
            </a:ext>
          </a:extLst>
        </xdr:cNvPr>
        <xdr:cNvSpPr/>
      </xdr:nvSpPr>
      <xdr:spPr>
        <a:xfrm>
          <a:off x="16969867" y="163032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900</xdr:row>
      <xdr:rowOff>156071</xdr:rowOff>
    </xdr:from>
    <xdr:ext cx="568424" cy="180627"/>
    <xdr:sp macro="_xll.PtreeEvent_ObjectClick" textlink="">
      <xdr:nvSpPr>
        <xdr:cNvPr id="1800" name="PTObj_DBranchName_1_446">
          <a:extLst>
            <a:ext uri="{FF2B5EF4-FFF2-40B4-BE49-F238E27FC236}">
              <a16:creationId xmlns:a16="http://schemas.microsoft.com/office/drawing/2014/main" id="{878E2C15-2FD8-48EB-ACA3-60A69D414422}"/>
            </a:ext>
          </a:extLst>
        </xdr:cNvPr>
        <xdr:cNvSpPr txBox="1"/>
      </xdr:nvSpPr>
      <xdr:spPr>
        <a:xfrm>
          <a:off x="15820834" y="1630335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902</xdr:row>
      <xdr:rowOff>158750</xdr:rowOff>
    </xdr:from>
    <xdr:to>
      <xdr:col>10</xdr:col>
      <xdr:colOff>131573</xdr:colOff>
      <xdr:row>903</xdr:row>
      <xdr:rowOff>172090</xdr:rowOff>
    </xdr:to>
    <xdr:sp macro="_xll.PtreeEvent_ObjectClick" textlink="">
      <xdr:nvSpPr>
        <xdr:cNvPr id="1801" name="PTObj_DNode_1_447">
          <a:extLst>
            <a:ext uri="{FF2B5EF4-FFF2-40B4-BE49-F238E27FC236}">
              <a16:creationId xmlns:a16="http://schemas.microsoft.com/office/drawing/2014/main" id="{49E5B60C-B253-4E30-90A4-0F601D193227}"/>
            </a:ext>
          </a:extLst>
        </xdr:cNvPr>
        <xdr:cNvSpPr/>
      </xdr:nvSpPr>
      <xdr:spPr>
        <a:xfrm>
          <a:off x="18394807" y="163398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902</xdr:row>
      <xdr:rowOff>161784</xdr:rowOff>
    </xdr:from>
    <xdr:ext cx="514858" cy="180627"/>
    <xdr:sp macro="_xll.PtreeEvent_ObjectClick" textlink="">
      <xdr:nvSpPr>
        <xdr:cNvPr id="1804" name="PTObj_DBranchName_1_447">
          <a:extLst>
            <a:ext uri="{FF2B5EF4-FFF2-40B4-BE49-F238E27FC236}">
              <a16:creationId xmlns:a16="http://schemas.microsoft.com/office/drawing/2014/main" id="{30F7BEF7-4EC3-4337-AB15-9ECDF523E09F}"/>
            </a:ext>
          </a:extLst>
        </xdr:cNvPr>
        <xdr:cNvSpPr txBox="1"/>
      </xdr:nvSpPr>
      <xdr:spPr>
        <a:xfrm>
          <a:off x="17244820" y="163401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904</xdr:row>
      <xdr:rowOff>162558</xdr:rowOff>
    </xdr:from>
    <xdr:to>
      <xdr:col>11</xdr:col>
      <xdr:colOff>135382</xdr:colOff>
      <xdr:row>905</xdr:row>
      <xdr:rowOff>168277</xdr:rowOff>
    </xdr:to>
    <xdr:sp macro="_xll.PtreeEvent_ObjectClick" textlink="">
      <xdr:nvSpPr>
        <xdr:cNvPr id="1805" name="PTObj_DNode_1_448">
          <a:extLst>
            <a:ext uri="{FF2B5EF4-FFF2-40B4-BE49-F238E27FC236}">
              <a16:creationId xmlns:a16="http://schemas.microsoft.com/office/drawing/2014/main" id="{170E8F76-8311-43A7-8729-6B3F093ED813}"/>
            </a:ext>
          </a:extLst>
        </xdr:cNvPr>
        <xdr:cNvSpPr/>
      </xdr:nvSpPr>
      <xdr:spPr>
        <a:xfrm>
          <a:off x="19819747" y="163763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904</xdr:row>
      <xdr:rowOff>165591</xdr:rowOff>
    </xdr:from>
    <xdr:ext cx="514858" cy="180627"/>
    <xdr:sp macro="_xll.PtreeEvent_ObjectClick" textlink="">
      <xdr:nvSpPr>
        <xdr:cNvPr id="1808" name="PTObj_DBranchName_1_448">
          <a:extLst>
            <a:ext uri="{FF2B5EF4-FFF2-40B4-BE49-F238E27FC236}">
              <a16:creationId xmlns:a16="http://schemas.microsoft.com/office/drawing/2014/main" id="{3D79417E-DCFE-437A-AE0D-8D86FB9AC072}"/>
            </a:ext>
          </a:extLst>
        </xdr:cNvPr>
        <xdr:cNvSpPr txBox="1"/>
      </xdr:nvSpPr>
      <xdr:spPr>
        <a:xfrm>
          <a:off x="18666904" y="163766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906</xdr:row>
      <xdr:rowOff>173988</xdr:rowOff>
    </xdr:from>
    <xdr:to>
      <xdr:col>12</xdr:col>
      <xdr:colOff>131575</xdr:colOff>
      <xdr:row>907</xdr:row>
      <xdr:rowOff>168273</xdr:rowOff>
    </xdr:to>
    <xdr:sp macro="_xll.PtreeEvent_ObjectClick" textlink="">
      <xdr:nvSpPr>
        <xdr:cNvPr id="1809" name="PTObj_DNode_1_449">
          <a:extLst>
            <a:ext uri="{FF2B5EF4-FFF2-40B4-BE49-F238E27FC236}">
              <a16:creationId xmlns:a16="http://schemas.microsoft.com/office/drawing/2014/main" id="{6E8D6544-2705-4BF4-8D7A-B5DAD294E35E}"/>
            </a:ext>
          </a:extLst>
        </xdr:cNvPr>
        <xdr:cNvSpPr/>
      </xdr:nvSpPr>
      <xdr:spPr>
        <a:xfrm rot="-5400000">
          <a:off x="21248498" y="1641335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906</xdr:row>
      <xdr:rowOff>171304</xdr:rowOff>
    </xdr:from>
    <xdr:ext cx="514858" cy="180627"/>
    <xdr:sp macro="_xll.PtreeEvent_ObjectClick" textlink="">
      <xdr:nvSpPr>
        <xdr:cNvPr id="1812" name="PTObj_DBranchName_1_449">
          <a:extLst>
            <a:ext uri="{FF2B5EF4-FFF2-40B4-BE49-F238E27FC236}">
              <a16:creationId xmlns:a16="http://schemas.microsoft.com/office/drawing/2014/main" id="{349DEF88-7E36-49B6-8660-647763228A33}"/>
            </a:ext>
          </a:extLst>
        </xdr:cNvPr>
        <xdr:cNvSpPr txBox="1"/>
      </xdr:nvSpPr>
      <xdr:spPr>
        <a:xfrm>
          <a:off x="20094701" y="1641346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919</xdr:row>
      <xdr:rowOff>8260</xdr:rowOff>
    </xdr:from>
    <xdr:to>
      <xdr:col>8</xdr:col>
      <xdr:colOff>154432</xdr:colOff>
      <xdr:row>920</xdr:row>
      <xdr:rowOff>19695</xdr:rowOff>
    </xdr:to>
    <xdr:sp macro="_xll.PtreeEvent_ObjectClick" textlink="">
      <xdr:nvSpPr>
        <xdr:cNvPr id="1813" name="PTObj_DNode_1_455">
          <a:extLst>
            <a:ext uri="{FF2B5EF4-FFF2-40B4-BE49-F238E27FC236}">
              <a16:creationId xmlns:a16="http://schemas.microsoft.com/office/drawing/2014/main" id="{6C2AC099-4E03-4E46-983B-682ECAED726F}"/>
            </a:ext>
          </a:extLst>
        </xdr:cNvPr>
        <xdr:cNvSpPr/>
      </xdr:nvSpPr>
      <xdr:spPr>
        <a:xfrm>
          <a:off x="15544927" y="166324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919</xdr:row>
      <xdr:rowOff>11281</xdr:rowOff>
    </xdr:from>
    <xdr:ext cx="568425" cy="180627"/>
    <xdr:sp macro="_xll.PtreeEvent_ObjectClick" textlink="">
      <xdr:nvSpPr>
        <xdr:cNvPr id="1816" name="PTObj_DBranchName_1_455">
          <a:extLst>
            <a:ext uri="{FF2B5EF4-FFF2-40B4-BE49-F238E27FC236}">
              <a16:creationId xmlns:a16="http://schemas.microsoft.com/office/drawing/2014/main" id="{7FDD1FB1-F219-4DFB-9E65-2E16255AFC81}"/>
            </a:ext>
          </a:extLst>
        </xdr:cNvPr>
        <xdr:cNvSpPr txBox="1"/>
      </xdr:nvSpPr>
      <xdr:spPr>
        <a:xfrm>
          <a:off x="14400657" y="16632730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910</xdr:row>
      <xdr:rowOff>173992</xdr:rowOff>
    </xdr:from>
    <xdr:to>
      <xdr:col>9</xdr:col>
      <xdr:colOff>150622</xdr:colOff>
      <xdr:row>911</xdr:row>
      <xdr:rowOff>168282</xdr:rowOff>
    </xdr:to>
    <xdr:sp macro="_xll.PtreeEvent_ObjectClick" textlink="">
      <xdr:nvSpPr>
        <xdr:cNvPr id="1817" name="PTObj_DNode_1_451">
          <a:extLst>
            <a:ext uri="{FF2B5EF4-FFF2-40B4-BE49-F238E27FC236}">
              <a16:creationId xmlns:a16="http://schemas.microsoft.com/office/drawing/2014/main" id="{AA0892CF-74CB-4DD0-BFCE-F7B01BF38538}"/>
            </a:ext>
          </a:extLst>
        </xdr:cNvPr>
        <xdr:cNvSpPr/>
      </xdr:nvSpPr>
      <xdr:spPr>
        <a:xfrm>
          <a:off x="16969867" y="164861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910</xdr:row>
      <xdr:rowOff>171311</xdr:rowOff>
    </xdr:from>
    <xdr:ext cx="568424" cy="180627"/>
    <xdr:sp macro="_xll.PtreeEvent_ObjectClick" textlink="">
      <xdr:nvSpPr>
        <xdr:cNvPr id="1820" name="PTObj_DBranchName_1_451">
          <a:extLst>
            <a:ext uri="{FF2B5EF4-FFF2-40B4-BE49-F238E27FC236}">
              <a16:creationId xmlns:a16="http://schemas.microsoft.com/office/drawing/2014/main" id="{56D58194-2483-4E5E-85FB-7083F5B4A0D0}"/>
            </a:ext>
          </a:extLst>
        </xdr:cNvPr>
        <xdr:cNvSpPr txBox="1"/>
      </xdr:nvSpPr>
      <xdr:spPr>
        <a:xfrm>
          <a:off x="15820834" y="1648585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912</xdr:row>
      <xdr:rowOff>177800</xdr:rowOff>
    </xdr:from>
    <xdr:to>
      <xdr:col>10</xdr:col>
      <xdr:colOff>135383</xdr:colOff>
      <xdr:row>913</xdr:row>
      <xdr:rowOff>170185</xdr:rowOff>
    </xdr:to>
    <xdr:sp macro="_xll.PtreeEvent_ObjectClick" textlink="">
      <xdr:nvSpPr>
        <xdr:cNvPr id="1821" name="PTObj_DNode_1_452">
          <a:extLst>
            <a:ext uri="{FF2B5EF4-FFF2-40B4-BE49-F238E27FC236}">
              <a16:creationId xmlns:a16="http://schemas.microsoft.com/office/drawing/2014/main" id="{B524FFFB-95C6-4BAB-AF7A-4F34F0552BA9}"/>
            </a:ext>
          </a:extLst>
        </xdr:cNvPr>
        <xdr:cNvSpPr/>
      </xdr:nvSpPr>
      <xdr:spPr>
        <a:xfrm>
          <a:off x="18394807" y="165227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912</xdr:row>
      <xdr:rowOff>175119</xdr:rowOff>
    </xdr:from>
    <xdr:ext cx="514858" cy="180627"/>
    <xdr:sp macro="_xll.PtreeEvent_ObjectClick" textlink="">
      <xdr:nvSpPr>
        <xdr:cNvPr id="1824" name="PTObj_DBranchName_1_452">
          <a:extLst>
            <a:ext uri="{FF2B5EF4-FFF2-40B4-BE49-F238E27FC236}">
              <a16:creationId xmlns:a16="http://schemas.microsoft.com/office/drawing/2014/main" id="{9C7E4CCB-EB4B-4D68-B4EC-6FF3B348655A}"/>
            </a:ext>
          </a:extLst>
        </xdr:cNvPr>
        <xdr:cNvSpPr txBox="1"/>
      </xdr:nvSpPr>
      <xdr:spPr>
        <a:xfrm>
          <a:off x="17244820" y="1652243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915</xdr:row>
      <xdr:rowOff>633</xdr:rowOff>
    </xdr:from>
    <xdr:to>
      <xdr:col>11</xdr:col>
      <xdr:colOff>131572</xdr:colOff>
      <xdr:row>916</xdr:row>
      <xdr:rowOff>2542</xdr:rowOff>
    </xdr:to>
    <xdr:sp macro="_xll.PtreeEvent_ObjectClick" textlink="">
      <xdr:nvSpPr>
        <xdr:cNvPr id="1825" name="PTObj_DNode_1_453">
          <a:extLst>
            <a:ext uri="{FF2B5EF4-FFF2-40B4-BE49-F238E27FC236}">
              <a16:creationId xmlns:a16="http://schemas.microsoft.com/office/drawing/2014/main" id="{38EB0B65-5B6B-45C0-A4B0-4F34968C4341}"/>
            </a:ext>
          </a:extLst>
        </xdr:cNvPr>
        <xdr:cNvSpPr/>
      </xdr:nvSpPr>
      <xdr:spPr>
        <a:xfrm>
          <a:off x="19819747" y="165592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915</xdr:row>
      <xdr:rowOff>1761</xdr:rowOff>
    </xdr:from>
    <xdr:ext cx="514858" cy="180627"/>
    <xdr:sp macro="_xll.PtreeEvent_ObjectClick" textlink="">
      <xdr:nvSpPr>
        <xdr:cNvPr id="1828" name="PTObj_DBranchName_1_453">
          <a:extLst>
            <a:ext uri="{FF2B5EF4-FFF2-40B4-BE49-F238E27FC236}">
              <a16:creationId xmlns:a16="http://schemas.microsoft.com/office/drawing/2014/main" id="{56626E46-2D85-4653-AAFA-40A8A9FAD0BA}"/>
            </a:ext>
          </a:extLst>
        </xdr:cNvPr>
        <xdr:cNvSpPr txBox="1"/>
      </xdr:nvSpPr>
      <xdr:spPr>
        <a:xfrm>
          <a:off x="18666904" y="165593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917</xdr:row>
      <xdr:rowOff>10158</xdr:rowOff>
    </xdr:from>
    <xdr:to>
      <xdr:col>12</xdr:col>
      <xdr:colOff>135385</xdr:colOff>
      <xdr:row>918</xdr:row>
      <xdr:rowOff>15873</xdr:rowOff>
    </xdr:to>
    <xdr:sp macro="_xll.PtreeEvent_ObjectClick" textlink="">
      <xdr:nvSpPr>
        <xdr:cNvPr id="1829" name="PTObj_DNode_1_454">
          <a:extLst>
            <a:ext uri="{FF2B5EF4-FFF2-40B4-BE49-F238E27FC236}">
              <a16:creationId xmlns:a16="http://schemas.microsoft.com/office/drawing/2014/main" id="{7735A458-C5BE-46C4-AE24-71EE3D779C4D}"/>
            </a:ext>
          </a:extLst>
        </xdr:cNvPr>
        <xdr:cNvSpPr/>
      </xdr:nvSpPr>
      <xdr:spPr>
        <a:xfrm rot="-5400000">
          <a:off x="21248498" y="1659604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917</xdr:row>
      <xdr:rowOff>7474</xdr:rowOff>
    </xdr:from>
    <xdr:ext cx="514858" cy="180627"/>
    <xdr:sp macro="_xll.PtreeEvent_ObjectClick" textlink="">
      <xdr:nvSpPr>
        <xdr:cNvPr id="1832" name="PTObj_DBranchName_1_454">
          <a:extLst>
            <a:ext uri="{FF2B5EF4-FFF2-40B4-BE49-F238E27FC236}">
              <a16:creationId xmlns:a16="http://schemas.microsoft.com/office/drawing/2014/main" id="{4CEB7730-3FF0-4BEE-B3EC-F3ABD1915C07}"/>
            </a:ext>
          </a:extLst>
        </xdr:cNvPr>
        <xdr:cNvSpPr txBox="1"/>
      </xdr:nvSpPr>
      <xdr:spPr>
        <a:xfrm>
          <a:off x="20094701" y="1659615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921</xdr:row>
      <xdr:rowOff>12067</xdr:rowOff>
    </xdr:from>
    <xdr:to>
      <xdr:col>9</xdr:col>
      <xdr:colOff>150622</xdr:colOff>
      <xdr:row>922</xdr:row>
      <xdr:rowOff>21597</xdr:rowOff>
    </xdr:to>
    <xdr:sp macro="_xll.PtreeEvent_ObjectClick" textlink="">
      <xdr:nvSpPr>
        <xdr:cNvPr id="1833" name="PTObj_DNode_1_456">
          <a:extLst>
            <a:ext uri="{FF2B5EF4-FFF2-40B4-BE49-F238E27FC236}">
              <a16:creationId xmlns:a16="http://schemas.microsoft.com/office/drawing/2014/main" id="{99B12403-79C6-4AA1-8AF2-F1F3FCEDD540}"/>
            </a:ext>
          </a:extLst>
        </xdr:cNvPr>
        <xdr:cNvSpPr/>
      </xdr:nvSpPr>
      <xdr:spPr>
        <a:xfrm>
          <a:off x="16969867" y="166690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921</xdr:row>
      <xdr:rowOff>17006</xdr:rowOff>
    </xdr:from>
    <xdr:ext cx="568424" cy="180627"/>
    <xdr:sp macro="_xll.PtreeEvent_ObjectClick" textlink="">
      <xdr:nvSpPr>
        <xdr:cNvPr id="1836" name="PTObj_DBranchName_1_456">
          <a:extLst>
            <a:ext uri="{FF2B5EF4-FFF2-40B4-BE49-F238E27FC236}">
              <a16:creationId xmlns:a16="http://schemas.microsoft.com/office/drawing/2014/main" id="{1628E6FB-EC2B-48BD-9CAA-7DCEF96B3801}"/>
            </a:ext>
          </a:extLst>
        </xdr:cNvPr>
        <xdr:cNvSpPr txBox="1"/>
      </xdr:nvSpPr>
      <xdr:spPr>
        <a:xfrm>
          <a:off x="15820834" y="1666949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923</xdr:row>
      <xdr:rowOff>15875</xdr:rowOff>
    </xdr:from>
    <xdr:to>
      <xdr:col>10</xdr:col>
      <xdr:colOff>135383</xdr:colOff>
      <xdr:row>924</xdr:row>
      <xdr:rowOff>21595</xdr:rowOff>
    </xdr:to>
    <xdr:sp macro="_xll.PtreeEvent_ObjectClick" textlink="">
      <xdr:nvSpPr>
        <xdr:cNvPr id="1837" name="PTObj_DNode_1_457">
          <a:extLst>
            <a:ext uri="{FF2B5EF4-FFF2-40B4-BE49-F238E27FC236}">
              <a16:creationId xmlns:a16="http://schemas.microsoft.com/office/drawing/2014/main" id="{DA0A8257-20CA-4427-92D1-6CC5E0F1352B}"/>
            </a:ext>
          </a:extLst>
        </xdr:cNvPr>
        <xdr:cNvSpPr/>
      </xdr:nvSpPr>
      <xdr:spPr>
        <a:xfrm>
          <a:off x="18394807" y="167055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923</xdr:row>
      <xdr:rowOff>20814</xdr:rowOff>
    </xdr:from>
    <xdr:ext cx="514858" cy="180627"/>
    <xdr:sp macro="_xll.PtreeEvent_ObjectClick" textlink="">
      <xdr:nvSpPr>
        <xdr:cNvPr id="1840" name="PTObj_DBranchName_1_457">
          <a:extLst>
            <a:ext uri="{FF2B5EF4-FFF2-40B4-BE49-F238E27FC236}">
              <a16:creationId xmlns:a16="http://schemas.microsoft.com/office/drawing/2014/main" id="{519968F1-62A6-496A-96EB-44AD59969763}"/>
            </a:ext>
          </a:extLst>
        </xdr:cNvPr>
        <xdr:cNvSpPr txBox="1"/>
      </xdr:nvSpPr>
      <xdr:spPr>
        <a:xfrm>
          <a:off x="17244820" y="167060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925</xdr:row>
      <xdr:rowOff>19683</xdr:rowOff>
    </xdr:from>
    <xdr:to>
      <xdr:col>11</xdr:col>
      <xdr:colOff>131572</xdr:colOff>
      <xdr:row>926</xdr:row>
      <xdr:rowOff>21592</xdr:rowOff>
    </xdr:to>
    <xdr:sp macro="_xll.PtreeEvent_ObjectClick" textlink="">
      <xdr:nvSpPr>
        <xdr:cNvPr id="1841" name="PTObj_DNode_1_458">
          <a:extLst>
            <a:ext uri="{FF2B5EF4-FFF2-40B4-BE49-F238E27FC236}">
              <a16:creationId xmlns:a16="http://schemas.microsoft.com/office/drawing/2014/main" id="{04138BC8-BCB6-4D17-9E83-A27D8185485B}"/>
            </a:ext>
          </a:extLst>
        </xdr:cNvPr>
        <xdr:cNvSpPr/>
      </xdr:nvSpPr>
      <xdr:spPr>
        <a:xfrm>
          <a:off x="19819747" y="167421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925</xdr:row>
      <xdr:rowOff>17001</xdr:rowOff>
    </xdr:from>
    <xdr:ext cx="514858" cy="180627"/>
    <xdr:sp macro="_xll.PtreeEvent_ObjectClick" textlink="">
      <xdr:nvSpPr>
        <xdr:cNvPr id="1844" name="PTObj_DBranchName_1_458">
          <a:extLst>
            <a:ext uri="{FF2B5EF4-FFF2-40B4-BE49-F238E27FC236}">
              <a16:creationId xmlns:a16="http://schemas.microsoft.com/office/drawing/2014/main" id="{08D35535-CD4A-472C-BDFC-428B11C4F8FF}"/>
            </a:ext>
          </a:extLst>
        </xdr:cNvPr>
        <xdr:cNvSpPr txBox="1"/>
      </xdr:nvSpPr>
      <xdr:spPr>
        <a:xfrm>
          <a:off x="18666904" y="167418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927</xdr:row>
      <xdr:rowOff>23493</xdr:rowOff>
    </xdr:from>
    <xdr:to>
      <xdr:col>12</xdr:col>
      <xdr:colOff>135385</xdr:colOff>
      <xdr:row>928</xdr:row>
      <xdr:rowOff>21588</xdr:rowOff>
    </xdr:to>
    <xdr:sp macro="_xll.PtreeEvent_ObjectClick" textlink="">
      <xdr:nvSpPr>
        <xdr:cNvPr id="1845" name="PTObj_DNode_1_459">
          <a:extLst>
            <a:ext uri="{FF2B5EF4-FFF2-40B4-BE49-F238E27FC236}">
              <a16:creationId xmlns:a16="http://schemas.microsoft.com/office/drawing/2014/main" id="{7BCF5729-CD58-47ED-B24A-59EA8E9865BE}"/>
            </a:ext>
          </a:extLst>
        </xdr:cNvPr>
        <xdr:cNvSpPr/>
      </xdr:nvSpPr>
      <xdr:spPr>
        <a:xfrm rot="-5400000">
          <a:off x="21248498" y="1677835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927</xdr:row>
      <xdr:rowOff>20809</xdr:rowOff>
    </xdr:from>
    <xdr:ext cx="514858" cy="180627"/>
    <xdr:sp macro="_xll.PtreeEvent_ObjectClick" textlink="">
      <xdr:nvSpPr>
        <xdr:cNvPr id="1848" name="PTObj_DBranchName_1_459">
          <a:extLst>
            <a:ext uri="{FF2B5EF4-FFF2-40B4-BE49-F238E27FC236}">
              <a16:creationId xmlns:a16="http://schemas.microsoft.com/office/drawing/2014/main" id="{3ECCB8D6-7DE1-4DDD-BE7C-FAAB43F2568E}"/>
            </a:ext>
          </a:extLst>
        </xdr:cNvPr>
        <xdr:cNvSpPr txBox="1"/>
      </xdr:nvSpPr>
      <xdr:spPr>
        <a:xfrm>
          <a:off x="20094701" y="167784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949</xdr:row>
      <xdr:rowOff>65410</xdr:rowOff>
    </xdr:from>
    <xdr:to>
      <xdr:col>7</xdr:col>
      <xdr:colOff>167768</xdr:colOff>
      <xdr:row>950</xdr:row>
      <xdr:rowOff>55890</xdr:rowOff>
    </xdr:to>
    <xdr:sp macro="_xll.PtreeEvent_ObjectClick" textlink="">
      <xdr:nvSpPr>
        <xdr:cNvPr id="1849" name="PTObj_DNode_1_470">
          <a:extLst>
            <a:ext uri="{FF2B5EF4-FFF2-40B4-BE49-F238E27FC236}">
              <a16:creationId xmlns:a16="http://schemas.microsoft.com/office/drawing/2014/main" id="{81939458-F913-468C-B644-FFFB4CF22162}"/>
            </a:ext>
          </a:extLst>
        </xdr:cNvPr>
        <xdr:cNvSpPr/>
      </xdr:nvSpPr>
      <xdr:spPr>
        <a:xfrm>
          <a:off x="14119988" y="17181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949</xdr:row>
      <xdr:rowOff>64621</xdr:rowOff>
    </xdr:from>
    <xdr:ext cx="566520" cy="180627"/>
    <xdr:sp macro="_xll.PtreeEvent_ObjectClick" textlink="">
      <xdr:nvSpPr>
        <xdr:cNvPr id="1852" name="PTObj_DBranchName_1_470">
          <a:extLst>
            <a:ext uri="{FF2B5EF4-FFF2-40B4-BE49-F238E27FC236}">
              <a16:creationId xmlns:a16="http://schemas.microsoft.com/office/drawing/2014/main" id="{623B7506-684D-4127-BD5F-0370A8AE4AE4}"/>
            </a:ext>
          </a:extLst>
        </xdr:cNvPr>
        <xdr:cNvSpPr txBox="1"/>
      </xdr:nvSpPr>
      <xdr:spPr>
        <a:xfrm>
          <a:off x="12974765" y="171809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939</xdr:row>
      <xdr:rowOff>46360</xdr:rowOff>
    </xdr:from>
    <xdr:to>
      <xdr:col>8</xdr:col>
      <xdr:colOff>154432</xdr:colOff>
      <xdr:row>940</xdr:row>
      <xdr:rowOff>57795</xdr:rowOff>
    </xdr:to>
    <xdr:sp macro="_xll.PtreeEvent_ObjectClick" textlink="">
      <xdr:nvSpPr>
        <xdr:cNvPr id="1853" name="PTObj_DNode_1_465">
          <a:extLst>
            <a:ext uri="{FF2B5EF4-FFF2-40B4-BE49-F238E27FC236}">
              <a16:creationId xmlns:a16="http://schemas.microsoft.com/office/drawing/2014/main" id="{54B433CE-D723-4454-A5BB-AA07B2A2AF5C}"/>
            </a:ext>
          </a:extLst>
        </xdr:cNvPr>
        <xdr:cNvSpPr/>
      </xdr:nvSpPr>
      <xdr:spPr>
        <a:xfrm>
          <a:off x="15544927" y="169981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939</xdr:row>
      <xdr:rowOff>49381</xdr:rowOff>
    </xdr:from>
    <xdr:ext cx="566519" cy="180627"/>
    <xdr:sp macro="_xll.PtreeEvent_ObjectClick" textlink="">
      <xdr:nvSpPr>
        <xdr:cNvPr id="1856" name="PTObj_DBranchName_1_465">
          <a:extLst>
            <a:ext uri="{FF2B5EF4-FFF2-40B4-BE49-F238E27FC236}">
              <a16:creationId xmlns:a16="http://schemas.microsoft.com/office/drawing/2014/main" id="{A616F13B-BC97-493D-A22A-6BBEA5E3D26D}"/>
            </a:ext>
          </a:extLst>
        </xdr:cNvPr>
        <xdr:cNvSpPr txBox="1"/>
      </xdr:nvSpPr>
      <xdr:spPr>
        <a:xfrm>
          <a:off x="14398752" y="16998490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931</xdr:row>
      <xdr:rowOff>31117</xdr:rowOff>
    </xdr:from>
    <xdr:to>
      <xdr:col>9</xdr:col>
      <xdr:colOff>150622</xdr:colOff>
      <xdr:row>932</xdr:row>
      <xdr:rowOff>17787</xdr:rowOff>
    </xdr:to>
    <xdr:sp macro="_xll.PtreeEvent_ObjectClick" textlink="">
      <xdr:nvSpPr>
        <xdr:cNvPr id="1857" name="PTObj_DNode_1_461">
          <a:extLst>
            <a:ext uri="{FF2B5EF4-FFF2-40B4-BE49-F238E27FC236}">
              <a16:creationId xmlns:a16="http://schemas.microsoft.com/office/drawing/2014/main" id="{77EF3593-341A-4F59-A4B3-075AAE6B220C}"/>
            </a:ext>
          </a:extLst>
        </xdr:cNvPr>
        <xdr:cNvSpPr/>
      </xdr:nvSpPr>
      <xdr:spPr>
        <a:xfrm>
          <a:off x="16969867" y="168518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931</xdr:row>
      <xdr:rowOff>30341</xdr:rowOff>
    </xdr:from>
    <xdr:ext cx="568424" cy="180627"/>
    <xdr:sp macro="_xll.PtreeEvent_ObjectClick" textlink="">
      <xdr:nvSpPr>
        <xdr:cNvPr id="1860" name="PTObj_DBranchName_1_461">
          <a:extLst>
            <a:ext uri="{FF2B5EF4-FFF2-40B4-BE49-F238E27FC236}">
              <a16:creationId xmlns:a16="http://schemas.microsoft.com/office/drawing/2014/main" id="{53D9ACFD-E597-482A-A7FF-F2930605A6FD}"/>
            </a:ext>
          </a:extLst>
        </xdr:cNvPr>
        <xdr:cNvSpPr txBox="1"/>
      </xdr:nvSpPr>
      <xdr:spPr>
        <a:xfrm>
          <a:off x="15820834" y="1685180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933</xdr:row>
      <xdr:rowOff>34925</xdr:rowOff>
    </xdr:from>
    <xdr:to>
      <xdr:col>10</xdr:col>
      <xdr:colOff>135383</xdr:colOff>
      <xdr:row>934</xdr:row>
      <xdr:rowOff>36835</xdr:rowOff>
    </xdr:to>
    <xdr:sp macro="_xll.PtreeEvent_ObjectClick" textlink="">
      <xdr:nvSpPr>
        <xdr:cNvPr id="1861" name="PTObj_DNode_1_462">
          <a:extLst>
            <a:ext uri="{FF2B5EF4-FFF2-40B4-BE49-F238E27FC236}">
              <a16:creationId xmlns:a16="http://schemas.microsoft.com/office/drawing/2014/main" id="{23B2F377-683D-4C6D-9E92-F09D747917B0}"/>
            </a:ext>
          </a:extLst>
        </xdr:cNvPr>
        <xdr:cNvSpPr/>
      </xdr:nvSpPr>
      <xdr:spPr>
        <a:xfrm>
          <a:off x="18394807" y="168884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933</xdr:row>
      <xdr:rowOff>36054</xdr:rowOff>
    </xdr:from>
    <xdr:ext cx="514858" cy="180627"/>
    <xdr:sp macro="_xll.PtreeEvent_ObjectClick" textlink="">
      <xdr:nvSpPr>
        <xdr:cNvPr id="1864" name="PTObj_DBranchName_1_462">
          <a:extLst>
            <a:ext uri="{FF2B5EF4-FFF2-40B4-BE49-F238E27FC236}">
              <a16:creationId xmlns:a16="http://schemas.microsoft.com/office/drawing/2014/main" id="{6CE10CFE-47EF-45A0-8186-BC62F5D27D81}"/>
            </a:ext>
          </a:extLst>
        </xdr:cNvPr>
        <xdr:cNvSpPr txBox="1"/>
      </xdr:nvSpPr>
      <xdr:spPr>
        <a:xfrm>
          <a:off x="17244820" y="1688857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935</xdr:row>
      <xdr:rowOff>38733</xdr:rowOff>
    </xdr:from>
    <xdr:to>
      <xdr:col>11</xdr:col>
      <xdr:colOff>131572</xdr:colOff>
      <xdr:row>936</xdr:row>
      <xdr:rowOff>40642</xdr:rowOff>
    </xdr:to>
    <xdr:sp macro="_xll.PtreeEvent_ObjectClick" textlink="">
      <xdr:nvSpPr>
        <xdr:cNvPr id="1865" name="PTObj_DNode_1_463">
          <a:extLst>
            <a:ext uri="{FF2B5EF4-FFF2-40B4-BE49-F238E27FC236}">
              <a16:creationId xmlns:a16="http://schemas.microsoft.com/office/drawing/2014/main" id="{376FFCD3-BDF0-4E7B-BA28-02FAA2690440}"/>
            </a:ext>
          </a:extLst>
        </xdr:cNvPr>
        <xdr:cNvSpPr/>
      </xdr:nvSpPr>
      <xdr:spPr>
        <a:xfrm>
          <a:off x="19819747" y="169250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935</xdr:row>
      <xdr:rowOff>39861</xdr:rowOff>
    </xdr:from>
    <xdr:ext cx="514858" cy="180627"/>
    <xdr:sp macro="_xll.PtreeEvent_ObjectClick" textlink="">
      <xdr:nvSpPr>
        <xdr:cNvPr id="1868" name="PTObj_DBranchName_1_463">
          <a:extLst>
            <a:ext uri="{FF2B5EF4-FFF2-40B4-BE49-F238E27FC236}">
              <a16:creationId xmlns:a16="http://schemas.microsoft.com/office/drawing/2014/main" id="{DC1E43F7-642A-4F6A-97B0-A4E52767AEC7}"/>
            </a:ext>
          </a:extLst>
        </xdr:cNvPr>
        <xdr:cNvSpPr txBox="1"/>
      </xdr:nvSpPr>
      <xdr:spPr>
        <a:xfrm>
          <a:off x="18666904" y="169251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937</xdr:row>
      <xdr:rowOff>48258</xdr:rowOff>
    </xdr:from>
    <xdr:to>
      <xdr:col>12</xdr:col>
      <xdr:colOff>135385</xdr:colOff>
      <xdr:row>938</xdr:row>
      <xdr:rowOff>53973</xdr:rowOff>
    </xdr:to>
    <xdr:sp macro="_xll.PtreeEvent_ObjectClick" textlink="">
      <xdr:nvSpPr>
        <xdr:cNvPr id="1869" name="PTObj_DNode_1_464">
          <a:extLst>
            <a:ext uri="{FF2B5EF4-FFF2-40B4-BE49-F238E27FC236}">
              <a16:creationId xmlns:a16="http://schemas.microsoft.com/office/drawing/2014/main" id="{A5142C72-5261-4BAB-9479-BCA32A810CA0}"/>
            </a:ext>
          </a:extLst>
        </xdr:cNvPr>
        <xdr:cNvSpPr/>
      </xdr:nvSpPr>
      <xdr:spPr>
        <a:xfrm rot="-5400000">
          <a:off x="21248498" y="1696180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937</xdr:row>
      <xdr:rowOff>45574</xdr:rowOff>
    </xdr:from>
    <xdr:ext cx="514858" cy="180627"/>
    <xdr:sp macro="_xll.PtreeEvent_ObjectClick" textlink="">
      <xdr:nvSpPr>
        <xdr:cNvPr id="1872" name="PTObj_DBranchName_1_464">
          <a:extLst>
            <a:ext uri="{FF2B5EF4-FFF2-40B4-BE49-F238E27FC236}">
              <a16:creationId xmlns:a16="http://schemas.microsoft.com/office/drawing/2014/main" id="{183CAE62-4F54-4845-9267-7AD11C40309C}"/>
            </a:ext>
          </a:extLst>
        </xdr:cNvPr>
        <xdr:cNvSpPr txBox="1"/>
      </xdr:nvSpPr>
      <xdr:spPr>
        <a:xfrm>
          <a:off x="20094701" y="1696191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941</xdr:row>
      <xdr:rowOff>50167</xdr:rowOff>
    </xdr:from>
    <xdr:to>
      <xdr:col>9</xdr:col>
      <xdr:colOff>150622</xdr:colOff>
      <xdr:row>942</xdr:row>
      <xdr:rowOff>59697</xdr:rowOff>
    </xdr:to>
    <xdr:sp macro="_xll.PtreeEvent_ObjectClick" textlink="">
      <xdr:nvSpPr>
        <xdr:cNvPr id="1873" name="PTObj_DNode_1_466">
          <a:extLst>
            <a:ext uri="{FF2B5EF4-FFF2-40B4-BE49-F238E27FC236}">
              <a16:creationId xmlns:a16="http://schemas.microsoft.com/office/drawing/2014/main" id="{E693D56F-277F-4400-9554-8CDFF9A15561}"/>
            </a:ext>
          </a:extLst>
        </xdr:cNvPr>
        <xdr:cNvSpPr/>
      </xdr:nvSpPr>
      <xdr:spPr>
        <a:xfrm>
          <a:off x="16969867" y="170347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941</xdr:row>
      <xdr:rowOff>55106</xdr:rowOff>
    </xdr:from>
    <xdr:ext cx="568424" cy="180627"/>
    <xdr:sp macro="_xll.PtreeEvent_ObjectClick" textlink="">
      <xdr:nvSpPr>
        <xdr:cNvPr id="1876" name="PTObj_DBranchName_1_466">
          <a:extLst>
            <a:ext uri="{FF2B5EF4-FFF2-40B4-BE49-F238E27FC236}">
              <a16:creationId xmlns:a16="http://schemas.microsoft.com/office/drawing/2014/main" id="{34CF4D5F-96C9-49A9-A693-9B1D91251CEB}"/>
            </a:ext>
          </a:extLst>
        </xdr:cNvPr>
        <xdr:cNvSpPr txBox="1"/>
      </xdr:nvSpPr>
      <xdr:spPr>
        <a:xfrm>
          <a:off x="15820834" y="1703525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943</xdr:row>
      <xdr:rowOff>53975</xdr:rowOff>
    </xdr:from>
    <xdr:to>
      <xdr:col>10</xdr:col>
      <xdr:colOff>135383</xdr:colOff>
      <xdr:row>944</xdr:row>
      <xdr:rowOff>59695</xdr:rowOff>
    </xdr:to>
    <xdr:sp macro="_xll.PtreeEvent_ObjectClick" textlink="">
      <xdr:nvSpPr>
        <xdr:cNvPr id="1877" name="PTObj_DNode_1_467">
          <a:extLst>
            <a:ext uri="{FF2B5EF4-FFF2-40B4-BE49-F238E27FC236}">
              <a16:creationId xmlns:a16="http://schemas.microsoft.com/office/drawing/2014/main" id="{ACA5273C-C6C8-447E-BB5E-4DC67E79108F}"/>
            </a:ext>
          </a:extLst>
        </xdr:cNvPr>
        <xdr:cNvSpPr/>
      </xdr:nvSpPr>
      <xdr:spPr>
        <a:xfrm>
          <a:off x="18394807" y="170713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943</xdr:row>
      <xdr:rowOff>58914</xdr:rowOff>
    </xdr:from>
    <xdr:ext cx="514858" cy="180627"/>
    <xdr:sp macro="_xll.PtreeEvent_ObjectClick" textlink="">
      <xdr:nvSpPr>
        <xdr:cNvPr id="1880" name="PTObj_DBranchName_1_467">
          <a:extLst>
            <a:ext uri="{FF2B5EF4-FFF2-40B4-BE49-F238E27FC236}">
              <a16:creationId xmlns:a16="http://schemas.microsoft.com/office/drawing/2014/main" id="{838BCAC5-4003-4A3E-84E8-3B1CBB472496}"/>
            </a:ext>
          </a:extLst>
        </xdr:cNvPr>
        <xdr:cNvSpPr txBox="1"/>
      </xdr:nvSpPr>
      <xdr:spPr>
        <a:xfrm>
          <a:off x="17244820" y="170718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945</xdr:row>
      <xdr:rowOff>57783</xdr:rowOff>
    </xdr:from>
    <xdr:to>
      <xdr:col>11</xdr:col>
      <xdr:colOff>131572</xdr:colOff>
      <xdr:row>946</xdr:row>
      <xdr:rowOff>59692</xdr:rowOff>
    </xdr:to>
    <xdr:sp macro="_xll.PtreeEvent_ObjectClick" textlink="">
      <xdr:nvSpPr>
        <xdr:cNvPr id="1881" name="PTObj_DNode_1_468">
          <a:extLst>
            <a:ext uri="{FF2B5EF4-FFF2-40B4-BE49-F238E27FC236}">
              <a16:creationId xmlns:a16="http://schemas.microsoft.com/office/drawing/2014/main" id="{69309213-4C0F-4592-9834-AE718AB0C93C}"/>
            </a:ext>
          </a:extLst>
        </xdr:cNvPr>
        <xdr:cNvSpPr/>
      </xdr:nvSpPr>
      <xdr:spPr>
        <a:xfrm>
          <a:off x="19819747" y="171079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945</xdr:row>
      <xdr:rowOff>55101</xdr:rowOff>
    </xdr:from>
    <xdr:ext cx="514858" cy="180627"/>
    <xdr:sp macro="_xll.PtreeEvent_ObjectClick" textlink="">
      <xdr:nvSpPr>
        <xdr:cNvPr id="1884" name="PTObj_DBranchName_1_468">
          <a:extLst>
            <a:ext uri="{FF2B5EF4-FFF2-40B4-BE49-F238E27FC236}">
              <a16:creationId xmlns:a16="http://schemas.microsoft.com/office/drawing/2014/main" id="{C59AC561-7467-4DF1-9EC9-986CFE9F22FF}"/>
            </a:ext>
          </a:extLst>
        </xdr:cNvPr>
        <xdr:cNvSpPr txBox="1"/>
      </xdr:nvSpPr>
      <xdr:spPr>
        <a:xfrm>
          <a:off x="18666904" y="171076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947</xdr:row>
      <xdr:rowOff>61593</xdr:rowOff>
    </xdr:from>
    <xdr:to>
      <xdr:col>12</xdr:col>
      <xdr:colOff>135385</xdr:colOff>
      <xdr:row>948</xdr:row>
      <xdr:rowOff>59688</xdr:rowOff>
    </xdr:to>
    <xdr:sp macro="_xll.PtreeEvent_ObjectClick" textlink="">
      <xdr:nvSpPr>
        <xdr:cNvPr id="1885" name="PTObj_DNode_1_469">
          <a:extLst>
            <a:ext uri="{FF2B5EF4-FFF2-40B4-BE49-F238E27FC236}">
              <a16:creationId xmlns:a16="http://schemas.microsoft.com/office/drawing/2014/main" id="{EBA110DF-89C3-468F-AE9D-A53690473FB7}"/>
            </a:ext>
          </a:extLst>
        </xdr:cNvPr>
        <xdr:cNvSpPr/>
      </xdr:nvSpPr>
      <xdr:spPr>
        <a:xfrm rot="-5400000">
          <a:off x="21248498" y="1714411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947</xdr:row>
      <xdr:rowOff>58909</xdr:rowOff>
    </xdr:from>
    <xdr:ext cx="514858" cy="180627"/>
    <xdr:sp macro="_xll.PtreeEvent_ObjectClick" textlink="">
      <xdr:nvSpPr>
        <xdr:cNvPr id="1888" name="PTObj_DBranchName_1_469">
          <a:extLst>
            <a:ext uri="{FF2B5EF4-FFF2-40B4-BE49-F238E27FC236}">
              <a16:creationId xmlns:a16="http://schemas.microsoft.com/office/drawing/2014/main" id="{3AB87A4D-BFCA-4F1F-978A-13D42247A628}"/>
            </a:ext>
          </a:extLst>
        </xdr:cNvPr>
        <xdr:cNvSpPr txBox="1"/>
      </xdr:nvSpPr>
      <xdr:spPr>
        <a:xfrm>
          <a:off x="20094701" y="171442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959</xdr:row>
      <xdr:rowOff>84460</xdr:rowOff>
    </xdr:from>
    <xdr:to>
      <xdr:col>8</xdr:col>
      <xdr:colOff>154432</xdr:colOff>
      <xdr:row>960</xdr:row>
      <xdr:rowOff>92085</xdr:rowOff>
    </xdr:to>
    <xdr:sp macro="_xll.PtreeEvent_ObjectClick" textlink="">
      <xdr:nvSpPr>
        <xdr:cNvPr id="1889" name="PTObj_DNode_1_475">
          <a:extLst>
            <a:ext uri="{FF2B5EF4-FFF2-40B4-BE49-F238E27FC236}">
              <a16:creationId xmlns:a16="http://schemas.microsoft.com/office/drawing/2014/main" id="{4FC549C4-B5F4-4892-9456-372F6FDAAD35}"/>
            </a:ext>
          </a:extLst>
        </xdr:cNvPr>
        <xdr:cNvSpPr/>
      </xdr:nvSpPr>
      <xdr:spPr>
        <a:xfrm>
          <a:off x="15544927" y="17363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959</xdr:row>
      <xdr:rowOff>87481</xdr:rowOff>
    </xdr:from>
    <xdr:ext cx="568425" cy="180627"/>
    <xdr:sp macro="_xll.PtreeEvent_ObjectClick" textlink="">
      <xdr:nvSpPr>
        <xdr:cNvPr id="1892" name="PTObj_DBranchName_1_475">
          <a:extLst>
            <a:ext uri="{FF2B5EF4-FFF2-40B4-BE49-F238E27FC236}">
              <a16:creationId xmlns:a16="http://schemas.microsoft.com/office/drawing/2014/main" id="{ADC5AED3-7FB8-4F03-A6C1-F64FAA573817}"/>
            </a:ext>
          </a:extLst>
        </xdr:cNvPr>
        <xdr:cNvSpPr txBox="1"/>
      </xdr:nvSpPr>
      <xdr:spPr>
        <a:xfrm>
          <a:off x="14400657" y="17364250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951</xdr:row>
      <xdr:rowOff>69217</xdr:rowOff>
    </xdr:from>
    <xdr:to>
      <xdr:col>9</xdr:col>
      <xdr:colOff>150622</xdr:colOff>
      <xdr:row>952</xdr:row>
      <xdr:rowOff>59697</xdr:rowOff>
    </xdr:to>
    <xdr:sp macro="_xll.PtreeEvent_ObjectClick" textlink="">
      <xdr:nvSpPr>
        <xdr:cNvPr id="1893" name="PTObj_DNode_1_471">
          <a:extLst>
            <a:ext uri="{FF2B5EF4-FFF2-40B4-BE49-F238E27FC236}">
              <a16:creationId xmlns:a16="http://schemas.microsoft.com/office/drawing/2014/main" id="{DE3338E5-D33B-4932-83CD-230EC9C8C098}"/>
            </a:ext>
          </a:extLst>
        </xdr:cNvPr>
        <xdr:cNvSpPr/>
      </xdr:nvSpPr>
      <xdr:spPr>
        <a:xfrm>
          <a:off x="16969867" y="172176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951</xdr:row>
      <xdr:rowOff>68441</xdr:rowOff>
    </xdr:from>
    <xdr:ext cx="568424" cy="180627"/>
    <xdr:sp macro="_xll.PtreeEvent_ObjectClick" textlink="">
      <xdr:nvSpPr>
        <xdr:cNvPr id="1896" name="PTObj_DBranchName_1_471">
          <a:extLst>
            <a:ext uri="{FF2B5EF4-FFF2-40B4-BE49-F238E27FC236}">
              <a16:creationId xmlns:a16="http://schemas.microsoft.com/office/drawing/2014/main" id="{66EEF29C-0F4C-46B2-9961-46F8EC5A642D}"/>
            </a:ext>
          </a:extLst>
        </xdr:cNvPr>
        <xdr:cNvSpPr txBox="1"/>
      </xdr:nvSpPr>
      <xdr:spPr>
        <a:xfrm>
          <a:off x="15820834" y="1721756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953</xdr:row>
      <xdr:rowOff>73025</xdr:rowOff>
    </xdr:from>
    <xdr:to>
      <xdr:col>10</xdr:col>
      <xdr:colOff>131573</xdr:colOff>
      <xdr:row>954</xdr:row>
      <xdr:rowOff>74935</xdr:rowOff>
    </xdr:to>
    <xdr:sp macro="_xll.PtreeEvent_ObjectClick" textlink="">
      <xdr:nvSpPr>
        <xdr:cNvPr id="1897" name="PTObj_DNode_1_472">
          <a:extLst>
            <a:ext uri="{FF2B5EF4-FFF2-40B4-BE49-F238E27FC236}">
              <a16:creationId xmlns:a16="http://schemas.microsoft.com/office/drawing/2014/main" id="{6AFC538F-7CDB-44C3-9F44-EFAFB1123A90}"/>
            </a:ext>
          </a:extLst>
        </xdr:cNvPr>
        <xdr:cNvSpPr/>
      </xdr:nvSpPr>
      <xdr:spPr>
        <a:xfrm>
          <a:off x="18394807" y="172542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953</xdr:row>
      <xdr:rowOff>74154</xdr:rowOff>
    </xdr:from>
    <xdr:ext cx="514858" cy="180627"/>
    <xdr:sp macro="_xll.PtreeEvent_ObjectClick" textlink="">
      <xdr:nvSpPr>
        <xdr:cNvPr id="1900" name="PTObj_DBranchName_1_472">
          <a:extLst>
            <a:ext uri="{FF2B5EF4-FFF2-40B4-BE49-F238E27FC236}">
              <a16:creationId xmlns:a16="http://schemas.microsoft.com/office/drawing/2014/main" id="{FA285A2B-0B1B-4BB2-885E-FF7A7E19F444}"/>
            </a:ext>
          </a:extLst>
        </xdr:cNvPr>
        <xdr:cNvSpPr txBox="1"/>
      </xdr:nvSpPr>
      <xdr:spPr>
        <a:xfrm>
          <a:off x="17244820" y="1725433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955</xdr:row>
      <xdr:rowOff>76833</xdr:rowOff>
    </xdr:from>
    <xdr:to>
      <xdr:col>11</xdr:col>
      <xdr:colOff>135382</xdr:colOff>
      <xdr:row>956</xdr:row>
      <xdr:rowOff>78742</xdr:rowOff>
    </xdr:to>
    <xdr:sp macro="_xll.PtreeEvent_ObjectClick" textlink="">
      <xdr:nvSpPr>
        <xdr:cNvPr id="1901" name="PTObj_DNode_1_473">
          <a:extLst>
            <a:ext uri="{FF2B5EF4-FFF2-40B4-BE49-F238E27FC236}">
              <a16:creationId xmlns:a16="http://schemas.microsoft.com/office/drawing/2014/main" id="{8545F978-C0F9-493A-A567-D252F4E68CC3}"/>
            </a:ext>
          </a:extLst>
        </xdr:cNvPr>
        <xdr:cNvSpPr/>
      </xdr:nvSpPr>
      <xdr:spPr>
        <a:xfrm>
          <a:off x="19819747" y="172907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955</xdr:row>
      <xdr:rowOff>77961</xdr:rowOff>
    </xdr:from>
    <xdr:ext cx="514858" cy="180627"/>
    <xdr:sp macro="_xll.PtreeEvent_ObjectClick" textlink="">
      <xdr:nvSpPr>
        <xdr:cNvPr id="1904" name="PTObj_DBranchName_1_473">
          <a:extLst>
            <a:ext uri="{FF2B5EF4-FFF2-40B4-BE49-F238E27FC236}">
              <a16:creationId xmlns:a16="http://schemas.microsoft.com/office/drawing/2014/main" id="{72664379-0F18-4357-BCB2-AD39837ECC0F}"/>
            </a:ext>
          </a:extLst>
        </xdr:cNvPr>
        <xdr:cNvSpPr txBox="1"/>
      </xdr:nvSpPr>
      <xdr:spPr>
        <a:xfrm>
          <a:off x="18666904" y="172909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957</xdr:row>
      <xdr:rowOff>86358</xdr:rowOff>
    </xdr:from>
    <xdr:to>
      <xdr:col>12</xdr:col>
      <xdr:colOff>131575</xdr:colOff>
      <xdr:row>958</xdr:row>
      <xdr:rowOff>95883</xdr:rowOff>
    </xdr:to>
    <xdr:sp macro="_xll.PtreeEvent_ObjectClick" textlink="">
      <xdr:nvSpPr>
        <xdr:cNvPr id="1905" name="PTObj_DNode_1_474">
          <a:extLst>
            <a:ext uri="{FF2B5EF4-FFF2-40B4-BE49-F238E27FC236}">
              <a16:creationId xmlns:a16="http://schemas.microsoft.com/office/drawing/2014/main" id="{95347EC2-9A6C-4E6A-A15F-F33CADFB2B3C}"/>
            </a:ext>
          </a:extLst>
        </xdr:cNvPr>
        <xdr:cNvSpPr/>
      </xdr:nvSpPr>
      <xdr:spPr>
        <a:xfrm rot="-5400000">
          <a:off x="21248498" y="1732756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957</xdr:row>
      <xdr:rowOff>83674</xdr:rowOff>
    </xdr:from>
    <xdr:ext cx="514858" cy="180627"/>
    <xdr:sp macro="_xll.PtreeEvent_ObjectClick" textlink="">
      <xdr:nvSpPr>
        <xdr:cNvPr id="1908" name="PTObj_DBranchName_1_474">
          <a:extLst>
            <a:ext uri="{FF2B5EF4-FFF2-40B4-BE49-F238E27FC236}">
              <a16:creationId xmlns:a16="http://schemas.microsoft.com/office/drawing/2014/main" id="{A4D62D06-5D62-4278-8235-E5F2EFD675AF}"/>
            </a:ext>
          </a:extLst>
        </xdr:cNvPr>
        <xdr:cNvSpPr txBox="1"/>
      </xdr:nvSpPr>
      <xdr:spPr>
        <a:xfrm>
          <a:off x="20094701" y="1732767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961</xdr:row>
      <xdr:rowOff>88267</xdr:rowOff>
    </xdr:from>
    <xdr:to>
      <xdr:col>9</xdr:col>
      <xdr:colOff>150622</xdr:colOff>
      <xdr:row>962</xdr:row>
      <xdr:rowOff>93987</xdr:rowOff>
    </xdr:to>
    <xdr:sp macro="_xll.PtreeEvent_ObjectClick" textlink="">
      <xdr:nvSpPr>
        <xdr:cNvPr id="1909" name="PTObj_DNode_1_476">
          <a:extLst>
            <a:ext uri="{FF2B5EF4-FFF2-40B4-BE49-F238E27FC236}">
              <a16:creationId xmlns:a16="http://schemas.microsoft.com/office/drawing/2014/main" id="{4AA5708D-ABCA-49BE-8DCA-3DD1F90EDDF2}"/>
            </a:ext>
          </a:extLst>
        </xdr:cNvPr>
        <xdr:cNvSpPr/>
      </xdr:nvSpPr>
      <xdr:spPr>
        <a:xfrm>
          <a:off x="16969867" y="174005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961</xdr:row>
      <xdr:rowOff>93206</xdr:rowOff>
    </xdr:from>
    <xdr:ext cx="568424" cy="180627"/>
    <xdr:sp macro="_xll.PtreeEvent_ObjectClick" textlink="">
      <xdr:nvSpPr>
        <xdr:cNvPr id="1912" name="PTObj_DBranchName_1_476">
          <a:extLst>
            <a:ext uri="{FF2B5EF4-FFF2-40B4-BE49-F238E27FC236}">
              <a16:creationId xmlns:a16="http://schemas.microsoft.com/office/drawing/2014/main" id="{142150A5-BA15-49C3-A6AE-5AA8EF2B331E}"/>
            </a:ext>
          </a:extLst>
        </xdr:cNvPr>
        <xdr:cNvSpPr txBox="1"/>
      </xdr:nvSpPr>
      <xdr:spPr>
        <a:xfrm>
          <a:off x="15820834" y="1740101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963</xdr:row>
      <xdr:rowOff>92075</xdr:rowOff>
    </xdr:from>
    <xdr:to>
      <xdr:col>10</xdr:col>
      <xdr:colOff>131573</xdr:colOff>
      <xdr:row>964</xdr:row>
      <xdr:rowOff>93985</xdr:rowOff>
    </xdr:to>
    <xdr:sp macro="_xll.PtreeEvent_ObjectClick" textlink="">
      <xdr:nvSpPr>
        <xdr:cNvPr id="1913" name="PTObj_DNode_1_477">
          <a:extLst>
            <a:ext uri="{FF2B5EF4-FFF2-40B4-BE49-F238E27FC236}">
              <a16:creationId xmlns:a16="http://schemas.microsoft.com/office/drawing/2014/main" id="{DA5826C2-2E6F-4784-966B-AA2BE6BF5680}"/>
            </a:ext>
          </a:extLst>
        </xdr:cNvPr>
        <xdr:cNvSpPr/>
      </xdr:nvSpPr>
      <xdr:spPr>
        <a:xfrm>
          <a:off x="18394807" y="174371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963</xdr:row>
      <xdr:rowOff>97014</xdr:rowOff>
    </xdr:from>
    <xdr:ext cx="514858" cy="180627"/>
    <xdr:sp macro="_xll.PtreeEvent_ObjectClick" textlink="">
      <xdr:nvSpPr>
        <xdr:cNvPr id="1916" name="PTObj_DBranchName_1_477">
          <a:extLst>
            <a:ext uri="{FF2B5EF4-FFF2-40B4-BE49-F238E27FC236}">
              <a16:creationId xmlns:a16="http://schemas.microsoft.com/office/drawing/2014/main" id="{A9DB532F-8E18-4396-8105-04F0CAAE3024}"/>
            </a:ext>
          </a:extLst>
        </xdr:cNvPr>
        <xdr:cNvSpPr txBox="1"/>
      </xdr:nvSpPr>
      <xdr:spPr>
        <a:xfrm>
          <a:off x="17244820" y="174375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965</xdr:row>
      <xdr:rowOff>95883</xdr:rowOff>
    </xdr:from>
    <xdr:to>
      <xdr:col>11</xdr:col>
      <xdr:colOff>135382</xdr:colOff>
      <xdr:row>966</xdr:row>
      <xdr:rowOff>93982</xdr:rowOff>
    </xdr:to>
    <xdr:sp macro="_xll.PtreeEvent_ObjectClick" textlink="">
      <xdr:nvSpPr>
        <xdr:cNvPr id="1917" name="PTObj_DNode_1_478">
          <a:extLst>
            <a:ext uri="{FF2B5EF4-FFF2-40B4-BE49-F238E27FC236}">
              <a16:creationId xmlns:a16="http://schemas.microsoft.com/office/drawing/2014/main" id="{DB5DA89B-D907-4220-8719-A0D2BD7DF0E4}"/>
            </a:ext>
          </a:extLst>
        </xdr:cNvPr>
        <xdr:cNvSpPr/>
      </xdr:nvSpPr>
      <xdr:spPr>
        <a:xfrm>
          <a:off x="19819747" y="174736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965</xdr:row>
      <xdr:rowOff>93201</xdr:rowOff>
    </xdr:from>
    <xdr:ext cx="514858" cy="180627"/>
    <xdr:sp macro="_xll.PtreeEvent_ObjectClick" textlink="">
      <xdr:nvSpPr>
        <xdr:cNvPr id="1920" name="PTObj_DBranchName_1_478">
          <a:extLst>
            <a:ext uri="{FF2B5EF4-FFF2-40B4-BE49-F238E27FC236}">
              <a16:creationId xmlns:a16="http://schemas.microsoft.com/office/drawing/2014/main" id="{B9A2A337-267F-4E8B-8125-C5E5F441CF3F}"/>
            </a:ext>
          </a:extLst>
        </xdr:cNvPr>
        <xdr:cNvSpPr txBox="1"/>
      </xdr:nvSpPr>
      <xdr:spPr>
        <a:xfrm>
          <a:off x="18666904" y="174734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967</xdr:row>
      <xdr:rowOff>99693</xdr:rowOff>
    </xdr:from>
    <xdr:to>
      <xdr:col>12</xdr:col>
      <xdr:colOff>131575</xdr:colOff>
      <xdr:row>968</xdr:row>
      <xdr:rowOff>93978</xdr:rowOff>
    </xdr:to>
    <xdr:sp macro="_xll.PtreeEvent_ObjectClick" textlink="">
      <xdr:nvSpPr>
        <xdr:cNvPr id="1921" name="PTObj_DNode_1_479">
          <a:extLst>
            <a:ext uri="{FF2B5EF4-FFF2-40B4-BE49-F238E27FC236}">
              <a16:creationId xmlns:a16="http://schemas.microsoft.com/office/drawing/2014/main" id="{8DC38964-D957-43DF-82F7-4F5B88568CB9}"/>
            </a:ext>
          </a:extLst>
        </xdr:cNvPr>
        <xdr:cNvSpPr/>
      </xdr:nvSpPr>
      <xdr:spPr>
        <a:xfrm rot="-5400000">
          <a:off x="21248498" y="1750987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967</xdr:row>
      <xdr:rowOff>97009</xdr:rowOff>
    </xdr:from>
    <xdr:ext cx="514858" cy="180627"/>
    <xdr:sp macro="_xll.PtreeEvent_ObjectClick" textlink="">
      <xdr:nvSpPr>
        <xdr:cNvPr id="1924" name="PTObj_DBranchName_1_479">
          <a:extLst>
            <a:ext uri="{FF2B5EF4-FFF2-40B4-BE49-F238E27FC236}">
              <a16:creationId xmlns:a16="http://schemas.microsoft.com/office/drawing/2014/main" id="{8585297B-CC55-4C3F-8166-1183218507C2}"/>
            </a:ext>
          </a:extLst>
        </xdr:cNvPr>
        <xdr:cNvSpPr txBox="1"/>
      </xdr:nvSpPr>
      <xdr:spPr>
        <a:xfrm>
          <a:off x="20094701" y="175099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3</xdr:col>
      <xdr:colOff>1415542</xdr:colOff>
      <xdr:row>1131</xdr:row>
      <xdr:rowOff>46360</xdr:rowOff>
    </xdr:from>
    <xdr:to>
      <xdr:col>4</xdr:col>
      <xdr:colOff>173483</xdr:colOff>
      <xdr:row>1132</xdr:row>
      <xdr:rowOff>57795</xdr:rowOff>
    </xdr:to>
    <xdr:sp macro="_xll.PtreeEvent_ObjectClick" textlink="">
      <xdr:nvSpPr>
        <xdr:cNvPr id="1925" name="PTObj_DNode_1_560">
          <a:extLst>
            <a:ext uri="{FF2B5EF4-FFF2-40B4-BE49-F238E27FC236}">
              <a16:creationId xmlns:a16="http://schemas.microsoft.com/office/drawing/2014/main" id="{3A9FEEBB-B721-4471-A67C-8F3FD53F3F30}"/>
            </a:ext>
          </a:extLst>
        </xdr:cNvPr>
        <xdr:cNvSpPr/>
      </xdr:nvSpPr>
      <xdr:spPr>
        <a:xfrm>
          <a:off x="9845167" y="2047290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266509</xdr:colOff>
      <xdr:row>1131</xdr:row>
      <xdr:rowOff>49381</xdr:rowOff>
    </xdr:from>
    <xdr:ext cx="566520" cy="180627"/>
    <xdr:sp macro="_xll.PtreeEvent_ObjectClick" textlink="">
      <xdr:nvSpPr>
        <xdr:cNvPr id="1928" name="PTObj_DBranchName_1_560">
          <a:extLst>
            <a:ext uri="{FF2B5EF4-FFF2-40B4-BE49-F238E27FC236}">
              <a16:creationId xmlns:a16="http://schemas.microsoft.com/office/drawing/2014/main" id="{8DD96661-970E-4AB4-9ED8-5CAFB4C28877}"/>
            </a:ext>
          </a:extLst>
        </xdr:cNvPr>
        <xdr:cNvSpPr txBox="1"/>
      </xdr:nvSpPr>
      <xdr:spPr>
        <a:xfrm>
          <a:off x="8696134" y="204732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4</xdr:col>
      <xdr:colOff>1411732</xdr:colOff>
      <xdr:row>1050</xdr:row>
      <xdr:rowOff>74935</xdr:rowOff>
    </xdr:from>
    <xdr:to>
      <xdr:col>5</xdr:col>
      <xdr:colOff>169672</xdr:colOff>
      <xdr:row>1051</xdr:row>
      <xdr:rowOff>76845</xdr:rowOff>
    </xdr:to>
    <xdr:sp macro="_xll.PtreeEvent_ObjectClick" textlink="">
      <xdr:nvSpPr>
        <xdr:cNvPr id="1929" name="PTObj_DNode_1_520">
          <a:extLst>
            <a:ext uri="{FF2B5EF4-FFF2-40B4-BE49-F238E27FC236}">
              <a16:creationId xmlns:a16="http://schemas.microsoft.com/office/drawing/2014/main" id="{C01F8A9A-0CB4-4E87-B706-63CB405D66A9}"/>
            </a:ext>
          </a:extLst>
        </xdr:cNvPr>
        <xdr:cNvSpPr/>
      </xdr:nvSpPr>
      <xdr:spPr>
        <a:xfrm>
          <a:off x="11270107" y="190098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264605</xdr:colOff>
      <xdr:row>1050</xdr:row>
      <xdr:rowOff>76051</xdr:rowOff>
    </xdr:from>
    <xdr:ext cx="566520" cy="180627"/>
    <xdr:sp macro="_xll.PtreeEvent_ObjectClick" textlink="">
      <xdr:nvSpPr>
        <xdr:cNvPr id="1932" name="PTObj_DBranchName_1_520">
          <a:extLst>
            <a:ext uri="{FF2B5EF4-FFF2-40B4-BE49-F238E27FC236}">
              <a16:creationId xmlns:a16="http://schemas.microsoft.com/office/drawing/2014/main" id="{C481CB94-4C72-4A60-AAE0-5F0596DF589D}"/>
            </a:ext>
          </a:extLst>
        </xdr:cNvPr>
        <xdr:cNvSpPr txBox="1"/>
      </xdr:nvSpPr>
      <xdr:spPr>
        <a:xfrm>
          <a:off x="10122980" y="190099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1407922</xdr:colOff>
      <xdr:row>1009</xdr:row>
      <xdr:rowOff>179710</xdr:rowOff>
    </xdr:from>
    <xdr:to>
      <xdr:col>6</xdr:col>
      <xdr:colOff>167767</xdr:colOff>
      <xdr:row>1011</xdr:row>
      <xdr:rowOff>645</xdr:rowOff>
    </xdr:to>
    <xdr:sp macro="_xll.PtreeEvent_ObjectClick" textlink="">
      <xdr:nvSpPr>
        <xdr:cNvPr id="1933" name="PTObj_DNode_1_500">
          <a:extLst>
            <a:ext uri="{FF2B5EF4-FFF2-40B4-BE49-F238E27FC236}">
              <a16:creationId xmlns:a16="http://schemas.microsoft.com/office/drawing/2014/main" id="{5DEE30A3-51C4-4B98-9F0A-E73283F4A584}"/>
            </a:ext>
          </a:extLst>
        </xdr:cNvPr>
        <xdr:cNvSpPr/>
      </xdr:nvSpPr>
      <xdr:spPr>
        <a:xfrm>
          <a:off x="12695047" y="182783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1009</xdr:row>
      <xdr:rowOff>178921</xdr:rowOff>
    </xdr:from>
    <xdr:ext cx="568424" cy="180627"/>
    <xdr:sp macro="_xll.PtreeEvent_ObjectClick" textlink="">
      <xdr:nvSpPr>
        <xdr:cNvPr id="1936" name="PTObj_DBranchName_1_500">
          <a:extLst>
            <a:ext uri="{FF2B5EF4-FFF2-40B4-BE49-F238E27FC236}">
              <a16:creationId xmlns:a16="http://schemas.microsoft.com/office/drawing/2014/main" id="{EAD8BDF9-C743-4557-AB2C-B503ABF566F2}"/>
            </a:ext>
          </a:extLst>
        </xdr:cNvPr>
        <xdr:cNvSpPr txBox="1"/>
      </xdr:nvSpPr>
      <xdr:spPr>
        <a:xfrm>
          <a:off x="11548872" y="18278269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989</xdr:row>
      <xdr:rowOff>141610</xdr:rowOff>
    </xdr:from>
    <xdr:to>
      <xdr:col>7</xdr:col>
      <xdr:colOff>171578</xdr:colOff>
      <xdr:row>990</xdr:row>
      <xdr:rowOff>135900</xdr:rowOff>
    </xdr:to>
    <xdr:sp macro="_xll.PtreeEvent_ObjectClick" textlink="">
      <xdr:nvSpPr>
        <xdr:cNvPr id="1937" name="PTObj_DNode_1_490">
          <a:extLst>
            <a:ext uri="{FF2B5EF4-FFF2-40B4-BE49-F238E27FC236}">
              <a16:creationId xmlns:a16="http://schemas.microsoft.com/office/drawing/2014/main" id="{7EB63961-27B7-450D-A3E1-1070A37F6712}"/>
            </a:ext>
          </a:extLst>
        </xdr:cNvPr>
        <xdr:cNvSpPr/>
      </xdr:nvSpPr>
      <xdr:spPr>
        <a:xfrm>
          <a:off x="14119988" y="17912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989</xdr:row>
      <xdr:rowOff>140821</xdr:rowOff>
    </xdr:from>
    <xdr:ext cx="566520" cy="180627"/>
    <xdr:sp macro="_xll.PtreeEvent_ObjectClick" textlink="">
      <xdr:nvSpPr>
        <xdr:cNvPr id="1940" name="PTObj_DBranchName_1_490">
          <a:extLst>
            <a:ext uri="{FF2B5EF4-FFF2-40B4-BE49-F238E27FC236}">
              <a16:creationId xmlns:a16="http://schemas.microsoft.com/office/drawing/2014/main" id="{484E8C36-1817-4894-A284-D86FABF33969}"/>
            </a:ext>
          </a:extLst>
        </xdr:cNvPr>
        <xdr:cNvSpPr txBox="1"/>
      </xdr:nvSpPr>
      <xdr:spPr>
        <a:xfrm>
          <a:off x="12976669" y="179125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979</xdr:row>
      <xdr:rowOff>122560</xdr:rowOff>
    </xdr:from>
    <xdr:to>
      <xdr:col>8</xdr:col>
      <xdr:colOff>154432</xdr:colOff>
      <xdr:row>980</xdr:row>
      <xdr:rowOff>130185</xdr:rowOff>
    </xdr:to>
    <xdr:sp macro="_xll.PtreeEvent_ObjectClick" textlink="">
      <xdr:nvSpPr>
        <xdr:cNvPr id="1941" name="PTObj_DNode_1_485">
          <a:extLst>
            <a:ext uri="{FF2B5EF4-FFF2-40B4-BE49-F238E27FC236}">
              <a16:creationId xmlns:a16="http://schemas.microsoft.com/office/drawing/2014/main" id="{775416C0-B7DF-4F86-B972-BAC9A84D299A}"/>
            </a:ext>
          </a:extLst>
        </xdr:cNvPr>
        <xdr:cNvSpPr/>
      </xdr:nvSpPr>
      <xdr:spPr>
        <a:xfrm>
          <a:off x="15544927" y="17729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979</xdr:row>
      <xdr:rowOff>125581</xdr:rowOff>
    </xdr:from>
    <xdr:ext cx="566519" cy="180627"/>
    <xdr:sp macro="_xll.PtreeEvent_ObjectClick" textlink="">
      <xdr:nvSpPr>
        <xdr:cNvPr id="1944" name="PTObj_DBranchName_1_485">
          <a:extLst>
            <a:ext uri="{FF2B5EF4-FFF2-40B4-BE49-F238E27FC236}">
              <a16:creationId xmlns:a16="http://schemas.microsoft.com/office/drawing/2014/main" id="{50414256-D7BD-4106-B437-B07074D17DFA}"/>
            </a:ext>
          </a:extLst>
        </xdr:cNvPr>
        <xdr:cNvSpPr txBox="1"/>
      </xdr:nvSpPr>
      <xdr:spPr>
        <a:xfrm>
          <a:off x="14398752" y="17730010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971</xdr:row>
      <xdr:rowOff>107317</xdr:rowOff>
    </xdr:from>
    <xdr:to>
      <xdr:col>9</xdr:col>
      <xdr:colOff>150622</xdr:colOff>
      <xdr:row>972</xdr:row>
      <xdr:rowOff>97797</xdr:rowOff>
    </xdr:to>
    <xdr:sp macro="_xll.PtreeEvent_ObjectClick" textlink="">
      <xdr:nvSpPr>
        <xdr:cNvPr id="1945" name="PTObj_DNode_1_481">
          <a:extLst>
            <a:ext uri="{FF2B5EF4-FFF2-40B4-BE49-F238E27FC236}">
              <a16:creationId xmlns:a16="http://schemas.microsoft.com/office/drawing/2014/main" id="{3B094BD1-7C29-48D5-803F-790EE4895B9D}"/>
            </a:ext>
          </a:extLst>
        </xdr:cNvPr>
        <xdr:cNvSpPr/>
      </xdr:nvSpPr>
      <xdr:spPr>
        <a:xfrm>
          <a:off x="16969867" y="175834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971</xdr:row>
      <xdr:rowOff>106541</xdr:rowOff>
    </xdr:from>
    <xdr:ext cx="568424" cy="180627"/>
    <xdr:sp macro="_xll.PtreeEvent_ObjectClick" textlink="">
      <xdr:nvSpPr>
        <xdr:cNvPr id="1948" name="PTObj_DBranchName_1_481">
          <a:extLst>
            <a:ext uri="{FF2B5EF4-FFF2-40B4-BE49-F238E27FC236}">
              <a16:creationId xmlns:a16="http://schemas.microsoft.com/office/drawing/2014/main" id="{EEF2DEEF-8847-4183-9B16-AE8AC3C20309}"/>
            </a:ext>
          </a:extLst>
        </xdr:cNvPr>
        <xdr:cNvSpPr txBox="1"/>
      </xdr:nvSpPr>
      <xdr:spPr>
        <a:xfrm>
          <a:off x="15820834" y="1758332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973</xdr:row>
      <xdr:rowOff>111125</xdr:rowOff>
    </xdr:from>
    <xdr:to>
      <xdr:col>10</xdr:col>
      <xdr:colOff>131573</xdr:colOff>
      <xdr:row>974</xdr:row>
      <xdr:rowOff>113035</xdr:rowOff>
    </xdr:to>
    <xdr:sp macro="_xll.PtreeEvent_ObjectClick" textlink="">
      <xdr:nvSpPr>
        <xdr:cNvPr id="1949" name="PTObj_DNode_1_482">
          <a:extLst>
            <a:ext uri="{FF2B5EF4-FFF2-40B4-BE49-F238E27FC236}">
              <a16:creationId xmlns:a16="http://schemas.microsoft.com/office/drawing/2014/main" id="{CED49920-EA8C-43E5-9AAC-B7E078C6625D}"/>
            </a:ext>
          </a:extLst>
        </xdr:cNvPr>
        <xdr:cNvSpPr/>
      </xdr:nvSpPr>
      <xdr:spPr>
        <a:xfrm>
          <a:off x="18394807" y="176199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973</xdr:row>
      <xdr:rowOff>112254</xdr:rowOff>
    </xdr:from>
    <xdr:ext cx="514858" cy="180627"/>
    <xdr:sp macro="_xll.PtreeEvent_ObjectClick" textlink="">
      <xdr:nvSpPr>
        <xdr:cNvPr id="1952" name="PTObj_DBranchName_1_482">
          <a:extLst>
            <a:ext uri="{FF2B5EF4-FFF2-40B4-BE49-F238E27FC236}">
              <a16:creationId xmlns:a16="http://schemas.microsoft.com/office/drawing/2014/main" id="{E95DDCA2-A963-4B0A-8D1D-A77C7902A80F}"/>
            </a:ext>
          </a:extLst>
        </xdr:cNvPr>
        <xdr:cNvSpPr txBox="1"/>
      </xdr:nvSpPr>
      <xdr:spPr>
        <a:xfrm>
          <a:off x="17244820" y="1762009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975</xdr:row>
      <xdr:rowOff>114933</xdr:rowOff>
    </xdr:from>
    <xdr:to>
      <xdr:col>11</xdr:col>
      <xdr:colOff>135382</xdr:colOff>
      <xdr:row>976</xdr:row>
      <xdr:rowOff>116842</xdr:rowOff>
    </xdr:to>
    <xdr:sp macro="_xll.PtreeEvent_ObjectClick" textlink="">
      <xdr:nvSpPr>
        <xdr:cNvPr id="1953" name="PTObj_DNode_1_483">
          <a:extLst>
            <a:ext uri="{FF2B5EF4-FFF2-40B4-BE49-F238E27FC236}">
              <a16:creationId xmlns:a16="http://schemas.microsoft.com/office/drawing/2014/main" id="{854FEC4B-3751-4E5D-8C27-EBDA11E618C3}"/>
            </a:ext>
          </a:extLst>
        </xdr:cNvPr>
        <xdr:cNvSpPr/>
      </xdr:nvSpPr>
      <xdr:spPr>
        <a:xfrm>
          <a:off x="19819747" y="176565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975</xdr:row>
      <xdr:rowOff>116061</xdr:rowOff>
    </xdr:from>
    <xdr:ext cx="514858" cy="180627"/>
    <xdr:sp macro="_xll.PtreeEvent_ObjectClick" textlink="">
      <xdr:nvSpPr>
        <xdr:cNvPr id="1956" name="PTObj_DBranchName_1_483">
          <a:extLst>
            <a:ext uri="{FF2B5EF4-FFF2-40B4-BE49-F238E27FC236}">
              <a16:creationId xmlns:a16="http://schemas.microsoft.com/office/drawing/2014/main" id="{BCF9274D-EA2B-42CA-9580-432529F7180D}"/>
            </a:ext>
          </a:extLst>
        </xdr:cNvPr>
        <xdr:cNvSpPr txBox="1"/>
      </xdr:nvSpPr>
      <xdr:spPr>
        <a:xfrm>
          <a:off x="18666904" y="176566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977</xdr:row>
      <xdr:rowOff>124458</xdr:rowOff>
    </xdr:from>
    <xdr:to>
      <xdr:col>12</xdr:col>
      <xdr:colOff>131575</xdr:colOff>
      <xdr:row>978</xdr:row>
      <xdr:rowOff>133983</xdr:rowOff>
    </xdr:to>
    <xdr:sp macro="_xll.PtreeEvent_ObjectClick" textlink="">
      <xdr:nvSpPr>
        <xdr:cNvPr id="1957" name="PTObj_DNode_1_484">
          <a:extLst>
            <a:ext uri="{FF2B5EF4-FFF2-40B4-BE49-F238E27FC236}">
              <a16:creationId xmlns:a16="http://schemas.microsoft.com/office/drawing/2014/main" id="{7DAB87E4-121E-467E-A0DC-2FB57C47A2DF}"/>
            </a:ext>
          </a:extLst>
        </xdr:cNvPr>
        <xdr:cNvSpPr/>
      </xdr:nvSpPr>
      <xdr:spPr>
        <a:xfrm rot="-5400000">
          <a:off x="21248498" y="1769332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977</xdr:row>
      <xdr:rowOff>121774</xdr:rowOff>
    </xdr:from>
    <xdr:ext cx="514858" cy="180627"/>
    <xdr:sp macro="_xll.PtreeEvent_ObjectClick" textlink="">
      <xdr:nvSpPr>
        <xdr:cNvPr id="1960" name="PTObj_DBranchName_1_484">
          <a:extLst>
            <a:ext uri="{FF2B5EF4-FFF2-40B4-BE49-F238E27FC236}">
              <a16:creationId xmlns:a16="http://schemas.microsoft.com/office/drawing/2014/main" id="{B90E9E30-8992-4C97-AE40-5A7A77605858}"/>
            </a:ext>
          </a:extLst>
        </xdr:cNvPr>
        <xdr:cNvSpPr txBox="1"/>
      </xdr:nvSpPr>
      <xdr:spPr>
        <a:xfrm>
          <a:off x="20094701" y="1769343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981</xdr:row>
      <xdr:rowOff>126367</xdr:rowOff>
    </xdr:from>
    <xdr:to>
      <xdr:col>9</xdr:col>
      <xdr:colOff>150622</xdr:colOff>
      <xdr:row>982</xdr:row>
      <xdr:rowOff>132087</xdr:rowOff>
    </xdr:to>
    <xdr:sp macro="_xll.PtreeEvent_ObjectClick" textlink="">
      <xdr:nvSpPr>
        <xdr:cNvPr id="1961" name="PTObj_DNode_1_486">
          <a:extLst>
            <a:ext uri="{FF2B5EF4-FFF2-40B4-BE49-F238E27FC236}">
              <a16:creationId xmlns:a16="http://schemas.microsoft.com/office/drawing/2014/main" id="{7E1E31F5-0AB7-4737-8F93-5DF459B972D8}"/>
            </a:ext>
          </a:extLst>
        </xdr:cNvPr>
        <xdr:cNvSpPr/>
      </xdr:nvSpPr>
      <xdr:spPr>
        <a:xfrm>
          <a:off x="16969867" y="177662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981</xdr:row>
      <xdr:rowOff>131306</xdr:rowOff>
    </xdr:from>
    <xdr:ext cx="568424" cy="180627"/>
    <xdr:sp macro="_xll.PtreeEvent_ObjectClick" textlink="">
      <xdr:nvSpPr>
        <xdr:cNvPr id="1964" name="PTObj_DBranchName_1_486">
          <a:extLst>
            <a:ext uri="{FF2B5EF4-FFF2-40B4-BE49-F238E27FC236}">
              <a16:creationId xmlns:a16="http://schemas.microsoft.com/office/drawing/2014/main" id="{8BAD3A95-8E62-4F4C-8CF0-0E4D6D4B5DEB}"/>
            </a:ext>
          </a:extLst>
        </xdr:cNvPr>
        <xdr:cNvSpPr txBox="1"/>
      </xdr:nvSpPr>
      <xdr:spPr>
        <a:xfrm>
          <a:off x="15820834" y="1776677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983</xdr:row>
      <xdr:rowOff>130175</xdr:rowOff>
    </xdr:from>
    <xdr:to>
      <xdr:col>10</xdr:col>
      <xdr:colOff>131573</xdr:colOff>
      <xdr:row>984</xdr:row>
      <xdr:rowOff>132085</xdr:rowOff>
    </xdr:to>
    <xdr:sp macro="_xll.PtreeEvent_ObjectClick" textlink="">
      <xdr:nvSpPr>
        <xdr:cNvPr id="1965" name="PTObj_DNode_1_487">
          <a:extLst>
            <a:ext uri="{FF2B5EF4-FFF2-40B4-BE49-F238E27FC236}">
              <a16:creationId xmlns:a16="http://schemas.microsoft.com/office/drawing/2014/main" id="{525E61DD-B4E4-4AC6-9948-7CBBF7A4B411}"/>
            </a:ext>
          </a:extLst>
        </xdr:cNvPr>
        <xdr:cNvSpPr/>
      </xdr:nvSpPr>
      <xdr:spPr>
        <a:xfrm>
          <a:off x="18394807" y="178028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983</xdr:row>
      <xdr:rowOff>135114</xdr:rowOff>
    </xdr:from>
    <xdr:ext cx="514858" cy="180627"/>
    <xdr:sp macro="_xll.PtreeEvent_ObjectClick" textlink="">
      <xdr:nvSpPr>
        <xdr:cNvPr id="1968" name="PTObj_DBranchName_1_487">
          <a:extLst>
            <a:ext uri="{FF2B5EF4-FFF2-40B4-BE49-F238E27FC236}">
              <a16:creationId xmlns:a16="http://schemas.microsoft.com/office/drawing/2014/main" id="{CDBEDCE8-80B1-4B8A-9428-CC6CFF4FDEE1}"/>
            </a:ext>
          </a:extLst>
        </xdr:cNvPr>
        <xdr:cNvSpPr txBox="1"/>
      </xdr:nvSpPr>
      <xdr:spPr>
        <a:xfrm>
          <a:off x="17244820" y="178033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985</xdr:row>
      <xdr:rowOff>133983</xdr:rowOff>
    </xdr:from>
    <xdr:to>
      <xdr:col>11</xdr:col>
      <xdr:colOff>135382</xdr:colOff>
      <xdr:row>986</xdr:row>
      <xdr:rowOff>132082</xdr:rowOff>
    </xdr:to>
    <xdr:sp macro="_xll.PtreeEvent_ObjectClick" textlink="">
      <xdr:nvSpPr>
        <xdr:cNvPr id="1969" name="PTObj_DNode_1_488">
          <a:extLst>
            <a:ext uri="{FF2B5EF4-FFF2-40B4-BE49-F238E27FC236}">
              <a16:creationId xmlns:a16="http://schemas.microsoft.com/office/drawing/2014/main" id="{93A107BA-8C47-48B1-8F44-065FCD26B205}"/>
            </a:ext>
          </a:extLst>
        </xdr:cNvPr>
        <xdr:cNvSpPr/>
      </xdr:nvSpPr>
      <xdr:spPr>
        <a:xfrm>
          <a:off x="19819747" y="178394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985</xdr:row>
      <xdr:rowOff>131301</xdr:rowOff>
    </xdr:from>
    <xdr:ext cx="514858" cy="180627"/>
    <xdr:sp macro="_xll.PtreeEvent_ObjectClick" textlink="">
      <xdr:nvSpPr>
        <xdr:cNvPr id="1972" name="PTObj_DBranchName_1_488">
          <a:extLst>
            <a:ext uri="{FF2B5EF4-FFF2-40B4-BE49-F238E27FC236}">
              <a16:creationId xmlns:a16="http://schemas.microsoft.com/office/drawing/2014/main" id="{F40FDC2A-AF97-43B2-9888-22FEF18BFBE8}"/>
            </a:ext>
          </a:extLst>
        </xdr:cNvPr>
        <xdr:cNvSpPr txBox="1"/>
      </xdr:nvSpPr>
      <xdr:spPr>
        <a:xfrm>
          <a:off x="18666904" y="178391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987</xdr:row>
      <xdr:rowOff>137793</xdr:rowOff>
    </xdr:from>
    <xdr:to>
      <xdr:col>12</xdr:col>
      <xdr:colOff>131575</xdr:colOff>
      <xdr:row>988</xdr:row>
      <xdr:rowOff>132078</xdr:rowOff>
    </xdr:to>
    <xdr:sp macro="_xll.PtreeEvent_ObjectClick" textlink="">
      <xdr:nvSpPr>
        <xdr:cNvPr id="1973" name="PTObj_DNode_1_489">
          <a:extLst>
            <a:ext uri="{FF2B5EF4-FFF2-40B4-BE49-F238E27FC236}">
              <a16:creationId xmlns:a16="http://schemas.microsoft.com/office/drawing/2014/main" id="{B905BCDB-E5AA-43DA-8847-EB98EE8957B5}"/>
            </a:ext>
          </a:extLst>
        </xdr:cNvPr>
        <xdr:cNvSpPr/>
      </xdr:nvSpPr>
      <xdr:spPr>
        <a:xfrm rot="-5400000">
          <a:off x="21248498" y="1787563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987</xdr:row>
      <xdr:rowOff>135109</xdr:rowOff>
    </xdr:from>
    <xdr:ext cx="514858" cy="180627"/>
    <xdr:sp macro="_xll.PtreeEvent_ObjectClick" textlink="">
      <xdr:nvSpPr>
        <xdr:cNvPr id="1976" name="PTObj_DBranchName_1_489">
          <a:extLst>
            <a:ext uri="{FF2B5EF4-FFF2-40B4-BE49-F238E27FC236}">
              <a16:creationId xmlns:a16="http://schemas.microsoft.com/office/drawing/2014/main" id="{942D2C92-6986-487C-AC4E-0CDBD6D54EAB}"/>
            </a:ext>
          </a:extLst>
        </xdr:cNvPr>
        <xdr:cNvSpPr txBox="1"/>
      </xdr:nvSpPr>
      <xdr:spPr>
        <a:xfrm>
          <a:off x="20094701" y="178757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999</xdr:row>
      <xdr:rowOff>160660</xdr:rowOff>
    </xdr:from>
    <xdr:to>
      <xdr:col>8</xdr:col>
      <xdr:colOff>154432</xdr:colOff>
      <xdr:row>1000</xdr:row>
      <xdr:rowOff>172095</xdr:rowOff>
    </xdr:to>
    <xdr:sp macro="_xll.PtreeEvent_ObjectClick" textlink="">
      <xdr:nvSpPr>
        <xdr:cNvPr id="1977" name="PTObj_DNode_1_495">
          <a:extLst>
            <a:ext uri="{FF2B5EF4-FFF2-40B4-BE49-F238E27FC236}">
              <a16:creationId xmlns:a16="http://schemas.microsoft.com/office/drawing/2014/main" id="{681EA982-6AB9-4E56-86B3-A3E37F12A564}"/>
            </a:ext>
          </a:extLst>
        </xdr:cNvPr>
        <xdr:cNvSpPr/>
      </xdr:nvSpPr>
      <xdr:spPr>
        <a:xfrm>
          <a:off x="15544927" y="180954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999</xdr:row>
      <xdr:rowOff>163681</xdr:rowOff>
    </xdr:from>
    <xdr:ext cx="568425" cy="180627"/>
    <xdr:sp macro="_xll.PtreeEvent_ObjectClick" textlink="">
      <xdr:nvSpPr>
        <xdr:cNvPr id="1980" name="PTObj_DBranchName_1_495">
          <a:extLst>
            <a:ext uri="{FF2B5EF4-FFF2-40B4-BE49-F238E27FC236}">
              <a16:creationId xmlns:a16="http://schemas.microsoft.com/office/drawing/2014/main" id="{21E84254-49E0-4C25-81AE-AA228FE0AE8A}"/>
            </a:ext>
          </a:extLst>
        </xdr:cNvPr>
        <xdr:cNvSpPr txBox="1"/>
      </xdr:nvSpPr>
      <xdr:spPr>
        <a:xfrm>
          <a:off x="14400657" y="18095770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991</xdr:row>
      <xdr:rowOff>145417</xdr:rowOff>
    </xdr:from>
    <xdr:to>
      <xdr:col>9</xdr:col>
      <xdr:colOff>150622</xdr:colOff>
      <xdr:row>992</xdr:row>
      <xdr:rowOff>132087</xdr:rowOff>
    </xdr:to>
    <xdr:sp macro="_xll.PtreeEvent_ObjectClick" textlink="">
      <xdr:nvSpPr>
        <xdr:cNvPr id="1981" name="PTObj_DNode_1_491">
          <a:extLst>
            <a:ext uri="{FF2B5EF4-FFF2-40B4-BE49-F238E27FC236}">
              <a16:creationId xmlns:a16="http://schemas.microsoft.com/office/drawing/2014/main" id="{5EB8CE99-11CC-413E-93DF-E8BB69DA34A6}"/>
            </a:ext>
          </a:extLst>
        </xdr:cNvPr>
        <xdr:cNvSpPr/>
      </xdr:nvSpPr>
      <xdr:spPr>
        <a:xfrm>
          <a:off x="16969867" y="179491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991</xdr:row>
      <xdr:rowOff>144641</xdr:rowOff>
    </xdr:from>
    <xdr:ext cx="568424" cy="180627"/>
    <xdr:sp macro="_xll.PtreeEvent_ObjectClick" textlink="">
      <xdr:nvSpPr>
        <xdr:cNvPr id="1984" name="PTObj_DBranchName_1_491">
          <a:extLst>
            <a:ext uri="{FF2B5EF4-FFF2-40B4-BE49-F238E27FC236}">
              <a16:creationId xmlns:a16="http://schemas.microsoft.com/office/drawing/2014/main" id="{37F4B31F-1303-4281-8E75-EEF4A1DB16FB}"/>
            </a:ext>
          </a:extLst>
        </xdr:cNvPr>
        <xdr:cNvSpPr txBox="1"/>
      </xdr:nvSpPr>
      <xdr:spPr>
        <a:xfrm>
          <a:off x="15820834" y="1794908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993</xdr:row>
      <xdr:rowOff>149225</xdr:rowOff>
    </xdr:from>
    <xdr:to>
      <xdr:col>10</xdr:col>
      <xdr:colOff>135383</xdr:colOff>
      <xdr:row>994</xdr:row>
      <xdr:rowOff>151135</xdr:rowOff>
    </xdr:to>
    <xdr:sp macro="_xll.PtreeEvent_ObjectClick" textlink="">
      <xdr:nvSpPr>
        <xdr:cNvPr id="1985" name="PTObj_DNode_1_492">
          <a:extLst>
            <a:ext uri="{FF2B5EF4-FFF2-40B4-BE49-F238E27FC236}">
              <a16:creationId xmlns:a16="http://schemas.microsoft.com/office/drawing/2014/main" id="{C09568B6-A98E-46A9-906B-391A5B8AC3A6}"/>
            </a:ext>
          </a:extLst>
        </xdr:cNvPr>
        <xdr:cNvSpPr/>
      </xdr:nvSpPr>
      <xdr:spPr>
        <a:xfrm>
          <a:off x="18394807" y="179857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993</xdr:row>
      <xdr:rowOff>150354</xdr:rowOff>
    </xdr:from>
    <xdr:ext cx="514858" cy="180627"/>
    <xdr:sp macro="_xll.PtreeEvent_ObjectClick" textlink="">
      <xdr:nvSpPr>
        <xdr:cNvPr id="1988" name="PTObj_DBranchName_1_492">
          <a:extLst>
            <a:ext uri="{FF2B5EF4-FFF2-40B4-BE49-F238E27FC236}">
              <a16:creationId xmlns:a16="http://schemas.microsoft.com/office/drawing/2014/main" id="{CC359115-419B-4B49-8568-9287B91A16EF}"/>
            </a:ext>
          </a:extLst>
        </xdr:cNvPr>
        <xdr:cNvSpPr txBox="1"/>
      </xdr:nvSpPr>
      <xdr:spPr>
        <a:xfrm>
          <a:off x="17244820" y="1798585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995</xdr:row>
      <xdr:rowOff>153033</xdr:rowOff>
    </xdr:from>
    <xdr:to>
      <xdr:col>11</xdr:col>
      <xdr:colOff>131572</xdr:colOff>
      <xdr:row>996</xdr:row>
      <xdr:rowOff>154942</xdr:rowOff>
    </xdr:to>
    <xdr:sp macro="_xll.PtreeEvent_ObjectClick" textlink="">
      <xdr:nvSpPr>
        <xdr:cNvPr id="1989" name="PTObj_DNode_1_493">
          <a:extLst>
            <a:ext uri="{FF2B5EF4-FFF2-40B4-BE49-F238E27FC236}">
              <a16:creationId xmlns:a16="http://schemas.microsoft.com/office/drawing/2014/main" id="{23C3A76D-A192-4C4F-B607-C977E0335102}"/>
            </a:ext>
          </a:extLst>
        </xdr:cNvPr>
        <xdr:cNvSpPr/>
      </xdr:nvSpPr>
      <xdr:spPr>
        <a:xfrm>
          <a:off x="19819747" y="180223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995</xdr:row>
      <xdr:rowOff>154161</xdr:rowOff>
    </xdr:from>
    <xdr:ext cx="514858" cy="180627"/>
    <xdr:sp macro="_xll.PtreeEvent_ObjectClick" textlink="">
      <xdr:nvSpPr>
        <xdr:cNvPr id="1992" name="PTObj_DBranchName_1_493">
          <a:extLst>
            <a:ext uri="{FF2B5EF4-FFF2-40B4-BE49-F238E27FC236}">
              <a16:creationId xmlns:a16="http://schemas.microsoft.com/office/drawing/2014/main" id="{EC85E135-ADCF-4764-A074-ADB89AD85B3C}"/>
            </a:ext>
          </a:extLst>
        </xdr:cNvPr>
        <xdr:cNvSpPr txBox="1"/>
      </xdr:nvSpPr>
      <xdr:spPr>
        <a:xfrm>
          <a:off x="18666904" y="180224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997</xdr:row>
      <xdr:rowOff>162558</xdr:rowOff>
    </xdr:from>
    <xdr:to>
      <xdr:col>12</xdr:col>
      <xdr:colOff>135385</xdr:colOff>
      <xdr:row>998</xdr:row>
      <xdr:rowOff>168273</xdr:rowOff>
    </xdr:to>
    <xdr:sp macro="_xll.PtreeEvent_ObjectClick" textlink="">
      <xdr:nvSpPr>
        <xdr:cNvPr id="1993" name="PTObj_DNode_1_494">
          <a:extLst>
            <a:ext uri="{FF2B5EF4-FFF2-40B4-BE49-F238E27FC236}">
              <a16:creationId xmlns:a16="http://schemas.microsoft.com/office/drawing/2014/main" id="{F4BF12C9-0EC7-4960-B0B5-7CFA74EFAB54}"/>
            </a:ext>
          </a:extLst>
        </xdr:cNvPr>
        <xdr:cNvSpPr/>
      </xdr:nvSpPr>
      <xdr:spPr>
        <a:xfrm rot="-5400000">
          <a:off x="21248498" y="1805908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997</xdr:row>
      <xdr:rowOff>159874</xdr:rowOff>
    </xdr:from>
    <xdr:ext cx="514858" cy="180627"/>
    <xdr:sp macro="_xll.PtreeEvent_ObjectClick" textlink="">
      <xdr:nvSpPr>
        <xdr:cNvPr id="1996" name="PTObj_DBranchName_1_494">
          <a:extLst>
            <a:ext uri="{FF2B5EF4-FFF2-40B4-BE49-F238E27FC236}">
              <a16:creationId xmlns:a16="http://schemas.microsoft.com/office/drawing/2014/main" id="{F71800E5-3853-485D-B8B5-F557C3394B34}"/>
            </a:ext>
          </a:extLst>
        </xdr:cNvPr>
        <xdr:cNvSpPr txBox="1"/>
      </xdr:nvSpPr>
      <xdr:spPr>
        <a:xfrm>
          <a:off x="20094701" y="1805919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1001</xdr:row>
      <xdr:rowOff>164467</xdr:rowOff>
    </xdr:from>
    <xdr:to>
      <xdr:col>9</xdr:col>
      <xdr:colOff>150622</xdr:colOff>
      <xdr:row>1002</xdr:row>
      <xdr:rowOff>173997</xdr:rowOff>
    </xdr:to>
    <xdr:sp macro="_xll.PtreeEvent_ObjectClick" textlink="">
      <xdr:nvSpPr>
        <xdr:cNvPr id="1997" name="PTObj_DNode_1_496">
          <a:extLst>
            <a:ext uri="{FF2B5EF4-FFF2-40B4-BE49-F238E27FC236}">
              <a16:creationId xmlns:a16="http://schemas.microsoft.com/office/drawing/2014/main" id="{AEF0A7E4-C06C-4DDD-9B26-F68F2C41362F}"/>
            </a:ext>
          </a:extLst>
        </xdr:cNvPr>
        <xdr:cNvSpPr/>
      </xdr:nvSpPr>
      <xdr:spPr>
        <a:xfrm>
          <a:off x="16969867" y="181320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1001</xdr:row>
      <xdr:rowOff>169406</xdr:rowOff>
    </xdr:from>
    <xdr:ext cx="568424" cy="180627"/>
    <xdr:sp macro="_xll.PtreeEvent_ObjectClick" textlink="">
      <xdr:nvSpPr>
        <xdr:cNvPr id="2000" name="PTObj_DBranchName_1_496">
          <a:extLst>
            <a:ext uri="{FF2B5EF4-FFF2-40B4-BE49-F238E27FC236}">
              <a16:creationId xmlns:a16="http://schemas.microsoft.com/office/drawing/2014/main" id="{99439FE9-3796-4BD4-A404-AC8159575BFD}"/>
            </a:ext>
          </a:extLst>
        </xdr:cNvPr>
        <xdr:cNvSpPr txBox="1"/>
      </xdr:nvSpPr>
      <xdr:spPr>
        <a:xfrm>
          <a:off x="15820834" y="1813253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1003</xdr:row>
      <xdr:rowOff>168275</xdr:rowOff>
    </xdr:from>
    <xdr:to>
      <xdr:col>10</xdr:col>
      <xdr:colOff>135383</xdr:colOff>
      <xdr:row>1004</xdr:row>
      <xdr:rowOff>173995</xdr:rowOff>
    </xdr:to>
    <xdr:sp macro="_xll.PtreeEvent_ObjectClick" textlink="">
      <xdr:nvSpPr>
        <xdr:cNvPr id="2001" name="PTObj_DNode_1_497">
          <a:extLst>
            <a:ext uri="{FF2B5EF4-FFF2-40B4-BE49-F238E27FC236}">
              <a16:creationId xmlns:a16="http://schemas.microsoft.com/office/drawing/2014/main" id="{2DB3EB59-FC67-4FDF-8A17-F95C4131F8E5}"/>
            </a:ext>
          </a:extLst>
        </xdr:cNvPr>
        <xdr:cNvSpPr/>
      </xdr:nvSpPr>
      <xdr:spPr>
        <a:xfrm>
          <a:off x="18394807" y="181686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1003</xdr:row>
      <xdr:rowOff>173214</xdr:rowOff>
    </xdr:from>
    <xdr:ext cx="514858" cy="180627"/>
    <xdr:sp macro="_xll.PtreeEvent_ObjectClick" textlink="">
      <xdr:nvSpPr>
        <xdr:cNvPr id="2004" name="PTObj_DBranchName_1_497">
          <a:extLst>
            <a:ext uri="{FF2B5EF4-FFF2-40B4-BE49-F238E27FC236}">
              <a16:creationId xmlns:a16="http://schemas.microsoft.com/office/drawing/2014/main" id="{B8020424-60DB-4E5A-8B89-802CCF216CAD}"/>
            </a:ext>
          </a:extLst>
        </xdr:cNvPr>
        <xdr:cNvSpPr txBox="1"/>
      </xdr:nvSpPr>
      <xdr:spPr>
        <a:xfrm>
          <a:off x="17244820" y="181691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1005</xdr:row>
      <xdr:rowOff>172083</xdr:rowOff>
    </xdr:from>
    <xdr:to>
      <xdr:col>11</xdr:col>
      <xdr:colOff>131572</xdr:colOff>
      <xdr:row>1006</xdr:row>
      <xdr:rowOff>173992</xdr:rowOff>
    </xdr:to>
    <xdr:sp macro="_xll.PtreeEvent_ObjectClick" textlink="">
      <xdr:nvSpPr>
        <xdr:cNvPr id="2005" name="PTObj_DNode_1_498">
          <a:extLst>
            <a:ext uri="{FF2B5EF4-FFF2-40B4-BE49-F238E27FC236}">
              <a16:creationId xmlns:a16="http://schemas.microsoft.com/office/drawing/2014/main" id="{A5FED8FA-B3D5-42B5-B390-251B974E6299}"/>
            </a:ext>
          </a:extLst>
        </xdr:cNvPr>
        <xdr:cNvSpPr/>
      </xdr:nvSpPr>
      <xdr:spPr>
        <a:xfrm>
          <a:off x="19819747" y="182051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1005</xdr:row>
      <xdr:rowOff>169401</xdr:rowOff>
    </xdr:from>
    <xdr:ext cx="514858" cy="180627"/>
    <xdr:sp macro="_xll.PtreeEvent_ObjectClick" textlink="">
      <xdr:nvSpPr>
        <xdr:cNvPr id="2008" name="PTObj_DBranchName_1_498">
          <a:extLst>
            <a:ext uri="{FF2B5EF4-FFF2-40B4-BE49-F238E27FC236}">
              <a16:creationId xmlns:a16="http://schemas.microsoft.com/office/drawing/2014/main" id="{EBF8D632-F247-43B8-8D09-27EA4770F94D}"/>
            </a:ext>
          </a:extLst>
        </xdr:cNvPr>
        <xdr:cNvSpPr txBox="1"/>
      </xdr:nvSpPr>
      <xdr:spPr>
        <a:xfrm>
          <a:off x="18666904" y="182049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1007</xdr:row>
      <xdr:rowOff>175893</xdr:rowOff>
    </xdr:from>
    <xdr:to>
      <xdr:col>12</xdr:col>
      <xdr:colOff>135385</xdr:colOff>
      <xdr:row>1008</xdr:row>
      <xdr:rowOff>173988</xdr:rowOff>
    </xdr:to>
    <xdr:sp macro="_xll.PtreeEvent_ObjectClick" textlink="">
      <xdr:nvSpPr>
        <xdr:cNvPr id="2009" name="PTObj_DNode_1_499">
          <a:extLst>
            <a:ext uri="{FF2B5EF4-FFF2-40B4-BE49-F238E27FC236}">
              <a16:creationId xmlns:a16="http://schemas.microsoft.com/office/drawing/2014/main" id="{97D64AB3-03DA-44B0-97FC-BAA7CE257104}"/>
            </a:ext>
          </a:extLst>
        </xdr:cNvPr>
        <xdr:cNvSpPr/>
      </xdr:nvSpPr>
      <xdr:spPr>
        <a:xfrm rot="-5400000">
          <a:off x="21248498" y="1824139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1007</xdr:row>
      <xdr:rowOff>173209</xdr:rowOff>
    </xdr:from>
    <xdr:ext cx="514858" cy="180627"/>
    <xdr:sp macro="_xll.PtreeEvent_ObjectClick" textlink="">
      <xdr:nvSpPr>
        <xdr:cNvPr id="2012" name="PTObj_DBranchName_1_499">
          <a:extLst>
            <a:ext uri="{FF2B5EF4-FFF2-40B4-BE49-F238E27FC236}">
              <a16:creationId xmlns:a16="http://schemas.microsoft.com/office/drawing/2014/main" id="{4B1B5688-97DE-4952-AB50-59951A1EF3CB}"/>
            </a:ext>
          </a:extLst>
        </xdr:cNvPr>
        <xdr:cNvSpPr txBox="1"/>
      </xdr:nvSpPr>
      <xdr:spPr>
        <a:xfrm>
          <a:off x="20094701" y="182415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1030</xdr:row>
      <xdr:rowOff>36835</xdr:rowOff>
    </xdr:from>
    <xdr:to>
      <xdr:col>7</xdr:col>
      <xdr:colOff>167768</xdr:colOff>
      <xdr:row>1031</xdr:row>
      <xdr:rowOff>38745</xdr:rowOff>
    </xdr:to>
    <xdr:sp macro="_xll.PtreeEvent_ObjectClick" textlink="">
      <xdr:nvSpPr>
        <xdr:cNvPr id="2013" name="PTObj_DNode_1_510">
          <a:extLst>
            <a:ext uri="{FF2B5EF4-FFF2-40B4-BE49-F238E27FC236}">
              <a16:creationId xmlns:a16="http://schemas.microsoft.com/office/drawing/2014/main" id="{CE65610C-7512-4501-98D8-88A9DBE65D6B}"/>
            </a:ext>
          </a:extLst>
        </xdr:cNvPr>
        <xdr:cNvSpPr/>
      </xdr:nvSpPr>
      <xdr:spPr>
        <a:xfrm>
          <a:off x="14119988" y="186441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1030</xdr:row>
      <xdr:rowOff>37951</xdr:rowOff>
    </xdr:from>
    <xdr:ext cx="566520" cy="180627"/>
    <xdr:sp macro="_xll.PtreeEvent_ObjectClick" textlink="">
      <xdr:nvSpPr>
        <xdr:cNvPr id="2016" name="PTObj_DBranchName_1_510">
          <a:extLst>
            <a:ext uri="{FF2B5EF4-FFF2-40B4-BE49-F238E27FC236}">
              <a16:creationId xmlns:a16="http://schemas.microsoft.com/office/drawing/2014/main" id="{AD205B4F-1BB9-43BB-8A1D-049EA8603B43}"/>
            </a:ext>
          </a:extLst>
        </xdr:cNvPr>
        <xdr:cNvSpPr txBox="1"/>
      </xdr:nvSpPr>
      <xdr:spPr>
        <a:xfrm>
          <a:off x="12974765" y="1864422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1020</xdr:row>
      <xdr:rowOff>17785</xdr:rowOff>
    </xdr:from>
    <xdr:to>
      <xdr:col>8</xdr:col>
      <xdr:colOff>154432</xdr:colOff>
      <xdr:row>1021</xdr:row>
      <xdr:rowOff>15885</xdr:rowOff>
    </xdr:to>
    <xdr:sp macro="_xll.PtreeEvent_ObjectClick" textlink="">
      <xdr:nvSpPr>
        <xdr:cNvPr id="2017" name="PTObj_DNode_1_505">
          <a:extLst>
            <a:ext uri="{FF2B5EF4-FFF2-40B4-BE49-F238E27FC236}">
              <a16:creationId xmlns:a16="http://schemas.microsoft.com/office/drawing/2014/main" id="{311C4339-3D5B-4EBE-9030-74CE91FBD909}"/>
            </a:ext>
          </a:extLst>
        </xdr:cNvPr>
        <xdr:cNvSpPr/>
      </xdr:nvSpPr>
      <xdr:spPr>
        <a:xfrm>
          <a:off x="15544927" y="18461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1020</xdr:row>
      <xdr:rowOff>22711</xdr:rowOff>
    </xdr:from>
    <xdr:ext cx="566519" cy="180627"/>
    <xdr:sp macro="_xll.PtreeEvent_ObjectClick" textlink="">
      <xdr:nvSpPr>
        <xdr:cNvPr id="2020" name="PTObj_DBranchName_1_505">
          <a:extLst>
            <a:ext uri="{FF2B5EF4-FFF2-40B4-BE49-F238E27FC236}">
              <a16:creationId xmlns:a16="http://schemas.microsoft.com/office/drawing/2014/main" id="{01045E70-3DBB-4490-8D3D-2B35A8BB22BF}"/>
            </a:ext>
          </a:extLst>
        </xdr:cNvPr>
        <xdr:cNvSpPr txBox="1"/>
      </xdr:nvSpPr>
      <xdr:spPr>
        <a:xfrm>
          <a:off x="14398752" y="18461721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1012</xdr:row>
      <xdr:rowOff>2542</xdr:rowOff>
    </xdr:from>
    <xdr:to>
      <xdr:col>9</xdr:col>
      <xdr:colOff>150622</xdr:colOff>
      <xdr:row>1013</xdr:row>
      <xdr:rowOff>19692</xdr:rowOff>
    </xdr:to>
    <xdr:sp macro="_xll.PtreeEvent_ObjectClick" textlink="">
      <xdr:nvSpPr>
        <xdr:cNvPr id="2021" name="PTObj_DNode_1_501">
          <a:extLst>
            <a:ext uri="{FF2B5EF4-FFF2-40B4-BE49-F238E27FC236}">
              <a16:creationId xmlns:a16="http://schemas.microsoft.com/office/drawing/2014/main" id="{3B6473A1-5576-4445-ACC3-E401269E468D}"/>
            </a:ext>
          </a:extLst>
        </xdr:cNvPr>
        <xdr:cNvSpPr/>
      </xdr:nvSpPr>
      <xdr:spPr>
        <a:xfrm>
          <a:off x="16969867" y="183149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1012</xdr:row>
      <xdr:rowOff>3671</xdr:rowOff>
    </xdr:from>
    <xdr:ext cx="568424" cy="180627"/>
    <xdr:sp macro="_xll.PtreeEvent_ObjectClick" textlink="">
      <xdr:nvSpPr>
        <xdr:cNvPr id="2024" name="PTObj_DBranchName_1_501">
          <a:extLst>
            <a:ext uri="{FF2B5EF4-FFF2-40B4-BE49-F238E27FC236}">
              <a16:creationId xmlns:a16="http://schemas.microsoft.com/office/drawing/2014/main" id="{F67C9599-9E0C-47E2-BE0A-09FE8943B3B3}"/>
            </a:ext>
          </a:extLst>
        </xdr:cNvPr>
        <xdr:cNvSpPr txBox="1"/>
      </xdr:nvSpPr>
      <xdr:spPr>
        <a:xfrm>
          <a:off x="15820834" y="1831503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1014</xdr:row>
      <xdr:rowOff>6350</xdr:rowOff>
    </xdr:from>
    <xdr:to>
      <xdr:col>10</xdr:col>
      <xdr:colOff>135383</xdr:colOff>
      <xdr:row>1015</xdr:row>
      <xdr:rowOff>15880</xdr:rowOff>
    </xdr:to>
    <xdr:sp macro="_xll.PtreeEvent_ObjectClick" textlink="">
      <xdr:nvSpPr>
        <xdr:cNvPr id="2025" name="PTObj_DNode_1_502">
          <a:extLst>
            <a:ext uri="{FF2B5EF4-FFF2-40B4-BE49-F238E27FC236}">
              <a16:creationId xmlns:a16="http://schemas.microsoft.com/office/drawing/2014/main" id="{B83516E4-8CAA-44CC-8D8D-28F7C2880173}"/>
            </a:ext>
          </a:extLst>
        </xdr:cNvPr>
        <xdr:cNvSpPr/>
      </xdr:nvSpPr>
      <xdr:spPr>
        <a:xfrm>
          <a:off x="18394807" y="183515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1014</xdr:row>
      <xdr:rowOff>9384</xdr:rowOff>
    </xdr:from>
    <xdr:ext cx="514858" cy="180627"/>
    <xdr:sp macro="_xll.PtreeEvent_ObjectClick" textlink="">
      <xdr:nvSpPr>
        <xdr:cNvPr id="2028" name="PTObj_DBranchName_1_502">
          <a:extLst>
            <a:ext uri="{FF2B5EF4-FFF2-40B4-BE49-F238E27FC236}">
              <a16:creationId xmlns:a16="http://schemas.microsoft.com/office/drawing/2014/main" id="{66B7B1C4-A38A-4131-A094-E50029F98821}"/>
            </a:ext>
          </a:extLst>
        </xdr:cNvPr>
        <xdr:cNvSpPr txBox="1"/>
      </xdr:nvSpPr>
      <xdr:spPr>
        <a:xfrm>
          <a:off x="17244820" y="1835180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1016</xdr:row>
      <xdr:rowOff>10158</xdr:rowOff>
    </xdr:from>
    <xdr:to>
      <xdr:col>11</xdr:col>
      <xdr:colOff>131572</xdr:colOff>
      <xdr:row>1017</xdr:row>
      <xdr:rowOff>19687</xdr:rowOff>
    </xdr:to>
    <xdr:sp macro="_xll.PtreeEvent_ObjectClick" textlink="">
      <xdr:nvSpPr>
        <xdr:cNvPr id="2029" name="PTObj_DNode_1_503">
          <a:extLst>
            <a:ext uri="{FF2B5EF4-FFF2-40B4-BE49-F238E27FC236}">
              <a16:creationId xmlns:a16="http://schemas.microsoft.com/office/drawing/2014/main" id="{8B2EB7DA-EB9A-4660-B370-02594AED9CD4}"/>
            </a:ext>
          </a:extLst>
        </xdr:cNvPr>
        <xdr:cNvSpPr/>
      </xdr:nvSpPr>
      <xdr:spPr>
        <a:xfrm>
          <a:off x="19819747" y="183880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1016</xdr:row>
      <xdr:rowOff>13191</xdr:rowOff>
    </xdr:from>
    <xdr:ext cx="514858" cy="180627"/>
    <xdr:sp macro="_xll.PtreeEvent_ObjectClick" textlink="">
      <xdr:nvSpPr>
        <xdr:cNvPr id="2032" name="PTObj_DBranchName_1_503">
          <a:extLst>
            <a:ext uri="{FF2B5EF4-FFF2-40B4-BE49-F238E27FC236}">
              <a16:creationId xmlns:a16="http://schemas.microsoft.com/office/drawing/2014/main" id="{2920441A-1C90-4C34-983E-7B28068AB4F9}"/>
            </a:ext>
          </a:extLst>
        </xdr:cNvPr>
        <xdr:cNvSpPr txBox="1"/>
      </xdr:nvSpPr>
      <xdr:spPr>
        <a:xfrm>
          <a:off x="18666904" y="183883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1018</xdr:row>
      <xdr:rowOff>21588</xdr:rowOff>
    </xdr:from>
    <xdr:to>
      <xdr:col>12</xdr:col>
      <xdr:colOff>135385</xdr:colOff>
      <xdr:row>1019</xdr:row>
      <xdr:rowOff>19683</xdr:rowOff>
    </xdr:to>
    <xdr:sp macro="_xll.PtreeEvent_ObjectClick" textlink="">
      <xdr:nvSpPr>
        <xdr:cNvPr id="2033" name="PTObj_DNode_1_504">
          <a:extLst>
            <a:ext uri="{FF2B5EF4-FFF2-40B4-BE49-F238E27FC236}">
              <a16:creationId xmlns:a16="http://schemas.microsoft.com/office/drawing/2014/main" id="{7DF25E4A-1BDA-4E09-A5AD-F6713AF1E2BF}"/>
            </a:ext>
          </a:extLst>
        </xdr:cNvPr>
        <xdr:cNvSpPr/>
      </xdr:nvSpPr>
      <xdr:spPr>
        <a:xfrm rot="-5400000">
          <a:off x="21248498" y="1842503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1018</xdr:row>
      <xdr:rowOff>18904</xdr:rowOff>
    </xdr:from>
    <xdr:ext cx="514858" cy="180627"/>
    <xdr:sp macro="_xll.PtreeEvent_ObjectClick" textlink="">
      <xdr:nvSpPr>
        <xdr:cNvPr id="2036" name="PTObj_DBranchName_1_504">
          <a:extLst>
            <a:ext uri="{FF2B5EF4-FFF2-40B4-BE49-F238E27FC236}">
              <a16:creationId xmlns:a16="http://schemas.microsoft.com/office/drawing/2014/main" id="{C3501C75-324C-41E8-B61D-EC0D4A47FBBE}"/>
            </a:ext>
          </a:extLst>
        </xdr:cNvPr>
        <xdr:cNvSpPr txBox="1"/>
      </xdr:nvSpPr>
      <xdr:spPr>
        <a:xfrm>
          <a:off x="20094701" y="1842514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1022</xdr:row>
      <xdr:rowOff>21592</xdr:rowOff>
    </xdr:from>
    <xdr:to>
      <xdr:col>9</xdr:col>
      <xdr:colOff>150622</xdr:colOff>
      <xdr:row>1023</xdr:row>
      <xdr:rowOff>15882</xdr:rowOff>
    </xdr:to>
    <xdr:sp macro="_xll.PtreeEvent_ObjectClick" textlink="">
      <xdr:nvSpPr>
        <xdr:cNvPr id="2037" name="PTObj_DNode_1_506">
          <a:extLst>
            <a:ext uri="{FF2B5EF4-FFF2-40B4-BE49-F238E27FC236}">
              <a16:creationId xmlns:a16="http://schemas.microsoft.com/office/drawing/2014/main" id="{B1274F31-3812-4AC8-AF27-60CFEA4D2B5F}"/>
            </a:ext>
          </a:extLst>
        </xdr:cNvPr>
        <xdr:cNvSpPr/>
      </xdr:nvSpPr>
      <xdr:spPr>
        <a:xfrm>
          <a:off x="16969867" y="184978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1022</xdr:row>
      <xdr:rowOff>18911</xdr:rowOff>
    </xdr:from>
    <xdr:ext cx="568424" cy="180627"/>
    <xdr:sp macro="_xll.PtreeEvent_ObjectClick" textlink="">
      <xdr:nvSpPr>
        <xdr:cNvPr id="2040" name="PTObj_DBranchName_1_506">
          <a:extLst>
            <a:ext uri="{FF2B5EF4-FFF2-40B4-BE49-F238E27FC236}">
              <a16:creationId xmlns:a16="http://schemas.microsoft.com/office/drawing/2014/main" id="{3F00C59C-AB94-4D6C-AAAD-A9B48B988679}"/>
            </a:ext>
          </a:extLst>
        </xdr:cNvPr>
        <xdr:cNvSpPr txBox="1"/>
      </xdr:nvSpPr>
      <xdr:spPr>
        <a:xfrm>
          <a:off x="15820834" y="1849753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1024</xdr:row>
      <xdr:rowOff>25400</xdr:rowOff>
    </xdr:from>
    <xdr:to>
      <xdr:col>10</xdr:col>
      <xdr:colOff>135383</xdr:colOff>
      <xdr:row>1025</xdr:row>
      <xdr:rowOff>17785</xdr:rowOff>
    </xdr:to>
    <xdr:sp macro="_xll.PtreeEvent_ObjectClick" textlink="">
      <xdr:nvSpPr>
        <xdr:cNvPr id="2041" name="PTObj_DNode_1_507">
          <a:extLst>
            <a:ext uri="{FF2B5EF4-FFF2-40B4-BE49-F238E27FC236}">
              <a16:creationId xmlns:a16="http://schemas.microsoft.com/office/drawing/2014/main" id="{D01D7A2E-5B71-4E7E-A54D-52A774619B5D}"/>
            </a:ext>
          </a:extLst>
        </xdr:cNvPr>
        <xdr:cNvSpPr/>
      </xdr:nvSpPr>
      <xdr:spPr>
        <a:xfrm>
          <a:off x="18394807" y="185343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1024</xdr:row>
      <xdr:rowOff>22719</xdr:rowOff>
    </xdr:from>
    <xdr:ext cx="514858" cy="180627"/>
    <xdr:sp macro="_xll.PtreeEvent_ObjectClick" textlink="">
      <xdr:nvSpPr>
        <xdr:cNvPr id="2044" name="PTObj_DBranchName_1_507">
          <a:extLst>
            <a:ext uri="{FF2B5EF4-FFF2-40B4-BE49-F238E27FC236}">
              <a16:creationId xmlns:a16="http://schemas.microsoft.com/office/drawing/2014/main" id="{6FE0041B-01FE-49C2-AE72-08A898CB4546}"/>
            </a:ext>
          </a:extLst>
        </xdr:cNvPr>
        <xdr:cNvSpPr txBox="1"/>
      </xdr:nvSpPr>
      <xdr:spPr>
        <a:xfrm>
          <a:off x="17244820" y="1853411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1026</xdr:row>
      <xdr:rowOff>29208</xdr:rowOff>
    </xdr:from>
    <xdr:to>
      <xdr:col>11</xdr:col>
      <xdr:colOff>131572</xdr:colOff>
      <xdr:row>1027</xdr:row>
      <xdr:rowOff>21592</xdr:rowOff>
    </xdr:to>
    <xdr:sp macro="_xll.PtreeEvent_ObjectClick" textlink="">
      <xdr:nvSpPr>
        <xdr:cNvPr id="2045" name="PTObj_DNode_1_508">
          <a:extLst>
            <a:ext uri="{FF2B5EF4-FFF2-40B4-BE49-F238E27FC236}">
              <a16:creationId xmlns:a16="http://schemas.microsoft.com/office/drawing/2014/main" id="{635475A1-8FAD-46C2-BAF1-A1119B2247EC}"/>
            </a:ext>
          </a:extLst>
        </xdr:cNvPr>
        <xdr:cNvSpPr/>
      </xdr:nvSpPr>
      <xdr:spPr>
        <a:xfrm>
          <a:off x="19819747" y="185709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1026</xdr:row>
      <xdr:rowOff>28431</xdr:rowOff>
    </xdr:from>
    <xdr:ext cx="514858" cy="180627"/>
    <xdr:sp macro="_xll.PtreeEvent_ObjectClick" textlink="">
      <xdr:nvSpPr>
        <xdr:cNvPr id="2048" name="PTObj_DBranchName_1_508">
          <a:extLst>
            <a:ext uri="{FF2B5EF4-FFF2-40B4-BE49-F238E27FC236}">
              <a16:creationId xmlns:a16="http://schemas.microsoft.com/office/drawing/2014/main" id="{1F5E9890-2503-45F4-BE9C-B47600627458}"/>
            </a:ext>
          </a:extLst>
        </xdr:cNvPr>
        <xdr:cNvSpPr txBox="1"/>
      </xdr:nvSpPr>
      <xdr:spPr>
        <a:xfrm>
          <a:off x="18666904" y="185708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1028</xdr:row>
      <xdr:rowOff>35875</xdr:rowOff>
    </xdr:from>
    <xdr:to>
      <xdr:col>12</xdr:col>
      <xdr:colOff>136338</xdr:colOff>
      <xdr:row>1029</xdr:row>
      <xdr:rowOff>22540</xdr:rowOff>
    </xdr:to>
    <xdr:sp macro="_xll.PtreeEvent_ObjectClick" textlink="">
      <xdr:nvSpPr>
        <xdr:cNvPr id="2049" name="PTObj_DNode_1_509">
          <a:extLst>
            <a:ext uri="{FF2B5EF4-FFF2-40B4-BE49-F238E27FC236}">
              <a16:creationId xmlns:a16="http://schemas.microsoft.com/office/drawing/2014/main" id="{D55ACDFD-26D1-4393-BD9F-73474D80BEB6}"/>
            </a:ext>
          </a:extLst>
        </xdr:cNvPr>
        <xdr:cNvSpPr/>
      </xdr:nvSpPr>
      <xdr:spPr>
        <a:xfrm rot="-5400000">
          <a:off x="21248498" y="1860734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1028</xdr:row>
      <xdr:rowOff>32239</xdr:rowOff>
    </xdr:from>
    <xdr:ext cx="514858" cy="180627"/>
    <xdr:sp macro="_xll.PtreeEvent_ObjectClick" textlink="">
      <xdr:nvSpPr>
        <xdr:cNvPr id="2052" name="PTObj_DBranchName_1_509">
          <a:extLst>
            <a:ext uri="{FF2B5EF4-FFF2-40B4-BE49-F238E27FC236}">
              <a16:creationId xmlns:a16="http://schemas.microsoft.com/office/drawing/2014/main" id="{CE222F60-B7A2-4700-AC6C-53A9740E5234}"/>
            </a:ext>
          </a:extLst>
        </xdr:cNvPr>
        <xdr:cNvSpPr txBox="1"/>
      </xdr:nvSpPr>
      <xdr:spPr>
        <a:xfrm>
          <a:off x="20094701" y="186074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1040</xdr:row>
      <xdr:rowOff>55885</xdr:rowOff>
    </xdr:from>
    <xdr:to>
      <xdr:col>8</xdr:col>
      <xdr:colOff>154432</xdr:colOff>
      <xdr:row>1041</xdr:row>
      <xdr:rowOff>57795</xdr:rowOff>
    </xdr:to>
    <xdr:sp macro="_xll.PtreeEvent_ObjectClick" textlink="">
      <xdr:nvSpPr>
        <xdr:cNvPr id="2053" name="PTObj_DNode_1_515">
          <a:extLst>
            <a:ext uri="{FF2B5EF4-FFF2-40B4-BE49-F238E27FC236}">
              <a16:creationId xmlns:a16="http://schemas.microsoft.com/office/drawing/2014/main" id="{84D957FD-62D7-4D92-AA97-EACBF4B0CF9B}"/>
            </a:ext>
          </a:extLst>
        </xdr:cNvPr>
        <xdr:cNvSpPr/>
      </xdr:nvSpPr>
      <xdr:spPr>
        <a:xfrm>
          <a:off x="15544927" y="188269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1040</xdr:row>
      <xdr:rowOff>60811</xdr:rowOff>
    </xdr:from>
    <xdr:ext cx="568425" cy="180627"/>
    <xdr:sp macro="_xll.PtreeEvent_ObjectClick" textlink="">
      <xdr:nvSpPr>
        <xdr:cNvPr id="2056" name="PTObj_DBranchName_1_515">
          <a:extLst>
            <a:ext uri="{FF2B5EF4-FFF2-40B4-BE49-F238E27FC236}">
              <a16:creationId xmlns:a16="http://schemas.microsoft.com/office/drawing/2014/main" id="{BE29147F-6DF5-4BD2-9B93-273501CBF8C0}"/>
            </a:ext>
          </a:extLst>
        </xdr:cNvPr>
        <xdr:cNvSpPr txBox="1"/>
      </xdr:nvSpPr>
      <xdr:spPr>
        <a:xfrm>
          <a:off x="14400657" y="18827481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1032</xdr:row>
      <xdr:rowOff>40642</xdr:rowOff>
    </xdr:from>
    <xdr:to>
      <xdr:col>9</xdr:col>
      <xdr:colOff>150622</xdr:colOff>
      <xdr:row>1033</xdr:row>
      <xdr:rowOff>53982</xdr:rowOff>
    </xdr:to>
    <xdr:sp macro="_xll.PtreeEvent_ObjectClick" textlink="">
      <xdr:nvSpPr>
        <xdr:cNvPr id="2057" name="PTObj_DNode_1_511">
          <a:extLst>
            <a:ext uri="{FF2B5EF4-FFF2-40B4-BE49-F238E27FC236}">
              <a16:creationId xmlns:a16="http://schemas.microsoft.com/office/drawing/2014/main" id="{84A56E5D-B9D5-41AE-91B0-EDF4E7B7CC84}"/>
            </a:ext>
          </a:extLst>
        </xdr:cNvPr>
        <xdr:cNvSpPr/>
      </xdr:nvSpPr>
      <xdr:spPr>
        <a:xfrm>
          <a:off x="16969867" y="186806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1032</xdr:row>
      <xdr:rowOff>41771</xdr:rowOff>
    </xdr:from>
    <xdr:ext cx="568424" cy="180627"/>
    <xdr:sp macro="_xll.PtreeEvent_ObjectClick" textlink="">
      <xdr:nvSpPr>
        <xdr:cNvPr id="2060" name="PTObj_DBranchName_1_511">
          <a:extLst>
            <a:ext uri="{FF2B5EF4-FFF2-40B4-BE49-F238E27FC236}">
              <a16:creationId xmlns:a16="http://schemas.microsoft.com/office/drawing/2014/main" id="{77DC6EA1-021A-4951-95C6-542441D0CE9F}"/>
            </a:ext>
          </a:extLst>
        </xdr:cNvPr>
        <xdr:cNvSpPr txBox="1"/>
      </xdr:nvSpPr>
      <xdr:spPr>
        <a:xfrm>
          <a:off x="15820834" y="1868079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1034</xdr:row>
      <xdr:rowOff>44450</xdr:rowOff>
    </xdr:from>
    <xdr:to>
      <xdr:col>10</xdr:col>
      <xdr:colOff>131573</xdr:colOff>
      <xdr:row>1035</xdr:row>
      <xdr:rowOff>57790</xdr:rowOff>
    </xdr:to>
    <xdr:sp macro="_xll.PtreeEvent_ObjectClick" textlink="">
      <xdr:nvSpPr>
        <xdr:cNvPr id="2061" name="PTObj_DNode_1_512">
          <a:extLst>
            <a:ext uri="{FF2B5EF4-FFF2-40B4-BE49-F238E27FC236}">
              <a16:creationId xmlns:a16="http://schemas.microsoft.com/office/drawing/2014/main" id="{3B0BAF50-AA68-41D9-A6A9-27E8F4BE0A87}"/>
            </a:ext>
          </a:extLst>
        </xdr:cNvPr>
        <xdr:cNvSpPr/>
      </xdr:nvSpPr>
      <xdr:spPr>
        <a:xfrm>
          <a:off x="18394807" y="187172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1034</xdr:row>
      <xdr:rowOff>47484</xdr:rowOff>
    </xdr:from>
    <xdr:ext cx="514858" cy="180627"/>
    <xdr:sp macro="_xll.PtreeEvent_ObjectClick" textlink="">
      <xdr:nvSpPr>
        <xdr:cNvPr id="2064" name="PTObj_DBranchName_1_512">
          <a:extLst>
            <a:ext uri="{FF2B5EF4-FFF2-40B4-BE49-F238E27FC236}">
              <a16:creationId xmlns:a16="http://schemas.microsoft.com/office/drawing/2014/main" id="{5A1FD841-33C7-491A-8812-4707F014EDFE}"/>
            </a:ext>
          </a:extLst>
        </xdr:cNvPr>
        <xdr:cNvSpPr txBox="1"/>
      </xdr:nvSpPr>
      <xdr:spPr>
        <a:xfrm>
          <a:off x="17244820" y="1871756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1036</xdr:row>
      <xdr:rowOff>48258</xdr:rowOff>
    </xdr:from>
    <xdr:to>
      <xdr:col>11</xdr:col>
      <xdr:colOff>135382</xdr:colOff>
      <xdr:row>1037</xdr:row>
      <xdr:rowOff>53977</xdr:rowOff>
    </xdr:to>
    <xdr:sp macro="_xll.PtreeEvent_ObjectClick" textlink="">
      <xdr:nvSpPr>
        <xdr:cNvPr id="2065" name="PTObj_DNode_1_513">
          <a:extLst>
            <a:ext uri="{FF2B5EF4-FFF2-40B4-BE49-F238E27FC236}">
              <a16:creationId xmlns:a16="http://schemas.microsoft.com/office/drawing/2014/main" id="{AC61E50D-C4BF-41D0-A464-20E4B5206B6C}"/>
            </a:ext>
          </a:extLst>
        </xdr:cNvPr>
        <xdr:cNvSpPr/>
      </xdr:nvSpPr>
      <xdr:spPr>
        <a:xfrm>
          <a:off x="19819747" y="187538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1036</xdr:row>
      <xdr:rowOff>51291</xdr:rowOff>
    </xdr:from>
    <xdr:ext cx="514858" cy="180627"/>
    <xdr:sp macro="_xll.PtreeEvent_ObjectClick" textlink="">
      <xdr:nvSpPr>
        <xdr:cNvPr id="2068" name="PTObj_DBranchName_1_513">
          <a:extLst>
            <a:ext uri="{FF2B5EF4-FFF2-40B4-BE49-F238E27FC236}">
              <a16:creationId xmlns:a16="http://schemas.microsoft.com/office/drawing/2014/main" id="{69B39E15-5EF7-445B-B123-F89003355FCE}"/>
            </a:ext>
          </a:extLst>
        </xdr:cNvPr>
        <xdr:cNvSpPr txBox="1"/>
      </xdr:nvSpPr>
      <xdr:spPr>
        <a:xfrm>
          <a:off x="18666904" y="187541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1038</xdr:row>
      <xdr:rowOff>59688</xdr:rowOff>
    </xdr:from>
    <xdr:to>
      <xdr:col>12</xdr:col>
      <xdr:colOff>131575</xdr:colOff>
      <xdr:row>1039</xdr:row>
      <xdr:rowOff>53973</xdr:rowOff>
    </xdr:to>
    <xdr:sp macro="_xll.PtreeEvent_ObjectClick" textlink="">
      <xdr:nvSpPr>
        <xdr:cNvPr id="2069" name="PTObj_DNode_1_514">
          <a:extLst>
            <a:ext uri="{FF2B5EF4-FFF2-40B4-BE49-F238E27FC236}">
              <a16:creationId xmlns:a16="http://schemas.microsoft.com/office/drawing/2014/main" id="{2105F735-AF63-42AD-AF8F-FB926E2E4F68}"/>
            </a:ext>
          </a:extLst>
        </xdr:cNvPr>
        <xdr:cNvSpPr/>
      </xdr:nvSpPr>
      <xdr:spPr>
        <a:xfrm rot="-5400000">
          <a:off x="21248498" y="1879079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1038</xdr:row>
      <xdr:rowOff>57004</xdr:rowOff>
    </xdr:from>
    <xdr:ext cx="514858" cy="180627"/>
    <xdr:sp macro="_xll.PtreeEvent_ObjectClick" textlink="">
      <xdr:nvSpPr>
        <xdr:cNvPr id="2072" name="PTObj_DBranchName_1_514">
          <a:extLst>
            <a:ext uri="{FF2B5EF4-FFF2-40B4-BE49-F238E27FC236}">
              <a16:creationId xmlns:a16="http://schemas.microsoft.com/office/drawing/2014/main" id="{6985A032-5437-4D10-8E1E-07E4314663C9}"/>
            </a:ext>
          </a:extLst>
        </xdr:cNvPr>
        <xdr:cNvSpPr txBox="1"/>
      </xdr:nvSpPr>
      <xdr:spPr>
        <a:xfrm>
          <a:off x="20094701" y="1879090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1042</xdr:row>
      <xdr:rowOff>59692</xdr:rowOff>
    </xdr:from>
    <xdr:to>
      <xdr:col>9</xdr:col>
      <xdr:colOff>150622</xdr:colOff>
      <xdr:row>1043</xdr:row>
      <xdr:rowOff>57792</xdr:rowOff>
    </xdr:to>
    <xdr:sp macro="_xll.PtreeEvent_ObjectClick" textlink="">
      <xdr:nvSpPr>
        <xdr:cNvPr id="2073" name="PTObj_DNode_1_516">
          <a:extLst>
            <a:ext uri="{FF2B5EF4-FFF2-40B4-BE49-F238E27FC236}">
              <a16:creationId xmlns:a16="http://schemas.microsoft.com/office/drawing/2014/main" id="{4BE18F71-97E2-4751-AD18-27B5B0E4B78B}"/>
            </a:ext>
          </a:extLst>
        </xdr:cNvPr>
        <xdr:cNvSpPr/>
      </xdr:nvSpPr>
      <xdr:spPr>
        <a:xfrm>
          <a:off x="16969867" y="188635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1042</xdr:row>
      <xdr:rowOff>57011</xdr:rowOff>
    </xdr:from>
    <xdr:ext cx="568424" cy="180627"/>
    <xdr:sp macro="_xll.PtreeEvent_ObjectClick" textlink="">
      <xdr:nvSpPr>
        <xdr:cNvPr id="2076" name="PTObj_DBranchName_1_516">
          <a:extLst>
            <a:ext uri="{FF2B5EF4-FFF2-40B4-BE49-F238E27FC236}">
              <a16:creationId xmlns:a16="http://schemas.microsoft.com/office/drawing/2014/main" id="{D4BA1371-A8FD-4DB5-AACA-1D0BAB7DA15B}"/>
            </a:ext>
          </a:extLst>
        </xdr:cNvPr>
        <xdr:cNvSpPr txBox="1"/>
      </xdr:nvSpPr>
      <xdr:spPr>
        <a:xfrm>
          <a:off x="15820834" y="1886329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1044</xdr:row>
      <xdr:rowOff>63500</xdr:rowOff>
    </xdr:from>
    <xdr:to>
      <xdr:col>10</xdr:col>
      <xdr:colOff>131573</xdr:colOff>
      <xdr:row>1045</xdr:row>
      <xdr:rowOff>59695</xdr:rowOff>
    </xdr:to>
    <xdr:sp macro="_xll.PtreeEvent_ObjectClick" textlink="">
      <xdr:nvSpPr>
        <xdr:cNvPr id="2077" name="PTObj_DNode_1_517">
          <a:extLst>
            <a:ext uri="{FF2B5EF4-FFF2-40B4-BE49-F238E27FC236}">
              <a16:creationId xmlns:a16="http://schemas.microsoft.com/office/drawing/2014/main" id="{5B3F349E-4358-4816-BEBE-C190A7F6ECA1}"/>
            </a:ext>
          </a:extLst>
        </xdr:cNvPr>
        <xdr:cNvSpPr/>
      </xdr:nvSpPr>
      <xdr:spPr>
        <a:xfrm>
          <a:off x="18394807" y="189001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1044</xdr:row>
      <xdr:rowOff>60819</xdr:rowOff>
    </xdr:from>
    <xdr:ext cx="514858" cy="180627"/>
    <xdr:sp macro="_xll.PtreeEvent_ObjectClick" textlink="">
      <xdr:nvSpPr>
        <xdr:cNvPr id="2080" name="PTObj_DBranchName_1_517">
          <a:extLst>
            <a:ext uri="{FF2B5EF4-FFF2-40B4-BE49-F238E27FC236}">
              <a16:creationId xmlns:a16="http://schemas.microsoft.com/office/drawing/2014/main" id="{309681F5-FEDB-4214-82F7-5C85F3ADC1C9}"/>
            </a:ext>
          </a:extLst>
        </xdr:cNvPr>
        <xdr:cNvSpPr txBox="1"/>
      </xdr:nvSpPr>
      <xdr:spPr>
        <a:xfrm>
          <a:off x="17244820" y="1889987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1046</xdr:row>
      <xdr:rowOff>67308</xdr:rowOff>
    </xdr:from>
    <xdr:to>
      <xdr:col>11</xdr:col>
      <xdr:colOff>135382</xdr:colOff>
      <xdr:row>1047</xdr:row>
      <xdr:rowOff>55882</xdr:rowOff>
    </xdr:to>
    <xdr:sp macro="_xll.PtreeEvent_ObjectClick" textlink="">
      <xdr:nvSpPr>
        <xdr:cNvPr id="2081" name="PTObj_DNode_1_518">
          <a:extLst>
            <a:ext uri="{FF2B5EF4-FFF2-40B4-BE49-F238E27FC236}">
              <a16:creationId xmlns:a16="http://schemas.microsoft.com/office/drawing/2014/main" id="{62C1287F-C5FD-4342-BA65-CC6C6D2C9C15}"/>
            </a:ext>
          </a:extLst>
        </xdr:cNvPr>
        <xdr:cNvSpPr/>
      </xdr:nvSpPr>
      <xdr:spPr>
        <a:xfrm>
          <a:off x="19819747" y="189367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1046</xdr:row>
      <xdr:rowOff>66531</xdr:rowOff>
    </xdr:from>
    <xdr:ext cx="514858" cy="180627"/>
    <xdr:sp macro="_xll.PtreeEvent_ObjectClick" textlink="">
      <xdr:nvSpPr>
        <xdr:cNvPr id="2084" name="PTObj_DBranchName_1_518">
          <a:extLst>
            <a:ext uri="{FF2B5EF4-FFF2-40B4-BE49-F238E27FC236}">
              <a16:creationId xmlns:a16="http://schemas.microsoft.com/office/drawing/2014/main" id="{C35E7060-229D-40EF-81CD-57E40C67CEA9}"/>
            </a:ext>
          </a:extLst>
        </xdr:cNvPr>
        <xdr:cNvSpPr txBox="1"/>
      </xdr:nvSpPr>
      <xdr:spPr>
        <a:xfrm>
          <a:off x="18666904" y="189366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1048</xdr:row>
      <xdr:rowOff>73975</xdr:rowOff>
    </xdr:from>
    <xdr:to>
      <xdr:col>12</xdr:col>
      <xdr:colOff>132528</xdr:colOff>
      <xdr:row>1049</xdr:row>
      <xdr:rowOff>56830</xdr:rowOff>
    </xdr:to>
    <xdr:sp macro="_xll.PtreeEvent_ObjectClick" textlink="">
      <xdr:nvSpPr>
        <xdr:cNvPr id="2085" name="PTObj_DNode_1_519">
          <a:extLst>
            <a:ext uri="{FF2B5EF4-FFF2-40B4-BE49-F238E27FC236}">
              <a16:creationId xmlns:a16="http://schemas.microsoft.com/office/drawing/2014/main" id="{266F91F8-7245-4ADF-BABD-0CEF21A9924D}"/>
            </a:ext>
          </a:extLst>
        </xdr:cNvPr>
        <xdr:cNvSpPr/>
      </xdr:nvSpPr>
      <xdr:spPr>
        <a:xfrm rot="-5400000">
          <a:off x="21248498" y="1897310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1048</xdr:row>
      <xdr:rowOff>70339</xdr:rowOff>
    </xdr:from>
    <xdr:ext cx="514858" cy="180627"/>
    <xdr:sp macro="_xll.PtreeEvent_ObjectClick" textlink="">
      <xdr:nvSpPr>
        <xdr:cNvPr id="2088" name="PTObj_DBranchName_1_519">
          <a:extLst>
            <a:ext uri="{FF2B5EF4-FFF2-40B4-BE49-F238E27FC236}">
              <a16:creationId xmlns:a16="http://schemas.microsoft.com/office/drawing/2014/main" id="{9249CA06-ED3B-4F6A-B8A2-07C6146BFDC4}"/>
            </a:ext>
          </a:extLst>
        </xdr:cNvPr>
        <xdr:cNvSpPr txBox="1"/>
      </xdr:nvSpPr>
      <xdr:spPr>
        <a:xfrm>
          <a:off x="20094701" y="1897321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1090</xdr:row>
      <xdr:rowOff>151135</xdr:rowOff>
    </xdr:from>
    <xdr:to>
      <xdr:col>6</xdr:col>
      <xdr:colOff>171577</xdr:colOff>
      <xdr:row>1091</xdr:row>
      <xdr:rowOff>153045</xdr:rowOff>
    </xdr:to>
    <xdr:sp macro="_xll.PtreeEvent_ObjectClick" textlink="">
      <xdr:nvSpPr>
        <xdr:cNvPr id="2089" name="PTObj_DNode_1_540">
          <a:extLst>
            <a:ext uri="{FF2B5EF4-FFF2-40B4-BE49-F238E27FC236}">
              <a16:creationId xmlns:a16="http://schemas.microsoft.com/office/drawing/2014/main" id="{F5F8BD6F-E2EC-49AF-8EDD-525C4455783A}"/>
            </a:ext>
          </a:extLst>
        </xdr:cNvPr>
        <xdr:cNvSpPr/>
      </xdr:nvSpPr>
      <xdr:spPr>
        <a:xfrm>
          <a:off x="12695047" y="19741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1090</xdr:row>
      <xdr:rowOff>152251</xdr:rowOff>
    </xdr:from>
    <xdr:ext cx="566520" cy="180627"/>
    <xdr:sp macro="_xll.PtreeEvent_ObjectClick" textlink="">
      <xdr:nvSpPr>
        <xdr:cNvPr id="2092" name="PTObj_DBranchName_1_540">
          <a:extLst>
            <a:ext uri="{FF2B5EF4-FFF2-40B4-BE49-F238E27FC236}">
              <a16:creationId xmlns:a16="http://schemas.microsoft.com/office/drawing/2014/main" id="{07B92A09-AB63-4883-A50F-0EB74A2F6520}"/>
            </a:ext>
          </a:extLst>
        </xdr:cNvPr>
        <xdr:cNvSpPr txBox="1"/>
      </xdr:nvSpPr>
      <xdr:spPr>
        <a:xfrm>
          <a:off x="11550776" y="1974150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1070</xdr:row>
      <xdr:rowOff>113035</xdr:rowOff>
    </xdr:from>
    <xdr:to>
      <xdr:col>7</xdr:col>
      <xdr:colOff>167768</xdr:colOff>
      <xdr:row>1071</xdr:row>
      <xdr:rowOff>114945</xdr:rowOff>
    </xdr:to>
    <xdr:sp macro="_xll.PtreeEvent_ObjectClick" textlink="">
      <xdr:nvSpPr>
        <xdr:cNvPr id="2093" name="PTObj_DNode_1_530">
          <a:extLst>
            <a:ext uri="{FF2B5EF4-FFF2-40B4-BE49-F238E27FC236}">
              <a16:creationId xmlns:a16="http://schemas.microsoft.com/office/drawing/2014/main" id="{A9EE18DD-9971-4E58-9335-68EA841CCA6E}"/>
            </a:ext>
          </a:extLst>
        </xdr:cNvPr>
        <xdr:cNvSpPr/>
      </xdr:nvSpPr>
      <xdr:spPr>
        <a:xfrm>
          <a:off x="14119988" y="193756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1070</xdr:row>
      <xdr:rowOff>114151</xdr:rowOff>
    </xdr:from>
    <xdr:ext cx="566520" cy="180627"/>
    <xdr:sp macro="_xll.PtreeEvent_ObjectClick" textlink="">
      <xdr:nvSpPr>
        <xdr:cNvPr id="2096" name="PTObj_DBranchName_1_530">
          <a:extLst>
            <a:ext uri="{FF2B5EF4-FFF2-40B4-BE49-F238E27FC236}">
              <a16:creationId xmlns:a16="http://schemas.microsoft.com/office/drawing/2014/main" id="{1CFE6C6E-5F5C-490E-9397-9D569E985ADB}"/>
            </a:ext>
          </a:extLst>
        </xdr:cNvPr>
        <xdr:cNvSpPr txBox="1"/>
      </xdr:nvSpPr>
      <xdr:spPr>
        <a:xfrm>
          <a:off x="12976669" y="1937574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1060</xdr:row>
      <xdr:rowOff>93985</xdr:rowOff>
    </xdr:from>
    <xdr:to>
      <xdr:col>8</xdr:col>
      <xdr:colOff>154432</xdr:colOff>
      <xdr:row>1061</xdr:row>
      <xdr:rowOff>92085</xdr:rowOff>
    </xdr:to>
    <xdr:sp macro="_xll.PtreeEvent_ObjectClick" textlink="">
      <xdr:nvSpPr>
        <xdr:cNvPr id="2097" name="PTObj_DNode_1_525">
          <a:extLst>
            <a:ext uri="{FF2B5EF4-FFF2-40B4-BE49-F238E27FC236}">
              <a16:creationId xmlns:a16="http://schemas.microsoft.com/office/drawing/2014/main" id="{939ECE05-8E19-46DE-814F-33FA8ACCD9D1}"/>
            </a:ext>
          </a:extLst>
        </xdr:cNvPr>
        <xdr:cNvSpPr/>
      </xdr:nvSpPr>
      <xdr:spPr>
        <a:xfrm>
          <a:off x="15544927" y="191927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1060</xdr:row>
      <xdr:rowOff>98911</xdr:rowOff>
    </xdr:from>
    <xdr:ext cx="566519" cy="180627"/>
    <xdr:sp macro="_xll.PtreeEvent_ObjectClick" textlink="">
      <xdr:nvSpPr>
        <xdr:cNvPr id="2100" name="PTObj_DBranchName_1_525">
          <a:extLst>
            <a:ext uri="{FF2B5EF4-FFF2-40B4-BE49-F238E27FC236}">
              <a16:creationId xmlns:a16="http://schemas.microsoft.com/office/drawing/2014/main" id="{2A0A5388-0C4B-4050-9800-0772DDE2CDC0}"/>
            </a:ext>
          </a:extLst>
        </xdr:cNvPr>
        <xdr:cNvSpPr txBox="1"/>
      </xdr:nvSpPr>
      <xdr:spPr>
        <a:xfrm>
          <a:off x="14398752" y="19193241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1052</xdr:row>
      <xdr:rowOff>78742</xdr:rowOff>
    </xdr:from>
    <xdr:to>
      <xdr:col>9</xdr:col>
      <xdr:colOff>150622</xdr:colOff>
      <xdr:row>1053</xdr:row>
      <xdr:rowOff>95892</xdr:rowOff>
    </xdr:to>
    <xdr:sp macro="_xll.PtreeEvent_ObjectClick" textlink="">
      <xdr:nvSpPr>
        <xdr:cNvPr id="2101" name="PTObj_DNode_1_521">
          <a:extLst>
            <a:ext uri="{FF2B5EF4-FFF2-40B4-BE49-F238E27FC236}">
              <a16:creationId xmlns:a16="http://schemas.microsoft.com/office/drawing/2014/main" id="{9789A699-984B-4AB5-98A9-E44D257659BE}"/>
            </a:ext>
          </a:extLst>
        </xdr:cNvPr>
        <xdr:cNvSpPr/>
      </xdr:nvSpPr>
      <xdr:spPr>
        <a:xfrm>
          <a:off x="16969867" y="190464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1052</xdr:row>
      <xdr:rowOff>79871</xdr:rowOff>
    </xdr:from>
    <xdr:ext cx="568424" cy="180627"/>
    <xdr:sp macro="_xll.PtreeEvent_ObjectClick" textlink="">
      <xdr:nvSpPr>
        <xdr:cNvPr id="2104" name="PTObj_DBranchName_1_521">
          <a:extLst>
            <a:ext uri="{FF2B5EF4-FFF2-40B4-BE49-F238E27FC236}">
              <a16:creationId xmlns:a16="http://schemas.microsoft.com/office/drawing/2014/main" id="{16A939CD-89DF-40D3-99C4-6A13F17EAB3B}"/>
            </a:ext>
          </a:extLst>
        </xdr:cNvPr>
        <xdr:cNvSpPr txBox="1"/>
      </xdr:nvSpPr>
      <xdr:spPr>
        <a:xfrm>
          <a:off x="15820834" y="1904655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1054</xdr:row>
      <xdr:rowOff>82550</xdr:rowOff>
    </xdr:from>
    <xdr:to>
      <xdr:col>10</xdr:col>
      <xdr:colOff>135383</xdr:colOff>
      <xdr:row>1055</xdr:row>
      <xdr:rowOff>92080</xdr:rowOff>
    </xdr:to>
    <xdr:sp macro="_xll.PtreeEvent_ObjectClick" textlink="">
      <xdr:nvSpPr>
        <xdr:cNvPr id="2105" name="PTObj_DNode_1_522">
          <a:extLst>
            <a:ext uri="{FF2B5EF4-FFF2-40B4-BE49-F238E27FC236}">
              <a16:creationId xmlns:a16="http://schemas.microsoft.com/office/drawing/2014/main" id="{6D3E6E37-F176-4A60-BF77-D30A4D06A128}"/>
            </a:ext>
          </a:extLst>
        </xdr:cNvPr>
        <xdr:cNvSpPr/>
      </xdr:nvSpPr>
      <xdr:spPr>
        <a:xfrm>
          <a:off x="18394807" y="190830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1054</xdr:row>
      <xdr:rowOff>85584</xdr:rowOff>
    </xdr:from>
    <xdr:ext cx="514858" cy="180627"/>
    <xdr:sp macro="_xll.PtreeEvent_ObjectClick" textlink="">
      <xdr:nvSpPr>
        <xdr:cNvPr id="2108" name="PTObj_DBranchName_1_522">
          <a:extLst>
            <a:ext uri="{FF2B5EF4-FFF2-40B4-BE49-F238E27FC236}">
              <a16:creationId xmlns:a16="http://schemas.microsoft.com/office/drawing/2014/main" id="{DF283A7B-2E9B-4BE0-A632-BCBE4B27950A}"/>
            </a:ext>
          </a:extLst>
        </xdr:cNvPr>
        <xdr:cNvSpPr txBox="1"/>
      </xdr:nvSpPr>
      <xdr:spPr>
        <a:xfrm>
          <a:off x="17244820" y="1908332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1056</xdr:row>
      <xdr:rowOff>86358</xdr:rowOff>
    </xdr:from>
    <xdr:to>
      <xdr:col>11</xdr:col>
      <xdr:colOff>131572</xdr:colOff>
      <xdr:row>1057</xdr:row>
      <xdr:rowOff>95887</xdr:rowOff>
    </xdr:to>
    <xdr:sp macro="_xll.PtreeEvent_ObjectClick" textlink="">
      <xdr:nvSpPr>
        <xdr:cNvPr id="2109" name="PTObj_DNode_1_523">
          <a:extLst>
            <a:ext uri="{FF2B5EF4-FFF2-40B4-BE49-F238E27FC236}">
              <a16:creationId xmlns:a16="http://schemas.microsoft.com/office/drawing/2014/main" id="{1C1D34CF-7014-4E00-AA11-BA66CB0CECF0}"/>
            </a:ext>
          </a:extLst>
        </xdr:cNvPr>
        <xdr:cNvSpPr/>
      </xdr:nvSpPr>
      <xdr:spPr>
        <a:xfrm>
          <a:off x="19819747" y="191195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1056</xdr:row>
      <xdr:rowOff>89391</xdr:rowOff>
    </xdr:from>
    <xdr:ext cx="514858" cy="180627"/>
    <xdr:sp macro="_xll.PtreeEvent_ObjectClick" textlink="">
      <xdr:nvSpPr>
        <xdr:cNvPr id="2112" name="PTObj_DBranchName_1_523">
          <a:extLst>
            <a:ext uri="{FF2B5EF4-FFF2-40B4-BE49-F238E27FC236}">
              <a16:creationId xmlns:a16="http://schemas.microsoft.com/office/drawing/2014/main" id="{66C0E892-255B-4D8C-BAFC-D136FD5E1702}"/>
            </a:ext>
          </a:extLst>
        </xdr:cNvPr>
        <xdr:cNvSpPr txBox="1"/>
      </xdr:nvSpPr>
      <xdr:spPr>
        <a:xfrm>
          <a:off x="18666904" y="191198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1058</xdr:row>
      <xdr:rowOff>97788</xdr:rowOff>
    </xdr:from>
    <xdr:to>
      <xdr:col>12</xdr:col>
      <xdr:colOff>135385</xdr:colOff>
      <xdr:row>1059</xdr:row>
      <xdr:rowOff>95883</xdr:rowOff>
    </xdr:to>
    <xdr:sp macro="_xll.PtreeEvent_ObjectClick" textlink="">
      <xdr:nvSpPr>
        <xdr:cNvPr id="2113" name="PTObj_DNode_1_524">
          <a:extLst>
            <a:ext uri="{FF2B5EF4-FFF2-40B4-BE49-F238E27FC236}">
              <a16:creationId xmlns:a16="http://schemas.microsoft.com/office/drawing/2014/main" id="{5142F330-EC39-4DA4-AFC0-42000D3172D9}"/>
            </a:ext>
          </a:extLst>
        </xdr:cNvPr>
        <xdr:cNvSpPr/>
      </xdr:nvSpPr>
      <xdr:spPr>
        <a:xfrm rot="-5400000">
          <a:off x="21248498" y="1915655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1058</xdr:row>
      <xdr:rowOff>95104</xdr:rowOff>
    </xdr:from>
    <xdr:ext cx="514858" cy="180627"/>
    <xdr:sp macro="_xll.PtreeEvent_ObjectClick" textlink="">
      <xdr:nvSpPr>
        <xdr:cNvPr id="2116" name="PTObj_DBranchName_1_524">
          <a:extLst>
            <a:ext uri="{FF2B5EF4-FFF2-40B4-BE49-F238E27FC236}">
              <a16:creationId xmlns:a16="http://schemas.microsoft.com/office/drawing/2014/main" id="{8CF8D425-D00B-4AF7-8938-C5A7C30572D6}"/>
            </a:ext>
          </a:extLst>
        </xdr:cNvPr>
        <xdr:cNvSpPr txBox="1"/>
      </xdr:nvSpPr>
      <xdr:spPr>
        <a:xfrm>
          <a:off x="20094701" y="1915666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1062</xdr:row>
      <xdr:rowOff>97792</xdr:rowOff>
    </xdr:from>
    <xdr:to>
      <xdr:col>9</xdr:col>
      <xdr:colOff>150622</xdr:colOff>
      <xdr:row>1063</xdr:row>
      <xdr:rowOff>92082</xdr:rowOff>
    </xdr:to>
    <xdr:sp macro="_xll.PtreeEvent_ObjectClick" textlink="">
      <xdr:nvSpPr>
        <xdr:cNvPr id="2117" name="PTObj_DNode_1_526">
          <a:extLst>
            <a:ext uri="{FF2B5EF4-FFF2-40B4-BE49-F238E27FC236}">
              <a16:creationId xmlns:a16="http://schemas.microsoft.com/office/drawing/2014/main" id="{738FF00A-6963-4760-9928-F713C8173235}"/>
            </a:ext>
          </a:extLst>
        </xdr:cNvPr>
        <xdr:cNvSpPr/>
      </xdr:nvSpPr>
      <xdr:spPr>
        <a:xfrm>
          <a:off x="16969867" y="192293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1062</xdr:row>
      <xdr:rowOff>95111</xdr:rowOff>
    </xdr:from>
    <xdr:ext cx="568424" cy="180627"/>
    <xdr:sp macro="_xll.PtreeEvent_ObjectClick" textlink="">
      <xdr:nvSpPr>
        <xdr:cNvPr id="2120" name="PTObj_DBranchName_1_526">
          <a:extLst>
            <a:ext uri="{FF2B5EF4-FFF2-40B4-BE49-F238E27FC236}">
              <a16:creationId xmlns:a16="http://schemas.microsoft.com/office/drawing/2014/main" id="{A05571C4-866B-42FA-ADE7-BC85F2D81040}"/>
            </a:ext>
          </a:extLst>
        </xdr:cNvPr>
        <xdr:cNvSpPr txBox="1"/>
      </xdr:nvSpPr>
      <xdr:spPr>
        <a:xfrm>
          <a:off x="15820834" y="1922905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1064</xdr:row>
      <xdr:rowOff>101600</xdr:rowOff>
    </xdr:from>
    <xdr:to>
      <xdr:col>10</xdr:col>
      <xdr:colOff>135383</xdr:colOff>
      <xdr:row>1065</xdr:row>
      <xdr:rowOff>93985</xdr:rowOff>
    </xdr:to>
    <xdr:sp macro="_xll.PtreeEvent_ObjectClick" textlink="">
      <xdr:nvSpPr>
        <xdr:cNvPr id="2121" name="PTObj_DNode_1_527">
          <a:extLst>
            <a:ext uri="{FF2B5EF4-FFF2-40B4-BE49-F238E27FC236}">
              <a16:creationId xmlns:a16="http://schemas.microsoft.com/office/drawing/2014/main" id="{56A8789A-41C0-42D3-891C-33BD1B24A01F}"/>
            </a:ext>
          </a:extLst>
        </xdr:cNvPr>
        <xdr:cNvSpPr/>
      </xdr:nvSpPr>
      <xdr:spPr>
        <a:xfrm>
          <a:off x="18394807" y="192659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1064</xdr:row>
      <xdr:rowOff>98919</xdr:rowOff>
    </xdr:from>
    <xdr:ext cx="514858" cy="180627"/>
    <xdr:sp macro="_xll.PtreeEvent_ObjectClick" textlink="">
      <xdr:nvSpPr>
        <xdr:cNvPr id="2124" name="PTObj_DBranchName_1_527">
          <a:extLst>
            <a:ext uri="{FF2B5EF4-FFF2-40B4-BE49-F238E27FC236}">
              <a16:creationId xmlns:a16="http://schemas.microsoft.com/office/drawing/2014/main" id="{C9544E28-8F64-4056-9CBF-BD7D9DC61B5B}"/>
            </a:ext>
          </a:extLst>
        </xdr:cNvPr>
        <xdr:cNvSpPr txBox="1"/>
      </xdr:nvSpPr>
      <xdr:spPr>
        <a:xfrm>
          <a:off x="17244820" y="1926563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1066</xdr:row>
      <xdr:rowOff>105408</xdr:rowOff>
    </xdr:from>
    <xdr:to>
      <xdr:col>11</xdr:col>
      <xdr:colOff>131572</xdr:colOff>
      <xdr:row>1067</xdr:row>
      <xdr:rowOff>97792</xdr:rowOff>
    </xdr:to>
    <xdr:sp macro="_xll.PtreeEvent_ObjectClick" textlink="">
      <xdr:nvSpPr>
        <xdr:cNvPr id="2125" name="PTObj_DNode_1_528">
          <a:extLst>
            <a:ext uri="{FF2B5EF4-FFF2-40B4-BE49-F238E27FC236}">
              <a16:creationId xmlns:a16="http://schemas.microsoft.com/office/drawing/2014/main" id="{E7446849-C073-4753-A910-DAB95DB40AAC}"/>
            </a:ext>
          </a:extLst>
        </xdr:cNvPr>
        <xdr:cNvSpPr/>
      </xdr:nvSpPr>
      <xdr:spPr>
        <a:xfrm>
          <a:off x="19819747" y="193024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1066</xdr:row>
      <xdr:rowOff>104631</xdr:rowOff>
    </xdr:from>
    <xdr:ext cx="514858" cy="180627"/>
    <xdr:sp macro="_xll.PtreeEvent_ObjectClick" textlink="">
      <xdr:nvSpPr>
        <xdr:cNvPr id="2128" name="PTObj_DBranchName_1_528">
          <a:extLst>
            <a:ext uri="{FF2B5EF4-FFF2-40B4-BE49-F238E27FC236}">
              <a16:creationId xmlns:a16="http://schemas.microsoft.com/office/drawing/2014/main" id="{752E55ED-C1E2-478F-AE0A-BA548BA540B7}"/>
            </a:ext>
          </a:extLst>
        </xdr:cNvPr>
        <xdr:cNvSpPr txBox="1"/>
      </xdr:nvSpPr>
      <xdr:spPr>
        <a:xfrm>
          <a:off x="18666904" y="193023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1068</xdr:row>
      <xdr:rowOff>112075</xdr:rowOff>
    </xdr:from>
    <xdr:to>
      <xdr:col>12</xdr:col>
      <xdr:colOff>136338</xdr:colOff>
      <xdr:row>1069</xdr:row>
      <xdr:rowOff>98740</xdr:rowOff>
    </xdr:to>
    <xdr:sp macro="_xll.PtreeEvent_ObjectClick" textlink="">
      <xdr:nvSpPr>
        <xdr:cNvPr id="2129" name="PTObj_DNode_1_529">
          <a:extLst>
            <a:ext uri="{FF2B5EF4-FFF2-40B4-BE49-F238E27FC236}">
              <a16:creationId xmlns:a16="http://schemas.microsoft.com/office/drawing/2014/main" id="{B391EDF9-657B-4459-8E70-FCB36474D5D7}"/>
            </a:ext>
          </a:extLst>
        </xdr:cNvPr>
        <xdr:cNvSpPr/>
      </xdr:nvSpPr>
      <xdr:spPr>
        <a:xfrm rot="-5400000">
          <a:off x="21248498" y="1933886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1068</xdr:row>
      <xdr:rowOff>108439</xdr:rowOff>
    </xdr:from>
    <xdr:ext cx="514858" cy="180627"/>
    <xdr:sp macro="_xll.PtreeEvent_ObjectClick" textlink="">
      <xdr:nvSpPr>
        <xdr:cNvPr id="2132" name="PTObj_DBranchName_1_529">
          <a:extLst>
            <a:ext uri="{FF2B5EF4-FFF2-40B4-BE49-F238E27FC236}">
              <a16:creationId xmlns:a16="http://schemas.microsoft.com/office/drawing/2014/main" id="{142E9525-A34B-4284-B898-6E629459226A}"/>
            </a:ext>
          </a:extLst>
        </xdr:cNvPr>
        <xdr:cNvSpPr txBox="1"/>
      </xdr:nvSpPr>
      <xdr:spPr>
        <a:xfrm>
          <a:off x="20094701" y="1933897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1080</xdr:row>
      <xdr:rowOff>132085</xdr:rowOff>
    </xdr:from>
    <xdr:to>
      <xdr:col>8</xdr:col>
      <xdr:colOff>154432</xdr:colOff>
      <xdr:row>1081</xdr:row>
      <xdr:rowOff>133995</xdr:rowOff>
    </xdr:to>
    <xdr:sp macro="_xll.PtreeEvent_ObjectClick" textlink="">
      <xdr:nvSpPr>
        <xdr:cNvPr id="2133" name="PTObj_DNode_1_535">
          <a:extLst>
            <a:ext uri="{FF2B5EF4-FFF2-40B4-BE49-F238E27FC236}">
              <a16:creationId xmlns:a16="http://schemas.microsoft.com/office/drawing/2014/main" id="{F54B4B51-91DB-4D00-91AA-DD118C3D5D3C}"/>
            </a:ext>
          </a:extLst>
        </xdr:cNvPr>
        <xdr:cNvSpPr/>
      </xdr:nvSpPr>
      <xdr:spPr>
        <a:xfrm>
          <a:off x="15544927" y="19558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1080</xdr:row>
      <xdr:rowOff>137011</xdr:rowOff>
    </xdr:from>
    <xdr:ext cx="568425" cy="180627"/>
    <xdr:sp macro="_xll.PtreeEvent_ObjectClick" textlink="">
      <xdr:nvSpPr>
        <xdr:cNvPr id="2136" name="PTObj_DBranchName_1_535">
          <a:extLst>
            <a:ext uri="{FF2B5EF4-FFF2-40B4-BE49-F238E27FC236}">
              <a16:creationId xmlns:a16="http://schemas.microsoft.com/office/drawing/2014/main" id="{68781EBC-93F5-468A-8D32-20032F1AA183}"/>
            </a:ext>
          </a:extLst>
        </xdr:cNvPr>
        <xdr:cNvSpPr txBox="1"/>
      </xdr:nvSpPr>
      <xdr:spPr>
        <a:xfrm>
          <a:off x="14400657" y="19559001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1072</xdr:row>
      <xdr:rowOff>116842</xdr:rowOff>
    </xdr:from>
    <xdr:to>
      <xdr:col>9</xdr:col>
      <xdr:colOff>150622</xdr:colOff>
      <xdr:row>1073</xdr:row>
      <xdr:rowOff>130182</xdr:rowOff>
    </xdr:to>
    <xdr:sp macro="_xll.PtreeEvent_ObjectClick" textlink="">
      <xdr:nvSpPr>
        <xdr:cNvPr id="2137" name="PTObj_DNode_1_531">
          <a:extLst>
            <a:ext uri="{FF2B5EF4-FFF2-40B4-BE49-F238E27FC236}">
              <a16:creationId xmlns:a16="http://schemas.microsoft.com/office/drawing/2014/main" id="{CDBC1DDC-B058-450E-A9C5-1A0F7BC1BEA6}"/>
            </a:ext>
          </a:extLst>
        </xdr:cNvPr>
        <xdr:cNvSpPr/>
      </xdr:nvSpPr>
      <xdr:spPr>
        <a:xfrm>
          <a:off x="16969867" y="194122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1072</xdr:row>
      <xdr:rowOff>117971</xdr:rowOff>
    </xdr:from>
    <xdr:ext cx="568424" cy="180627"/>
    <xdr:sp macro="_xll.PtreeEvent_ObjectClick" textlink="">
      <xdr:nvSpPr>
        <xdr:cNvPr id="2140" name="PTObj_DBranchName_1_531">
          <a:extLst>
            <a:ext uri="{FF2B5EF4-FFF2-40B4-BE49-F238E27FC236}">
              <a16:creationId xmlns:a16="http://schemas.microsoft.com/office/drawing/2014/main" id="{9439A3A6-146F-43D0-9A3D-1402BA1813D1}"/>
            </a:ext>
          </a:extLst>
        </xdr:cNvPr>
        <xdr:cNvSpPr txBox="1"/>
      </xdr:nvSpPr>
      <xdr:spPr>
        <a:xfrm>
          <a:off x="15820834" y="1941231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1074</xdr:row>
      <xdr:rowOff>120650</xdr:rowOff>
    </xdr:from>
    <xdr:to>
      <xdr:col>10</xdr:col>
      <xdr:colOff>131573</xdr:colOff>
      <xdr:row>1075</xdr:row>
      <xdr:rowOff>133990</xdr:rowOff>
    </xdr:to>
    <xdr:sp macro="_xll.PtreeEvent_ObjectClick" textlink="">
      <xdr:nvSpPr>
        <xdr:cNvPr id="2141" name="PTObj_DNode_1_532">
          <a:extLst>
            <a:ext uri="{FF2B5EF4-FFF2-40B4-BE49-F238E27FC236}">
              <a16:creationId xmlns:a16="http://schemas.microsoft.com/office/drawing/2014/main" id="{677FCA7F-281C-4004-924F-7843D77529BE}"/>
            </a:ext>
          </a:extLst>
        </xdr:cNvPr>
        <xdr:cNvSpPr/>
      </xdr:nvSpPr>
      <xdr:spPr>
        <a:xfrm>
          <a:off x="18394807" y="194487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1074</xdr:row>
      <xdr:rowOff>123684</xdr:rowOff>
    </xdr:from>
    <xdr:ext cx="514858" cy="180627"/>
    <xdr:sp macro="_xll.PtreeEvent_ObjectClick" textlink="">
      <xdr:nvSpPr>
        <xdr:cNvPr id="2144" name="PTObj_DBranchName_1_532">
          <a:extLst>
            <a:ext uri="{FF2B5EF4-FFF2-40B4-BE49-F238E27FC236}">
              <a16:creationId xmlns:a16="http://schemas.microsoft.com/office/drawing/2014/main" id="{27D95C2A-4D74-42E5-B49E-B2CCC96E9AB2}"/>
            </a:ext>
          </a:extLst>
        </xdr:cNvPr>
        <xdr:cNvSpPr txBox="1"/>
      </xdr:nvSpPr>
      <xdr:spPr>
        <a:xfrm>
          <a:off x="17244820" y="194490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1076</xdr:row>
      <xdr:rowOff>124458</xdr:rowOff>
    </xdr:from>
    <xdr:to>
      <xdr:col>11</xdr:col>
      <xdr:colOff>135382</xdr:colOff>
      <xdr:row>1077</xdr:row>
      <xdr:rowOff>130177</xdr:rowOff>
    </xdr:to>
    <xdr:sp macro="_xll.PtreeEvent_ObjectClick" textlink="">
      <xdr:nvSpPr>
        <xdr:cNvPr id="2145" name="PTObj_DNode_1_533">
          <a:extLst>
            <a:ext uri="{FF2B5EF4-FFF2-40B4-BE49-F238E27FC236}">
              <a16:creationId xmlns:a16="http://schemas.microsoft.com/office/drawing/2014/main" id="{26003BB0-D0C4-4984-BB21-9231D1EF20E3}"/>
            </a:ext>
          </a:extLst>
        </xdr:cNvPr>
        <xdr:cNvSpPr/>
      </xdr:nvSpPr>
      <xdr:spPr>
        <a:xfrm>
          <a:off x="19819747" y="194853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1076</xdr:row>
      <xdr:rowOff>127491</xdr:rowOff>
    </xdr:from>
    <xdr:ext cx="514858" cy="180627"/>
    <xdr:sp macro="_xll.PtreeEvent_ObjectClick" textlink="">
      <xdr:nvSpPr>
        <xdr:cNvPr id="2148" name="PTObj_DBranchName_1_533">
          <a:extLst>
            <a:ext uri="{FF2B5EF4-FFF2-40B4-BE49-F238E27FC236}">
              <a16:creationId xmlns:a16="http://schemas.microsoft.com/office/drawing/2014/main" id="{6DC34A4F-13EF-4083-84EC-7D5AB787D9F0}"/>
            </a:ext>
          </a:extLst>
        </xdr:cNvPr>
        <xdr:cNvSpPr txBox="1"/>
      </xdr:nvSpPr>
      <xdr:spPr>
        <a:xfrm>
          <a:off x="18666904" y="194856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1078</xdr:row>
      <xdr:rowOff>135888</xdr:rowOff>
    </xdr:from>
    <xdr:to>
      <xdr:col>12</xdr:col>
      <xdr:colOff>131575</xdr:colOff>
      <xdr:row>1079</xdr:row>
      <xdr:rowOff>130173</xdr:rowOff>
    </xdr:to>
    <xdr:sp macro="_xll.PtreeEvent_ObjectClick" textlink="">
      <xdr:nvSpPr>
        <xdr:cNvPr id="2149" name="PTObj_DNode_1_534">
          <a:extLst>
            <a:ext uri="{FF2B5EF4-FFF2-40B4-BE49-F238E27FC236}">
              <a16:creationId xmlns:a16="http://schemas.microsoft.com/office/drawing/2014/main" id="{076A9E0D-5A8F-481B-B13E-5E3F0E3844CE}"/>
            </a:ext>
          </a:extLst>
        </xdr:cNvPr>
        <xdr:cNvSpPr/>
      </xdr:nvSpPr>
      <xdr:spPr>
        <a:xfrm rot="-5400000">
          <a:off x="21248498" y="1952231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1078</xdr:row>
      <xdr:rowOff>133204</xdr:rowOff>
    </xdr:from>
    <xdr:ext cx="514858" cy="180627"/>
    <xdr:sp macro="_xll.PtreeEvent_ObjectClick" textlink="">
      <xdr:nvSpPr>
        <xdr:cNvPr id="2152" name="PTObj_DBranchName_1_534">
          <a:extLst>
            <a:ext uri="{FF2B5EF4-FFF2-40B4-BE49-F238E27FC236}">
              <a16:creationId xmlns:a16="http://schemas.microsoft.com/office/drawing/2014/main" id="{F6F51F14-833D-48C4-9625-031B2E162FFF}"/>
            </a:ext>
          </a:extLst>
        </xdr:cNvPr>
        <xdr:cNvSpPr txBox="1"/>
      </xdr:nvSpPr>
      <xdr:spPr>
        <a:xfrm>
          <a:off x="20094701" y="1952242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1082</xdr:row>
      <xdr:rowOff>135892</xdr:rowOff>
    </xdr:from>
    <xdr:to>
      <xdr:col>9</xdr:col>
      <xdr:colOff>150622</xdr:colOff>
      <xdr:row>1083</xdr:row>
      <xdr:rowOff>133992</xdr:rowOff>
    </xdr:to>
    <xdr:sp macro="_xll.PtreeEvent_ObjectClick" textlink="">
      <xdr:nvSpPr>
        <xdr:cNvPr id="2153" name="PTObj_DNode_1_536">
          <a:extLst>
            <a:ext uri="{FF2B5EF4-FFF2-40B4-BE49-F238E27FC236}">
              <a16:creationId xmlns:a16="http://schemas.microsoft.com/office/drawing/2014/main" id="{9BFD9D95-399C-4ACA-B9E8-7F95B758A2BE}"/>
            </a:ext>
          </a:extLst>
        </xdr:cNvPr>
        <xdr:cNvSpPr/>
      </xdr:nvSpPr>
      <xdr:spPr>
        <a:xfrm>
          <a:off x="16969867" y="195950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1082</xdr:row>
      <xdr:rowOff>133211</xdr:rowOff>
    </xdr:from>
    <xdr:ext cx="568424" cy="180627"/>
    <xdr:sp macro="_xll.PtreeEvent_ObjectClick" textlink="">
      <xdr:nvSpPr>
        <xdr:cNvPr id="2156" name="PTObj_DBranchName_1_536">
          <a:extLst>
            <a:ext uri="{FF2B5EF4-FFF2-40B4-BE49-F238E27FC236}">
              <a16:creationId xmlns:a16="http://schemas.microsoft.com/office/drawing/2014/main" id="{FE599D7E-A938-44DA-84C0-65D563720E2B}"/>
            </a:ext>
          </a:extLst>
        </xdr:cNvPr>
        <xdr:cNvSpPr txBox="1"/>
      </xdr:nvSpPr>
      <xdr:spPr>
        <a:xfrm>
          <a:off x="15820834" y="1959481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1084</xdr:row>
      <xdr:rowOff>139700</xdr:rowOff>
    </xdr:from>
    <xdr:to>
      <xdr:col>10</xdr:col>
      <xdr:colOff>131573</xdr:colOff>
      <xdr:row>1085</xdr:row>
      <xdr:rowOff>135895</xdr:rowOff>
    </xdr:to>
    <xdr:sp macro="_xll.PtreeEvent_ObjectClick" textlink="">
      <xdr:nvSpPr>
        <xdr:cNvPr id="2157" name="PTObj_DNode_1_537">
          <a:extLst>
            <a:ext uri="{FF2B5EF4-FFF2-40B4-BE49-F238E27FC236}">
              <a16:creationId xmlns:a16="http://schemas.microsoft.com/office/drawing/2014/main" id="{486E8466-23E9-40EA-8EED-97B809D05002}"/>
            </a:ext>
          </a:extLst>
        </xdr:cNvPr>
        <xdr:cNvSpPr/>
      </xdr:nvSpPr>
      <xdr:spPr>
        <a:xfrm>
          <a:off x="18394807" y="196316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1084</xdr:row>
      <xdr:rowOff>137019</xdr:rowOff>
    </xdr:from>
    <xdr:ext cx="514858" cy="180627"/>
    <xdr:sp macro="_xll.PtreeEvent_ObjectClick" textlink="">
      <xdr:nvSpPr>
        <xdr:cNvPr id="2160" name="PTObj_DBranchName_1_537">
          <a:extLst>
            <a:ext uri="{FF2B5EF4-FFF2-40B4-BE49-F238E27FC236}">
              <a16:creationId xmlns:a16="http://schemas.microsoft.com/office/drawing/2014/main" id="{2242AE32-215B-454B-8A5D-0543A9BAAA52}"/>
            </a:ext>
          </a:extLst>
        </xdr:cNvPr>
        <xdr:cNvSpPr txBox="1"/>
      </xdr:nvSpPr>
      <xdr:spPr>
        <a:xfrm>
          <a:off x="17244820" y="1963139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1086</xdr:row>
      <xdr:rowOff>143508</xdr:rowOff>
    </xdr:from>
    <xdr:to>
      <xdr:col>11</xdr:col>
      <xdr:colOff>135382</xdr:colOff>
      <xdr:row>1087</xdr:row>
      <xdr:rowOff>132082</xdr:rowOff>
    </xdr:to>
    <xdr:sp macro="_xll.PtreeEvent_ObjectClick" textlink="">
      <xdr:nvSpPr>
        <xdr:cNvPr id="2161" name="PTObj_DNode_1_538">
          <a:extLst>
            <a:ext uri="{FF2B5EF4-FFF2-40B4-BE49-F238E27FC236}">
              <a16:creationId xmlns:a16="http://schemas.microsoft.com/office/drawing/2014/main" id="{F453CD47-0C90-45D7-85FE-976E083F8C5F}"/>
            </a:ext>
          </a:extLst>
        </xdr:cNvPr>
        <xdr:cNvSpPr/>
      </xdr:nvSpPr>
      <xdr:spPr>
        <a:xfrm>
          <a:off x="19819747" y="196682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1086</xdr:row>
      <xdr:rowOff>142731</xdr:rowOff>
    </xdr:from>
    <xdr:ext cx="514858" cy="180627"/>
    <xdr:sp macro="_xll.PtreeEvent_ObjectClick" textlink="">
      <xdr:nvSpPr>
        <xdr:cNvPr id="2164" name="PTObj_DBranchName_1_538">
          <a:extLst>
            <a:ext uri="{FF2B5EF4-FFF2-40B4-BE49-F238E27FC236}">
              <a16:creationId xmlns:a16="http://schemas.microsoft.com/office/drawing/2014/main" id="{668A3AD8-79B2-4588-BDB6-3D68EB36AFC4}"/>
            </a:ext>
          </a:extLst>
        </xdr:cNvPr>
        <xdr:cNvSpPr txBox="1"/>
      </xdr:nvSpPr>
      <xdr:spPr>
        <a:xfrm>
          <a:off x="18666904" y="196681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1088</xdr:row>
      <xdr:rowOff>150175</xdr:rowOff>
    </xdr:from>
    <xdr:to>
      <xdr:col>12</xdr:col>
      <xdr:colOff>132528</xdr:colOff>
      <xdr:row>1089</xdr:row>
      <xdr:rowOff>133030</xdr:rowOff>
    </xdr:to>
    <xdr:sp macro="_xll.PtreeEvent_ObjectClick" textlink="">
      <xdr:nvSpPr>
        <xdr:cNvPr id="2165" name="PTObj_DNode_1_539">
          <a:extLst>
            <a:ext uri="{FF2B5EF4-FFF2-40B4-BE49-F238E27FC236}">
              <a16:creationId xmlns:a16="http://schemas.microsoft.com/office/drawing/2014/main" id="{BA37E2DA-CC36-4EA9-A4AC-242C1607BAF3}"/>
            </a:ext>
          </a:extLst>
        </xdr:cNvPr>
        <xdr:cNvSpPr/>
      </xdr:nvSpPr>
      <xdr:spPr>
        <a:xfrm rot="-5400000">
          <a:off x="21248498" y="1970462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1088</xdr:row>
      <xdr:rowOff>146539</xdr:rowOff>
    </xdr:from>
    <xdr:ext cx="514858" cy="180627"/>
    <xdr:sp macro="_xll.PtreeEvent_ObjectClick" textlink="">
      <xdr:nvSpPr>
        <xdr:cNvPr id="2168" name="PTObj_DBranchName_1_539">
          <a:extLst>
            <a:ext uri="{FF2B5EF4-FFF2-40B4-BE49-F238E27FC236}">
              <a16:creationId xmlns:a16="http://schemas.microsoft.com/office/drawing/2014/main" id="{1F45ABDB-3AAE-411D-8C3F-EDFAD56288E0}"/>
            </a:ext>
          </a:extLst>
        </xdr:cNvPr>
        <xdr:cNvSpPr txBox="1"/>
      </xdr:nvSpPr>
      <xdr:spPr>
        <a:xfrm>
          <a:off x="20094701" y="1970473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1111</xdr:row>
      <xdr:rowOff>8260</xdr:rowOff>
    </xdr:from>
    <xdr:to>
      <xdr:col>7</xdr:col>
      <xdr:colOff>171578</xdr:colOff>
      <xdr:row>1112</xdr:row>
      <xdr:rowOff>19695</xdr:rowOff>
    </xdr:to>
    <xdr:sp macro="_xll.PtreeEvent_ObjectClick" textlink="">
      <xdr:nvSpPr>
        <xdr:cNvPr id="2169" name="PTObj_DNode_1_550">
          <a:extLst>
            <a:ext uri="{FF2B5EF4-FFF2-40B4-BE49-F238E27FC236}">
              <a16:creationId xmlns:a16="http://schemas.microsoft.com/office/drawing/2014/main" id="{B8F5FC44-19C6-409D-A700-5279C8245CC4}"/>
            </a:ext>
          </a:extLst>
        </xdr:cNvPr>
        <xdr:cNvSpPr/>
      </xdr:nvSpPr>
      <xdr:spPr>
        <a:xfrm>
          <a:off x="14119988" y="201071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1111</xdr:row>
      <xdr:rowOff>11281</xdr:rowOff>
    </xdr:from>
    <xdr:ext cx="566520" cy="180627"/>
    <xdr:sp macro="_xll.PtreeEvent_ObjectClick" textlink="">
      <xdr:nvSpPr>
        <xdr:cNvPr id="2172" name="PTObj_DBranchName_1_550">
          <a:extLst>
            <a:ext uri="{FF2B5EF4-FFF2-40B4-BE49-F238E27FC236}">
              <a16:creationId xmlns:a16="http://schemas.microsoft.com/office/drawing/2014/main" id="{251FD049-0782-4061-9858-94A57E31BFAC}"/>
            </a:ext>
          </a:extLst>
        </xdr:cNvPr>
        <xdr:cNvSpPr txBox="1"/>
      </xdr:nvSpPr>
      <xdr:spPr>
        <a:xfrm>
          <a:off x="12974765" y="201074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1100</xdr:row>
      <xdr:rowOff>170185</xdr:rowOff>
    </xdr:from>
    <xdr:to>
      <xdr:col>8</xdr:col>
      <xdr:colOff>154432</xdr:colOff>
      <xdr:row>1101</xdr:row>
      <xdr:rowOff>172095</xdr:rowOff>
    </xdr:to>
    <xdr:sp macro="_xll.PtreeEvent_ObjectClick" textlink="">
      <xdr:nvSpPr>
        <xdr:cNvPr id="2173" name="PTObj_DNode_1_545">
          <a:extLst>
            <a:ext uri="{FF2B5EF4-FFF2-40B4-BE49-F238E27FC236}">
              <a16:creationId xmlns:a16="http://schemas.microsoft.com/office/drawing/2014/main" id="{A2B391F7-10AD-4BD6-B948-B1127E58C90E}"/>
            </a:ext>
          </a:extLst>
        </xdr:cNvPr>
        <xdr:cNvSpPr/>
      </xdr:nvSpPr>
      <xdr:spPr>
        <a:xfrm>
          <a:off x="15544927" y="199242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1100</xdr:row>
      <xdr:rowOff>175111</xdr:rowOff>
    </xdr:from>
    <xdr:ext cx="566519" cy="180627"/>
    <xdr:sp macro="_xll.PtreeEvent_ObjectClick" textlink="">
      <xdr:nvSpPr>
        <xdr:cNvPr id="2176" name="PTObj_DBranchName_1_545">
          <a:extLst>
            <a:ext uri="{FF2B5EF4-FFF2-40B4-BE49-F238E27FC236}">
              <a16:creationId xmlns:a16="http://schemas.microsoft.com/office/drawing/2014/main" id="{838A2FBC-84B8-453B-916F-F8E8F65D17F7}"/>
            </a:ext>
          </a:extLst>
        </xdr:cNvPr>
        <xdr:cNvSpPr txBox="1"/>
      </xdr:nvSpPr>
      <xdr:spPr>
        <a:xfrm>
          <a:off x="14398752" y="19924761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1092</xdr:row>
      <xdr:rowOff>154942</xdr:rowOff>
    </xdr:from>
    <xdr:to>
      <xdr:col>9</xdr:col>
      <xdr:colOff>150622</xdr:colOff>
      <xdr:row>1093</xdr:row>
      <xdr:rowOff>168282</xdr:rowOff>
    </xdr:to>
    <xdr:sp macro="_xll.PtreeEvent_ObjectClick" textlink="">
      <xdr:nvSpPr>
        <xdr:cNvPr id="2177" name="PTObj_DNode_1_541">
          <a:extLst>
            <a:ext uri="{FF2B5EF4-FFF2-40B4-BE49-F238E27FC236}">
              <a16:creationId xmlns:a16="http://schemas.microsoft.com/office/drawing/2014/main" id="{BE46641A-5208-4835-BC64-7943995E4B24}"/>
            </a:ext>
          </a:extLst>
        </xdr:cNvPr>
        <xdr:cNvSpPr/>
      </xdr:nvSpPr>
      <xdr:spPr>
        <a:xfrm>
          <a:off x="16969867" y="197779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1092</xdr:row>
      <xdr:rowOff>156071</xdr:rowOff>
    </xdr:from>
    <xdr:ext cx="568424" cy="180627"/>
    <xdr:sp macro="_xll.PtreeEvent_ObjectClick" textlink="">
      <xdr:nvSpPr>
        <xdr:cNvPr id="2180" name="PTObj_DBranchName_1_541">
          <a:extLst>
            <a:ext uri="{FF2B5EF4-FFF2-40B4-BE49-F238E27FC236}">
              <a16:creationId xmlns:a16="http://schemas.microsoft.com/office/drawing/2014/main" id="{93B69B3E-2C15-4BF2-AA90-B7A3BE6696CD}"/>
            </a:ext>
          </a:extLst>
        </xdr:cNvPr>
        <xdr:cNvSpPr txBox="1"/>
      </xdr:nvSpPr>
      <xdr:spPr>
        <a:xfrm>
          <a:off x="15820834" y="1977807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1094</xdr:row>
      <xdr:rowOff>158750</xdr:rowOff>
    </xdr:from>
    <xdr:to>
      <xdr:col>10</xdr:col>
      <xdr:colOff>131573</xdr:colOff>
      <xdr:row>1095</xdr:row>
      <xdr:rowOff>172090</xdr:rowOff>
    </xdr:to>
    <xdr:sp macro="_xll.PtreeEvent_ObjectClick" textlink="">
      <xdr:nvSpPr>
        <xdr:cNvPr id="2181" name="PTObj_DNode_1_542">
          <a:extLst>
            <a:ext uri="{FF2B5EF4-FFF2-40B4-BE49-F238E27FC236}">
              <a16:creationId xmlns:a16="http://schemas.microsoft.com/office/drawing/2014/main" id="{7A086544-FE42-4273-BA8A-0410A80406FD}"/>
            </a:ext>
          </a:extLst>
        </xdr:cNvPr>
        <xdr:cNvSpPr/>
      </xdr:nvSpPr>
      <xdr:spPr>
        <a:xfrm>
          <a:off x="18394807" y="198145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1094</xdr:row>
      <xdr:rowOff>161784</xdr:rowOff>
    </xdr:from>
    <xdr:ext cx="514858" cy="180627"/>
    <xdr:sp macro="_xll.PtreeEvent_ObjectClick" textlink="">
      <xdr:nvSpPr>
        <xdr:cNvPr id="2184" name="PTObj_DBranchName_1_542">
          <a:extLst>
            <a:ext uri="{FF2B5EF4-FFF2-40B4-BE49-F238E27FC236}">
              <a16:creationId xmlns:a16="http://schemas.microsoft.com/office/drawing/2014/main" id="{29121C3D-417B-4A19-B1B7-EFBCC34EC442}"/>
            </a:ext>
          </a:extLst>
        </xdr:cNvPr>
        <xdr:cNvSpPr txBox="1"/>
      </xdr:nvSpPr>
      <xdr:spPr>
        <a:xfrm>
          <a:off x="17244820" y="198148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1096</xdr:row>
      <xdr:rowOff>162558</xdr:rowOff>
    </xdr:from>
    <xdr:to>
      <xdr:col>11</xdr:col>
      <xdr:colOff>135382</xdr:colOff>
      <xdr:row>1097</xdr:row>
      <xdr:rowOff>168277</xdr:rowOff>
    </xdr:to>
    <xdr:sp macro="_xll.PtreeEvent_ObjectClick" textlink="">
      <xdr:nvSpPr>
        <xdr:cNvPr id="2185" name="PTObj_DNode_1_543">
          <a:extLst>
            <a:ext uri="{FF2B5EF4-FFF2-40B4-BE49-F238E27FC236}">
              <a16:creationId xmlns:a16="http://schemas.microsoft.com/office/drawing/2014/main" id="{C4F189E8-8C55-4A0B-BDA9-7E4A52B4F689}"/>
            </a:ext>
          </a:extLst>
        </xdr:cNvPr>
        <xdr:cNvSpPr/>
      </xdr:nvSpPr>
      <xdr:spPr>
        <a:xfrm>
          <a:off x="19819747" y="198511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1096</xdr:row>
      <xdr:rowOff>165591</xdr:rowOff>
    </xdr:from>
    <xdr:ext cx="514858" cy="180627"/>
    <xdr:sp macro="_xll.PtreeEvent_ObjectClick" textlink="">
      <xdr:nvSpPr>
        <xdr:cNvPr id="2188" name="PTObj_DBranchName_1_543">
          <a:extLst>
            <a:ext uri="{FF2B5EF4-FFF2-40B4-BE49-F238E27FC236}">
              <a16:creationId xmlns:a16="http://schemas.microsoft.com/office/drawing/2014/main" id="{BC645E0E-BDEE-4056-A3A1-065B5A98EA3F}"/>
            </a:ext>
          </a:extLst>
        </xdr:cNvPr>
        <xdr:cNvSpPr txBox="1"/>
      </xdr:nvSpPr>
      <xdr:spPr>
        <a:xfrm>
          <a:off x="18666904" y="198514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1098</xdr:row>
      <xdr:rowOff>173988</xdr:rowOff>
    </xdr:from>
    <xdr:to>
      <xdr:col>12</xdr:col>
      <xdr:colOff>131575</xdr:colOff>
      <xdr:row>1099</xdr:row>
      <xdr:rowOff>168273</xdr:rowOff>
    </xdr:to>
    <xdr:sp macro="_xll.PtreeEvent_ObjectClick" textlink="">
      <xdr:nvSpPr>
        <xdr:cNvPr id="2189" name="PTObj_DNode_1_544">
          <a:extLst>
            <a:ext uri="{FF2B5EF4-FFF2-40B4-BE49-F238E27FC236}">
              <a16:creationId xmlns:a16="http://schemas.microsoft.com/office/drawing/2014/main" id="{43AEDA03-580F-4C55-B62E-0D4993C4B98B}"/>
            </a:ext>
          </a:extLst>
        </xdr:cNvPr>
        <xdr:cNvSpPr/>
      </xdr:nvSpPr>
      <xdr:spPr>
        <a:xfrm rot="-5400000">
          <a:off x="21248498" y="1988807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1098</xdr:row>
      <xdr:rowOff>171304</xdr:rowOff>
    </xdr:from>
    <xdr:ext cx="514858" cy="180627"/>
    <xdr:sp macro="_xll.PtreeEvent_ObjectClick" textlink="">
      <xdr:nvSpPr>
        <xdr:cNvPr id="2192" name="PTObj_DBranchName_1_544">
          <a:extLst>
            <a:ext uri="{FF2B5EF4-FFF2-40B4-BE49-F238E27FC236}">
              <a16:creationId xmlns:a16="http://schemas.microsoft.com/office/drawing/2014/main" id="{3E0093E8-8521-4A08-AF6F-D2CDD21B1905}"/>
            </a:ext>
          </a:extLst>
        </xdr:cNvPr>
        <xdr:cNvSpPr txBox="1"/>
      </xdr:nvSpPr>
      <xdr:spPr>
        <a:xfrm>
          <a:off x="20094701" y="19888185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1102</xdr:row>
      <xdr:rowOff>173992</xdr:rowOff>
    </xdr:from>
    <xdr:to>
      <xdr:col>9</xdr:col>
      <xdr:colOff>150622</xdr:colOff>
      <xdr:row>1103</xdr:row>
      <xdr:rowOff>172092</xdr:rowOff>
    </xdr:to>
    <xdr:sp macro="_xll.PtreeEvent_ObjectClick" textlink="">
      <xdr:nvSpPr>
        <xdr:cNvPr id="2193" name="PTObj_DNode_1_546">
          <a:extLst>
            <a:ext uri="{FF2B5EF4-FFF2-40B4-BE49-F238E27FC236}">
              <a16:creationId xmlns:a16="http://schemas.microsoft.com/office/drawing/2014/main" id="{39EB6A45-3285-442E-9A3A-70DD30A743E2}"/>
            </a:ext>
          </a:extLst>
        </xdr:cNvPr>
        <xdr:cNvSpPr/>
      </xdr:nvSpPr>
      <xdr:spPr>
        <a:xfrm>
          <a:off x="16969867" y="1996084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1102</xdr:row>
      <xdr:rowOff>171311</xdr:rowOff>
    </xdr:from>
    <xdr:ext cx="568424" cy="180627"/>
    <xdr:sp macro="_xll.PtreeEvent_ObjectClick" textlink="">
      <xdr:nvSpPr>
        <xdr:cNvPr id="2196" name="PTObj_DBranchName_1_546">
          <a:extLst>
            <a:ext uri="{FF2B5EF4-FFF2-40B4-BE49-F238E27FC236}">
              <a16:creationId xmlns:a16="http://schemas.microsoft.com/office/drawing/2014/main" id="{335AB5E4-3D94-47AE-A086-EA60710B4BEF}"/>
            </a:ext>
          </a:extLst>
        </xdr:cNvPr>
        <xdr:cNvSpPr txBox="1"/>
      </xdr:nvSpPr>
      <xdr:spPr>
        <a:xfrm>
          <a:off x="15820834" y="1996057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1104</xdr:row>
      <xdr:rowOff>177800</xdr:rowOff>
    </xdr:from>
    <xdr:to>
      <xdr:col>10</xdr:col>
      <xdr:colOff>131573</xdr:colOff>
      <xdr:row>1105</xdr:row>
      <xdr:rowOff>173995</xdr:rowOff>
    </xdr:to>
    <xdr:sp macro="_xll.PtreeEvent_ObjectClick" textlink="">
      <xdr:nvSpPr>
        <xdr:cNvPr id="2197" name="PTObj_DNode_1_547">
          <a:extLst>
            <a:ext uri="{FF2B5EF4-FFF2-40B4-BE49-F238E27FC236}">
              <a16:creationId xmlns:a16="http://schemas.microsoft.com/office/drawing/2014/main" id="{9CCB72B3-C6D1-41ED-872F-780A43B4A590}"/>
            </a:ext>
          </a:extLst>
        </xdr:cNvPr>
        <xdr:cNvSpPr/>
      </xdr:nvSpPr>
      <xdr:spPr>
        <a:xfrm>
          <a:off x="18394807" y="199974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1104</xdr:row>
      <xdr:rowOff>175119</xdr:rowOff>
    </xdr:from>
    <xdr:ext cx="514858" cy="180627"/>
    <xdr:sp macro="_xll.PtreeEvent_ObjectClick" textlink="">
      <xdr:nvSpPr>
        <xdr:cNvPr id="2200" name="PTObj_DBranchName_1_547">
          <a:extLst>
            <a:ext uri="{FF2B5EF4-FFF2-40B4-BE49-F238E27FC236}">
              <a16:creationId xmlns:a16="http://schemas.microsoft.com/office/drawing/2014/main" id="{12BCAAEB-4E55-4D9A-B47C-EBF63DAC3580}"/>
            </a:ext>
          </a:extLst>
        </xdr:cNvPr>
        <xdr:cNvSpPr txBox="1"/>
      </xdr:nvSpPr>
      <xdr:spPr>
        <a:xfrm>
          <a:off x="17244820" y="19997151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1107</xdr:row>
      <xdr:rowOff>633</xdr:rowOff>
    </xdr:from>
    <xdr:to>
      <xdr:col>11</xdr:col>
      <xdr:colOff>135382</xdr:colOff>
      <xdr:row>1108</xdr:row>
      <xdr:rowOff>2542</xdr:rowOff>
    </xdr:to>
    <xdr:sp macro="_xll.PtreeEvent_ObjectClick" textlink="">
      <xdr:nvSpPr>
        <xdr:cNvPr id="2201" name="PTObj_DNode_1_548">
          <a:extLst>
            <a:ext uri="{FF2B5EF4-FFF2-40B4-BE49-F238E27FC236}">
              <a16:creationId xmlns:a16="http://schemas.microsoft.com/office/drawing/2014/main" id="{2912902B-60A9-4E34-8634-FDD0A725F45F}"/>
            </a:ext>
          </a:extLst>
        </xdr:cNvPr>
        <xdr:cNvSpPr/>
      </xdr:nvSpPr>
      <xdr:spPr>
        <a:xfrm>
          <a:off x="19819747" y="2003399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1107</xdr:row>
      <xdr:rowOff>1761</xdr:rowOff>
    </xdr:from>
    <xdr:ext cx="514858" cy="180627"/>
    <xdr:sp macro="_xll.PtreeEvent_ObjectClick" textlink="">
      <xdr:nvSpPr>
        <xdr:cNvPr id="2204" name="PTObj_DBranchName_1_548">
          <a:extLst>
            <a:ext uri="{FF2B5EF4-FFF2-40B4-BE49-F238E27FC236}">
              <a16:creationId xmlns:a16="http://schemas.microsoft.com/office/drawing/2014/main" id="{F94DE2A6-12EC-4833-A628-1B7220C27EE8}"/>
            </a:ext>
          </a:extLst>
        </xdr:cNvPr>
        <xdr:cNvSpPr txBox="1"/>
      </xdr:nvSpPr>
      <xdr:spPr>
        <a:xfrm>
          <a:off x="18666904" y="200341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1109</xdr:row>
      <xdr:rowOff>10158</xdr:rowOff>
    </xdr:from>
    <xdr:to>
      <xdr:col>12</xdr:col>
      <xdr:colOff>131575</xdr:colOff>
      <xdr:row>1110</xdr:row>
      <xdr:rowOff>19683</xdr:rowOff>
    </xdr:to>
    <xdr:sp macro="_xll.PtreeEvent_ObjectClick" textlink="">
      <xdr:nvSpPr>
        <xdr:cNvPr id="2205" name="PTObj_DNode_1_549">
          <a:extLst>
            <a:ext uri="{FF2B5EF4-FFF2-40B4-BE49-F238E27FC236}">
              <a16:creationId xmlns:a16="http://schemas.microsoft.com/office/drawing/2014/main" id="{005B31A5-3EBD-40F3-AB30-A31E3EDD15A1}"/>
            </a:ext>
          </a:extLst>
        </xdr:cNvPr>
        <xdr:cNvSpPr/>
      </xdr:nvSpPr>
      <xdr:spPr>
        <a:xfrm rot="-5400000">
          <a:off x="21248498" y="2007076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1109</xdr:row>
      <xdr:rowOff>7474</xdr:rowOff>
    </xdr:from>
    <xdr:ext cx="514858" cy="180627"/>
    <xdr:sp macro="_xll.PtreeEvent_ObjectClick" textlink="">
      <xdr:nvSpPr>
        <xdr:cNvPr id="2208" name="PTObj_DBranchName_1_549">
          <a:extLst>
            <a:ext uri="{FF2B5EF4-FFF2-40B4-BE49-F238E27FC236}">
              <a16:creationId xmlns:a16="http://schemas.microsoft.com/office/drawing/2014/main" id="{71AA73EA-E2BB-48DC-83BC-62372A4B7CCF}"/>
            </a:ext>
          </a:extLst>
        </xdr:cNvPr>
        <xdr:cNvSpPr txBox="1"/>
      </xdr:nvSpPr>
      <xdr:spPr>
        <a:xfrm>
          <a:off x="20094701" y="2007087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1121</xdr:row>
      <xdr:rowOff>27310</xdr:rowOff>
    </xdr:from>
    <xdr:to>
      <xdr:col>8</xdr:col>
      <xdr:colOff>154432</xdr:colOff>
      <xdr:row>1122</xdr:row>
      <xdr:rowOff>21600</xdr:rowOff>
    </xdr:to>
    <xdr:sp macro="_xll.PtreeEvent_ObjectClick" textlink="">
      <xdr:nvSpPr>
        <xdr:cNvPr id="2209" name="PTObj_DNode_1_555">
          <a:extLst>
            <a:ext uri="{FF2B5EF4-FFF2-40B4-BE49-F238E27FC236}">
              <a16:creationId xmlns:a16="http://schemas.microsoft.com/office/drawing/2014/main" id="{54BE1573-0996-46D6-8D62-D676129C277A}"/>
            </a:ext>
          </a:extLst>
        </xdr:cNvPr>
        <xdr:cNvSpPr/>
      </xdr:nvSpPr>
      <xdr:spPr>
        <a:xfrm>
          <a:off x="15544927" y="202900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1121</xdr:row>
      <xdr:rowOff>26521</xdr:rowOff>
    </xdr:from>
    <xdr:ext cx="568425" cy="180627"/>
    <xdr:sp macro="_xll.PtreeEvent_ObjectClick" textlink="">
      <xdr:nvSpPr>
        <xdr:cNvPr id="2212" name="PTObj_DBranchName_1_555">
          <a:extLst>
            <a:ext uri="{FF2B5EF4-FFF2-40B4-BE49-F238E27FC236}">
              <a16:creationId xmlns:a16="http://schemas.microsoft.com/office/drawing/2014/main" id="{F2D6C751-A8AB-4A98-BEBF-60D6301AC72E}"/>
            </a:ext>
          </a:extLst>
        </xdr:cNvPr>
        <xdr:cNvSpPr txBox="1"/>
      </xdr:nvSpPr>
      <xdr:spPr>
        <a:xfrm>
          <a:off x="14400657" y="2028994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1113</xdr:row>
      <xdr:rowOff>12067</xdr:rowOff>
    </xdr:from>
    <xdr:to>
      <xdr:col>9</xdr:col>
      <xdr:colOff>150622</xdr:colOff>
      <xdr:row>1114</xdr:row>
      <xdr:rowOff>21597</xdr:rowOff>
    </xdr:to>
    <xdr:sp macro="_xll.PtreeEvent_ObjectClick" textlink="">
      <xdr:nvSpPr>
        <xdr:cNvPr id="2213" name="PTObj_DNode_1_551">
          <a:extLst>
            <a:ext uri="{FF2B5EF4-FFF2-40B4-BE49-F238E27FC236}">
              <a16:creationId xmlns:a16="http://schemas.microsoft.com/office/drawing/2014/main" id="{D5A17513-AA4C-43E3-AE0C-2F8EFCF4AB1C}"/>
            </a:ext>
          </a:extLst>
        </xdr:cNvPr>
        <xdr:cNvSpPr/>
      </xdr:nvSpPr>
      <xdr:spPr>
        <a:xfrm>
          <a:off x="16969867" y="2014372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1113</xdr:row>
      <xdr:rowOff>17006</xdr:rowOff>
    </xdr:from>
    <xdr:ext cx="568424" cy="180627"/>
    <xdr:sp macro="_xll.PtreeEvent_ObjectClick" textlink="">
      <xdr:nvSpPr>
        <xdr:cNvPr id="2216" name="PTObj_DBranchName_1_551">
          <a:extLst>
            <a:ext uri="{FF2B5EF4-FFF2-40B4-BE49-F238E27FC236}">
              <a16:creationId xmlns:a16="http://schemas.microsoft.com/office/drawing/2014/main" id="{FC0AB2A5-A542-42E2-8740-E94BFF24E8E0}"/>
            </a:ext>
          </a:extLst>
        </xdr:cNvPr>
        <xdr:cNvSpPr txBox="1"/>
      </xdr:nvSpPr>
      <xdr:spPr>
        <a:xfrm>
          <a:off x="15820834" y="2014421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1115</xdr:row>
      <xdr:rowOff>15875</xdr:rowOff>
    </xdr:from>
    <xdr:to>
      <xdr:col>10</xdr:col>
      <xdr:colOff>135383</xdr:colOff>
      <xdr:row>1116</xdr:row>
      <xdr:rowOff>21595</xdr:rowOff>
    </xdr:to>
    <xdr:sp macro="_xll.PtreeEvent_ObjectClick" textlink="">
      <xdr:nvSpPr>
        <xdr:cNvPr id="2217" name="PTObj_DNode_1_552">
          <a:extLst>
            <a:ext uri="{FF2B5EF4-FFF2-40B4-BE49-F238E27FC236}">
              <a16:creationId xmlns:a16="http://schemas.microsoft.com/office/drawing/2014/main" id="{39B84DC6-313A-434D-A8D4-2A4BE9005691}"/>
            </a:ext>
          </a:extLst>
        </xdr:cNvPr>
        <xdr:cNvSpPr/>
      </xdr:nvSpPr>
      <xdr:spPr>
        <a:xfrm>
          <a:off x="18394807" y="201803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1115</xdr:row>
      <xdr:rowOff>20814</xdr:rowOff>
    </xdr:from>
    <xdr:ext cx="514858" cy="180627"/>
    <xdr:sp macro="_xll.PtreeEvent_ObjectClick" textlink="">
      <xdr:nvSpPr>
        <xdr:cNvPr id="2220" name="PTObj_DBranchName_1_552">
          <a:extLst>
            <a:ext uri="{FF2B5EF4-FFF2-40B4-BE49-F238E27FC236}">
              <a16:creationId xmlns:a16="http://schemas.microsoft.com/office/drawing/2014/main" id="{6566D344-D879-4DF0-9A36-9D125ADEDD0D}"/>
            </a:ext>
          </a:extLst>
        </xdr:cNvPr>
        <xdr:cNvSpPr txBox="1"/>
      </xdr:nvSpPr>
      <xdr:spPr>
        <a:xfrm>
          <a:off x="17244820" y="2018079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1117</xdr:row>
      <xdr:rowOff>19683</xdr:rowOff>
    </xdr:from>
    <xdr:to>
      <xdr:col>11</xdr:col>
      <xdr:colOff>131572</xdr:colOff>
      <xdr:row>1118</xdr:row>
      <xdr:rowOff>21592</xdr:rowOff>
    </xdr:to>
    <xdr:sp macro="_xll.PtreeEvent_ObjectClick" textlink="">
      <xdr:nvSpPr>
        <xdr:cNvPr id="2221" name="PTObj_DNode_1_553">
          <a:extLst>
            <a:ext uri="{FF2B5EF4-FFF2-40B4-BE49-F238E27FC236}">
              <a16:creationId xmlns:a16="http://schemas.microsoft.com/office/drawing/2014/main" id="{C2B0ACD3-BBE0-4662-9579-75B314C1FD85}"/>
            </a:ext>
          </a:extLst>
        </xdr:cNvPr>
        <xdr:cNvSpPr/>
      </xdr:nvSpPr>
      <xdr:spPr>
        <a:xfrm>
          <a:off x="19819747" y="2021687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1117</xdr:row>
      <xdr:rowOff>17001</xdr:rowOff>
    </xdr:from>
    <xdr:ext cx="514858" cy="180627"/>
    <xdr:sp macro="_xll.PtreeEvent_ObjectClick" textlink="">
      <xdr:nvSpPr>
        <xdr:cNvPr id="2224" name="PTObj_DBranchName_1_553">
          <a:extLst>
            <a:ext uri="{FF2B5EF4-FFF2-40B4-BE49-F238E27FC236}">
              <a16:creationId xmlns:a16="http://schemas.microsoft.com/office/drawing/2014/main" id="{9BAF186F-9BED-4C4A-9506-D22EC8DDB2FC}"/>
            </a:ext>
          </a:extLst>
        </xdr:cNvPr>
        <xdr:cNvSpPr txBox="1"/>
      </xdr:nvSpPr>
      <xdr:spPr>
        <a:xfrm>
          <a:off x="18666904" y="202166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1119</xdr:row>
      <xdr:rowOff>23493</xdr:rowOff>
    </xdr:from>
    <xdr:to>
      <xdr:col>12</xdr:col>
      <xdr:colOff>135385</xdr:colOff>
      <xdr:row>1120</xdr:row>
      <xdr:rowOff>21588</xdr:rowOff>
    </xdr:to>
    <xdr:sp macro="_xll.PtreeEvent_ObjectClick" textlink="">
      <xdr:nvSpPr>
        <xdr:cNvPr id="2225" name="PTObj_DNode_1_554">
          <a:extLst>
            <a:ext uri="{FF2B5EF4-FFF2-40B4-BE49-F238E27FC236}">
              <a16:creationId xmlns:a16="http://schemas.microsoft.com/office/drawing/2014/main" id="{76CA6E03-408B-46CD-83C4-46E75A04EA69}"/>
            </a:ext>
          </a:extLst>
        </xdr:cNvPr>
        <xdr:cNvSpPr/>
      </xdr:nvSpPr>
      <xdr:spPr>
        <a:xfrm rot="-5400000">
          <a:off x="21248498" y="2025307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1119</xdr:row>
      <xdr:rowOff>20809</xdr:rowOff>
    </xdr:from>
    <xdr:ext cx="514858" cy="180627"/>
    <xdr:sp macro="_xll.PtreeEvent_ObjectClick" textlink="">
      <xdr:nvSpPr>
        <xdr:cNvPr id="2228" name="PTObj_DBranchName_1_554">
          <a:extLst>
            <a:ext uri="{FF2B5EF4-FFF2-40B4-BE49-F238E27FC236}">
              <a16:creationId xmlns:a16="http://schemas.microsoft.com/office/drawing/2014/main" id="{9C1459F4-6329-40AB-AA5F-D3368F18B764}"/>
            </a:ext>
          </a:extLst>
        </xdr:cNvPr>
        <xdr:cNvSpPr txBox="1"/>
      </xdr:nvSpPr>
      <xdr:spPr>
        <a:xfrm>
          <a:off x="20094701" y="2025318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1123</xdr:row>
      <xdr:rowOff>31117</xdr:rowOff>
    </xdr:from>
    <xdr:to>
      <xdr:col>9</xdr:col>
      <xdr:colOff>150622</xdr:colOff>
      <xdr:row>1124</xdr:row>
      <xdr:rowOff>17787</xdr:rowOff>
    </xdr:to>
    <xdr:sp macro="_xll.PtreeEvent_ObjectClick" textlink="">
      <xdr:nvSpPr>
        <xdr:cNvPr id="2229" name="PTObj_DNode_1_556">
          <a:extLst>
            <a:ext uri="{FF2B5EF4-FFF2-40B4-BE49-F238E27FC236}">
              <a16:creationId xmlns:a16="http://schemas.microsoft.com/office/drawing/2014/main" id="{7AF1A5E5-2272-4950-A549-CC3C18713286}"/>
            </a:ext>
          </a:extLst>
        </xdr:cNvPr>
        <xdr:cNvSpPr/>
      </xdr:nvSpPr>
      <xdr:spPr>
        <a:xfrm>
          <a:off x="16969867" y="2032660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1123</xdr:row>
      <xdr:rowOff>30341</xdr:rowOff>
    </xdr:from>
    <xdr:ext cx="568424" cy="180627"/>
    <xdr:sp macro="_xll.PtreeEvent_ObjectClick" textlink="">
      <xdr:nvSpPr>
        <xdr:cNvPr id="2232" name="PTObj_DBranchName_1_556">
          <a:extLst>
            <a:ext uri="{FF2B5EF4-FFF2-40B4-BE49-F238E27FC236}">
              <a16:creationId xmlns:a16="http://schemas.microsoft.com/office/drawing/2014/main" id="{F20F630F-A984-4DF1-99B1-4C8FE114F480}"/>
            </a:ext>
          </a:extLst>
        </xdr:cNvPr>
        <xdr:cNvSpPr txBox="1"/>
      </xdr:nvSpPr>
      <xdr:spPr>
        <a:xfrm>
          <a:off x="15820834" y="2032652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1125</xdr:row>
      <xdr:rowOff>34925</xdr:rowOff>
    </xdr:from>
    <xdr:to>
      <xdr:col>10</xdr:col>
      <xdr:colOff>135383</xdr:colOff>
      <xdr:row>1126</xdr:row>
      <xdr:rowOff>36835</xdr:rowOff>
    </xdr:to>
    <xdr:sp macro="_xll.PtreeEvent_ObjectClick" textlink="">
      <xdr:nvSpPr>
        <xdr:cNvPr id="2233" name="PTObj_DNode_1_557">
          <a:extLst>
            <a:ext uri="{FF2B5EF4-FFF2-40B4-BE49-F238E27FC236}">
              <a16:creationId xmlns:a16="http://schemas.microsoft.com/office/drawing/2014/main" id="{9CEE1AEE-A328-471E-994E-A040058E08DA}"/>
            </a:ext>
          </a:extLst>
        </xdr:cNvPr>
        <xdr:cNvSpPr/>
      </xdr:nvSpPr>
      <xdr:spPr>
        <a:xfrm>
          <a:off x="18394807" y="203631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1125</xdr:row>
      <xdr:rowOff>36054</xdr:rowOff>
    </xdr:from>
    <xdr:ext cx="514858" cy="180627"/>
    <xdr:sp macro="_xll.PtreeEvent_ObjectClick" textlink="">
      <xdr:nvSpPr>
        <xdr:cNvPr id="2236" name="PTObj_DBranchName_1_557">
          <a:extLst>
            <a:ext uri="{FF2B5EF4-FFF2-40B4-BE49-F238E27FC236}">
              <a16:creationId xmlns:a16="http://schemas.microsoft.com/office/drawing/2014/main" id="{5EA2DD4C-6E4B-4254-AA84-0B1789537934}"/>
            </a:ext>
          </a:extLst>
        </xdr:cNvPr>
        <xdr:cNvSpPr txBox="1"/>
      </xdr:nvSpPr>
      <xdr:spPr>
        <a:xfrm>
          <a:off x="17244820" y="2036329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1127</xdr:row>
      <xdr:rowOff>38733</xdr:rowOff>
    </xdr:from>
    <xdr:to>
      <xdr:col>11</xdr:col>
      <xdr:colOff>131572</xdr:colOff>
      <xdr:row>1128</xdr:row>
      <xdr:rowOff>40642</xdr:rowOff>
    </xdr:to>
    <xdr:sp macro="_xll.PtreeEvent_ObjectClick" textlink="">
      <xdr:nvSpPr>
        <xdr:cNvPr id="2237" name="PTObj_DNode_1_558">
          <a:extLst>
            <a:ext uri="{FF2B5EF4-FFF2-40B4-BE49-F238E27FC236}">
              <a16:creationId xmlns:a16="http://schemas.microsoft.com/office/drawing/2014/main" id="{A0AE7F3C-EE96-4F36-828A-C09A477AA1F4}"/>
            </a:ext>
          </a:extLst>
        </xdr:cNvPr>
        <xdr:cNvSpPr/>
      </xdr:nvSpPr>
      <xdr:spPr>
        <a:xfrm>
          <a:off x="19819747" y="2039975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1127</xdr:row>
      <xdr:rowOff>39861</xdr:rowOff>
    </xdr:from>
    <xdr:ext cx="514858" cy="180627"/>
    <xdr:sp macro="_xll.PtreeEvent_ObjectClick" textlink="">
      <xdr:nvSpPr>
        <xdr:cNvPr id="2240" name="PTObj_DBranchName_1_558">
          <a:extLst>
            <a:ext uri="{FF2B5EF4-FFF2-40B4-BE49-F238E27FC236}">
              <a16:creationId xmlns:a16="http://schemas.microsoft.com/office/drawing/2014/main" id="{4895856F-63BF-495C-A6D3-D962FD5AC190}"/>
            </a:ext>
          </a:extLst>
        </xdr:cNvPr>
        <xdr:cNvSpPr txBox="1"/>
      </xdr:nvSpPr>
      <xdr:spPr>
        <a:xfrm>
          <a:off x="18666904" y="203998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1129</xdr:row>
      <xdr:rowOff>48258</xdr:rowOff>
    </xdr:from>
    <xdr:to>
      <xdr:col>12</xdr:col>
      <xdr:colOff>135385</xdr:colOff>
      <xdr:row>1130</xdr:row>
      <xdr:rowOff>53973</xdr:rowOff>
    </xdr:to>
    <xdr:sp macro="_xll.PtreeEvent_ObjectClick" textlink="">
      <xdr:nvSpPr>
        <xdr:cNvPr id="2241" name="PTObj_DNode_1_559">
          <a:extLst>
            <a:ext uri="{FF2B5EF4-FFF2-40B4-BE49-F238E27FC236}">
              <a16:creationId xmlns:a16="http://schemas.microsoft.com/office/drawing/2014/main" id="{C75FBAB8-7949-4DF4-933C-2796D2DF3877}"/>
            </a:ext>
          </a:extLst>
        </xdr:cNvPr>
        <xdr:cNvSpPr/>
      </xdr:nvSpPr>
      <xdr:spPr>
        <a:xfrm rot="-5400000">
          <a:off x="21248498" y="2043652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1129</xdr:row>
      <xdr:rowOff>45574</xdr:rowOff>
    </xdr:from>
    <xdr:ext cx="514858" cy="180627"/>
    <xdr:sp macro="_xll.PtreeEvent_ObjectClick" textlink="">
      <xdr:nvSpPr>
        <xdr:cNvPr id="2244" name="PTObj_DBranchName_1_559">
          <a:extLst>
            <a:ext uri="{FF2B5EF4-FFF2-40B4-BE49-F238E27FC236}">
              <a16:creationId xmlns:a16="http://schemas.microsoft.com/office/drawing/2014/main" id="{46968897-8AA0-4584-8A28-A6DCD03E866A}"/>
            </a:ext>
          </a:extLst>
        </xdr:cNvPr>
        <xdr:cNvSpPr txBox="1"/>
      </xdr:nvSpPr>
      <xdr:spPr>
        <a:xfrm>
          <a:off x="20094701" y="2043663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1411732</xdr:colOff>
      <xdr:row>1212</xdr:row>
      <xdr:rowOff>17785</xdr:rowOff>
    </xdr:from>
    <xdr:to>
      <xdr:col>5</xdr:col>
      <xdr:colOff>173482</xdr:colOff>
      <xdr:row>1213</xdr:row>
      <xdr:rowOff>19695</xdr:rowOff>
    </xdr:to>
    <xdr:sp macro="_xll.PtreeEvent_ObjectClick" textlink="">
      <xdr:nvSpPr>
        <xdr:cNvPr id="2245" name="PTObj_DNode_1_600">
          <a:extLst>
            <a:ext uri="{FF2B5EF4-FFF2-40B4-BE49-F238E27FC236}">
              <a16:creationId xmlns:a16="http://schemas.microsoft.com/office/drawing/2014/main" id="{2799DA6D-1403-4E73-9A1E-771DFA2054CF}"/>
            </a:ext>
          </a:extLst>
        </xdr:cNvPr>
        <xdr:cNvSpPr/>
      </xdr:nvSpPr>
      <xdr:spPr>
        <a:xfrm>
          <a:off x="11270107" y="21935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1212</xdr:row>
      <xdr:rowOff>22711</xdr:rowOff>
    </xdr:from>
    <xdr:ext cx="566520" cy="180627"/>
    <xdr:sp macro="_xll.PtreeEvent_ObjectClick" textlink="">
      <xdr:nvSpPr>
        <xdr:cNvPr id="2248" name="PTObj_DBranchName_1_600">
          <a:extLst>
            <a:ext uri="{FF2B5EF4-FFF2-40B4-BE49-F238E27FC236}">
              <a16:creationId xmlns:a16="http://schemas.microsoft.com/office/drawing/2014/main" id="{4C69AF91-4173-4981-842D-B48BDB429274}"/>
            </a:ext>
          </a:extLst>
        </xdr:cNvPr>
        <xdr:cNvSpPr txBox="1"/>
      </xdr:nvSpPr>
      <xdr:spPr>
        <a:xfrm>
          <a:off x="10124885" y="219364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1407922</xdr:colOff>
      <xdr:row>1171</xdr:row>
      <xdr:rowOff>122560</xdr:rowOff>
    </xdr:from>
    <xdr:to>
      <xdr:col>6</xdr:col>
      <xdr:colOff>171577</xdr:colOff>
      <xdr:row>1172</xdr:row>
      <xdr:rowOff>133995</xdr:rowOff>
    </xdr:to>
    <xdr:sp macro="_xll.PtreeEvent_ObjectClick" textlink="">
      <xdr:nvSpPr>
        <xdr:cNvPr id="2249" name="PTObj_DNode_1_580">
          <a:extLst>
            <a:ext uri="{FF2B5EF4-FFF2-40B4-BE49-F238E27FC236}">
              <a16:creationId xmlns:a16="http://schemas.microsoft.com/office/drawing/2014/main" id="{A51F9115-C243-4350-8457-9D953A5425A5}"/>
            </a:ext>
          </a:extLst>
        </xdr:cNvPr>
        <xdr:cNvSpPr/>
      </xdr:nvSpPr>
      <xdr:spPr>
        <a:xfrm>
          <a:off x="12695047" y="212044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261747</xdr:colOff>
      <xdr:row>1171</xdr:row>
      <xdr:rowOff>125581</xdr:rowOff>
    </xdr:from>
    <xdr:ext cx="568424" cy="180627"/>
    <xdr:sp macro="_xll.PtreeEvent_ObjectClick" textlink="">
      <xdr:nvSpPr>
        <xdr:cNvPr id="2252" name="PTObj_DBranchName_1_580">
          <a:extLst>
            <a:ext uri="{FF2B5EF4-FFF2-40B4-BE49-F238E27FC236}">
              <a16:creationId xmlns:a16="http://schemas.microsoft.com/office/drawing/2014/main" id="{F3511C19-87F1-479D-B0D0-47ECA3D2DDE0}"/>
            </a:ext>
          </a:extLst>
        </xdr:cNvPr>
        <xdr:cNvSpPr txBox="1"/>
      </xdr:nvSpPr>
      <xdr:spPr>
        <a:xfrm>
          <a:off x="11548872" y="2120473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1404113</xdr:colOff>
      <xdr:row>1151</xdr:row>
      <xdr:rowOff>84460</xdr:rowOff>
    </xdr:from>
    <xdr:to>
      <xdr:col>7</xdr:col>
      <xdr:colOff>167768</xdr:colOff>
      <xdr:row>1152</xdr:row>
      <xdr:rowOff>92085</xdr:rowOff>
    </xdr:to>
    <xdr:sp macro="_xll.PtreeEvent_ObjectClick" textlink="">
      <xdr:nvSpPr>
        <xdr:cNvPr id="2253" name="PTObj_DNode_1_570">
          <a:extLst>
            <a:ext uri="{FF2B5EF4-FFF2-40B4-BE49-F238E27FC236}">
              <a16:creationId xmlns:a16="http://schemas.microsoft.com/office/drawing/2014/main" id="{49DF92D5-4678-4334-A577-6A96C41630B4}"/>
            </a:ext>
          </a:extLst>
        </xdr:cNvPr>
        <xdr:cNvSpPr/>
      </xdr:nvSpPr>
      <xdr:spPr>
        <a:xfrm>
          <a:off x="14119988" y="208386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1151</xdr:row>
      <xdr:rowOff>87481</xdr:rowOff>
    </xdr:from>
    <xdr:ext cx="566520" cy="180627"/>
    <xdr:sp macro="_xll.PtreeEvent_ObjectClick" textlink="">
      <xdr:nvSpPr>
        <xdr:cNvPr id="2256" name="PTObj_DBranchName_1_570">
          <a:extLst>
            <a:ext uri="{FF2B5EF4-FFF2-40B4-BE49-F238E27FC236}">
              <a16:creationId xmlns:a16="http://schemas.microsoft.com/office/drawing/2014/main" id="{F79767EC-6D06-449C-808E-4D0A1D407324}"/>
            </a:ext>
          </a:extLst>
        </xdr:cNvPr>
        <xdr:cNvSpPr txBox="1"/>
      </xdr:nvSpPr>
      <xdr:spPr>
        <a:xfrm>
          <a:off x="12976669" y="2083897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1141</xdr:row>
      <xdr:rowOff>65410</xdr:rowOff>
    </xdr:from>
    <xdr:to>
      <xdr:col>8</xdr:col>
      <xdr:colOff>154432</xdr:colOff>
      <xdr:row>1142</xdr:row>
      <xdr:rowOff>59700</xdr:rowOff>
    </xdr:to>
    <xdr:sp macro="_xll.PtreeEvent_ObjectClick" textlink="">
      <xdr:nvSpPr>
        <xdr:cNvPr id="2257" name="PTObj_DNode_1_565">
          <a:extLst>
            <a:ext uri="{FF2B5EF4-FFF2-40B4-BE49-F238E27FC236}">
              <a16:creationId xmlns:a16="http://schemas.microsoft.com/office/drawing/2014/main" id="{17C33EAC-BEF5-4C43-9ECA-FB0273246D16}"/>
            </a:ext>
          </a:extLst>
        </xdr:cNvPr>
        <xdr:cNvSpPr/>
      </xdr:nvSpPr>
      <xdr:spPr>
        <a:xfrm>
          <a:off x="15544927" y="20655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1141</xdr:row>
      <xdr:rowOff>64621</xdr:rowOff>
    </xdr:from>
    <xdr:ext cx="566519" cy="180627"/>
    <xdr:sp macro="_xll.PtreeEvent_ObjectClick" textlink="">
      <xdr:nvSpPr>
        <xdr:cNvPr id="2260" name="PTObj_DBranchName_1_565">
          <a:extLst>
            <a:ext uri="{FF2B5EF4-FFF2-40B4-BE49-F238E27FC236}">
              <a16:creationId xmlns:a16="http://schemas.microsoft.com/office/drawing/2014/main" id="{8BCE7FE3-8586-47E9-89C9-C9FD0EA155A4}"/>
            </a:ext>
          </a:extLst>
        </xdr:cNvPr>
        <xdr:cNvSpPr txBox="1"/>
      </xdr:nvSpPr>
      <xdr:spPr>
        <a:xfrm>
          <a:off x="14398752" y="20655709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1133</xdr:row>
      <xdr:rowOff>50167</xdr:rowOff>
    </xdr:from>
    <xdr:to>
      <xdr:col>9</xdr:col>
      <xdr:colOff>150622</xdr:colOff>
      <xdr:row>1134</xdr:row>
      <xdr:rowOff>59697</xdr:rowOff>
    </xdr:to>
    <xdr:sp macro="_xll.PtreeEvent_ObjectClick" textlink="">
      <xdr:nvSpPr>
        <xdr:cNvPr id="2261" name="PTObj_DNode_1_561">
          <a:extLst>
            <a:ext uri="{FF2B5EF4-FFF2-40B4-BE49-F238E27FC236}">
              <a16:creationId xmlns:a16="http://schemas.microsoft.com/office/drawing/2014/main" id="{26637E08-8ECC-4F53-B559-C8F806D050F8}"/>
            </a:ext>
          </a:extLst>
        </xdr:cNvPr>
        <xdr:cNvSpPr/>
      </xdr:nvSpPr>
      <xdr:spPr>
        <a:xfrm>
          <a:off x="16969867" y="2050948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1133</xdr:row>
      <xdr:rowOff>55106</xdr:rowOff>
    </xdr:from>
    <xdr:ext cx="568424" cy="180627"/>
    <xdr:sp macro="_xll.PtreeEvent_ObjectClick" textlink="">
      <xdr:nvSpPr>
        <xdr:cNvPr id="2264" name="PTObj_DBranchName_1_561">
          <a:extLst>
            <a:ext uri="{FF2B5EF4-FFF2-40B4-BE49-F238E27FC236}">
              <a16:creationId xmlns:a16="http://schemas.microsoft.com/office/drawing/2014/main" id="{F8904A67-DE6E-4EBA-BF8A-0225C4940250}"/>
            </a:ext>
          </a:extLst>
        </xdr:cNvPr>
        <xdr:cNvSpPr txBox="1"/>
      </xdr:nvSpPr>
      <xdr:spPr>
        <a:xfrm>
          <a:off x="15820834" y="2050997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1135</xdr:row>
      <xdr:rowOff>53975</xdr:rowOff>
    </xdr:from>
    <xdr:to>
      <xdr:col>10</xdr:col>
      <xdr:colOff>135383</xdr:colOff>
      <xdr:row>1136</xdr:row>
      <xdr:rowOff>59695</xdr:rowOff>
    </xdr:to>
    <xdr:sp macro="_xll.PtreeEvent_ObjectClick" textlink="">
      <xdr:nvSpPr>
        <xdr:cNvPr id="2265" name="PTObj_DNode_1_562">
          <a:extLst>
            <a:ext uri="{FF2B5EF4-FFF2-40B4-BE49-F238E27FC236}">
              <a16:creationId xmlns:a16="http://schemas.microsoft.com/office/drawing/2014/main" id="{F5F22214-256D-42F1-8B73-53E742855241}"/>
            </a:ext>
          </a:extLst>
        </xdr:cNvPr>
        <xdr:cNvSpPr/>
      </xdr:nvSpPr>
      <xdr:spPr>
        <a:xfrm>
          <a:off x="18394807" y="205460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1135</xdr:row>
      <xdr:rowOff>58914</xdr:rowOff>
    </xdr:from>
    <xdr:ext cx="514858" cy="180627"/>
    <xdr:sp macro="_xll.PtreeEvent_ObjectClick" textlink="">
      <xdr:nvSpPr>
        <xdr:cNvPr id="2268" name="PTObj_DBranchName_1_562">
          <a:extLst>
            <a:ext uri="{FF2B5EF4-FFF2-40B4-BE49-F238E27FC236}">
              <a16:creationId xmlns:a16="http://schemas.microsoft.com/office/drawing/2014/main" id="{F5BAC23D-E3DE-440B-812B-E23EC37F7B8E}"/>
            </a:ext>
          </a:extLst>
        </xdr:cNvPr>
        <xdr:cNvSpPr txBox="1"/>
      </xdr:nvSpPr>
      <xdr:spPr>
        <a:xfrm>
          <a:off x="17244820" y="20546553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1137</xdr:row>
      <xdr:rowOff>57783</xdr:rowOff>
    </xdr:from>
    <xdr:to>
      <xdr:col>11</xdr:col>
      <xdr:colOff>131572</xdr:colOff>
      <xdr:row>1138</xdr:row>
      <xdr:rowOff>59692</xdr:rowOff>
    </xdr:to>
    <xdr:sp macro="_xll.PtreeEvent_ObjectClick" textlink="">
      <xdr:nvSpPr>
        <xdr:cNvPr id="2269" name="PTObj_DNode_1_563">
          <a:extLst>
            <a:ext uri="{FF2B5EF4-FFF2-40B4-BE49-F238E27FC236}">
              <a16:creationId xmlns:a16="http://schemas.microsoft.com/office/drawing/2014/main" id="{59825DA1-ADFF-4269-9D4E-22409A1C74F5}"/>
            </a:ext>
          </a:extLst>
        </xdr:cNvPr>
        <xdr:cNvSpPr/>
      </xdr:nvSpPr>
      <xdr:spPr>
        <a:xfrm>
          <a:off x="19819747" y="2058263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1137</xdr:row>
      <xdr:rowOff>55101</xdr:rowOff>
    </xdr:from>
    <xdr:ext cx="514858" cy="180627"/>
    <xdr:sp macro="_xll.PtreeEvent_ObjectClick" textlink="">
      <xdr:nvSpPr>
        <xdr:cNvPr id="2272" name="PTObj_DBranchName_1_563">
          <a:extLst>
            <a:ext uri="{FF2B5EF4-FFF2-40B4-BE49-F238E27FC236}">
              <a16:creationId xmlns:a16="http://schemas.microsoft.com/office/drawing/2014/main" id="{0412550A-FC1C-4A31-9B22-23BCEAA6DEF7}"/>
            </a:ext>
          </a:extLst>
        </xdr:cNvPr>
        <xdr:cNvSpPr txBox="1"/>
      </xdr:nvSpPr>
      <xdr:spPr>
        <a:xfrm>
          <a:off x="18666904" y="205823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1139</xdr:row>
      <xdr:rowOff>61593</xdr:rowOff>
    </xdr:from>
    <xdr:to>
      <xdr:col>12</xdr:col>
      <xdr:colOff>135385</xdr:colOff>
      <xdr:row>1140</xdr:row>
      <xdr:rowOff>59688</xdr:rowOff>
    </xdr:to>
    <xdr:sp macro="_xll.PtreeEvent_ObjectClick" textlink="">
      <xdr:nvSpPr>
        <xdr:cNvPr id="2273" name="PTObj_DNode_1_564">
          <a:extLst>
            <a:ext uri="{FF2B5EF4-FFF2-40B4-BE49-F238E27FC236}">
              <a16:creationId xmlns:a16="http://schemas.microsoft.com/office/drawing/2014/main" id="{877E1368-1A85-4E88-A227-8A799EC2FF92}"/>
            </a:ext>
          </a:extLst>
        </xdr:cNvPr>
        <xdr:cNvSpPr/>
      </xdr:nvSpPr>
      <xdr:spPr>
        <a:xfrm rot="-5400000">
          <a:off x="21248498" y="2061883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1139</xdr:row>
      <xdr:rowOff>58909</xdr:rowOff>
    </xdr:from>
    <xdr:ext cx="514858" cy="180627"/>
    <xdr:sp macro="_xll.PtreeEvent_ObjectClick" textlink="">
      <xdr:nvSpPr>
        <xdr:cNvPr id="2276" name="PTObj_DBranchName_1_564">
          <a:extLst>
            <a:ext uri="{FF2B5EF4-FFF2-40B4-BE49-F238E27FC236}">
              <a16:creationId xmlns:a16="http://schemas.microsoft.com/office/drawing/2014/main" id="{B84BC146-4DA4-4915-9C4F-FFCDBB74C70F}"/>
            </a:ext>
          </a:extLst>
        </xdr:cNvPr>
        <xdr:cNvSpPr txBox="1"/>
      </xdr:nvSpPr>
      <xdr:spPr>
        <a:xfrm>
          <a:off x="20094701" y="206189434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1143</xdr:row>
      <xdr:rowOff>69217</xdr:rowOff>
    </xdr:from>
    <xdr:to>
      <xdr:col>9</xdr:col>
      <xdr:colOff>150622</xdr:colOff>
      <xdr:row>1144</xdr:row>
      <xdr:rowOff>55887</xdr:rowOff>
    </xdr:to>
    <xdr:sp macro="_xll.PtreeEvent_ObjectClick" textlink="">
      <xdr:nvSpPr>
        <xdr:cNvPr id="2277" name="PTObj_DNode_1_566">
          <a:extLst>
            <a:ext uri="{FF2B5EF4-FFF2-40B4-BE49-F238E27FC236}">
              <a16:creationId xmlns:a16="http://schemas.microsoft.com/office/drawing/2014/main" id="{21CF9046-012F-4370-9704-8409E8CA2F0F}"/>
            </a:ext>
          </a:extLst>
        </xdr:cNvPr>
        <xdr:cNvSpPr/>
      </xdr:nvSpPr>
      <xdr:spPr>
        <a:xfrm>
          <a:off x="16969867" y="206923642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1143</xdr:row>
      <xdr:rowOff>68441</xdr:rowOff>
    </xdr:from>
    <xdr:ext cx="568424" cy="180627"/>
    <xdr:sp macro="_xll.PtreeEvent_ObjectClick" textlink="">
      <xdr:nvSpPr>
        <xdr:cNvPr id="2280" name="PTObj_DBranchName_1_566">
          <a:extLst>
            <a:ext uri="{FF2B5EF4-FFF2-40B4-BE49-F238E27FC236}">
              <a16:creationId xmlns:a16="http://schemas.microsoft.com/office/drawing/2014/main" id="{6108B3D2-B797-435C-8E74-5E287D634263}"/>
            </a:ext>
          </a:extLst>
        </xdr:cNvPr>
        <xdr:cNvSpPr txBox="1"/>
      </xdr:nvSpPr>
      <xdr:spPr>
        <a:xfrm>
          <a:off x="15820834" y="2069228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1145</xdr:row>
      <xdr:rowOff>73025</xdr:rowOff>
    </xdr:from>
    <xdr:to>
      <xdr:col>10</xdr:col>
      <xdr:colOff>135383</xdr:colOff>
      <xdr:row>1146</xdr:row>
      <xdr:rowOff>74935</xdr:rowOff>
    </xdr:to>
    <xdr:sp macro="_xll.PtreeEvent_ObjectClick" textlink="">
      <xdr:nvSpPr>
        <xdr:cNvPr id="2281" name="PTObj_DNode_1_567">
          <a:extLst>
            <a:ext uri="{FF2B5EF4-FFF2-40B4-BE49-F238E27FC236}">
              <a16:creationId xmlns:a16="http://schemas.microsoft.com/office/drawing/2014/main" id="{C2AAFE45-19F3-4763-BC6F-9F17D85DA8E1}"/>
            </a:ext>
          </a:extLst>
        </xdr:cNvPr>
        <xdr:cNvSpPr/>
      </xdr:nvSpPr>
      <xdr:spPr>
        <a:xfrm>
          <a:off x="18394807" y="207289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1145</xdr:row>
      <xdr:rowOff>74154</xdr:rowOff>
    </xdr:from>
    <xdr:ext cx="514858" cy="180627"/>
    <xdr:sp macro="_xll.PtreeEvent_ObjectClick" textlink="">
      <xdr:nvSpPr>
        <xdr:cNvPr id="2284" name="PTObj_DBranchName_1_567">
          <a:extLst>
            <a:ext uri="{FF2B5EF4-FFF2-40B4-BE49-F238E27FC236}">
              <a16:creationId xmlns:a16="http://schemas.microsoft.com/office/drawing/2014/main" id="{6C41A43E-26AD-481E-A954-24ED9BEF647C}"/>
            </a:ext>
          </a:extLst>
        </xdr:cNvPr>
        <xdr:cNvSpPr txBox="1"/>
      </xdr:nvSpPr>
      <xdr:spPr>
        <a:xfrm>
          <a:off x="17244820" y="20729052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1147</xdr:row>
      <xdr:rowOff>76833</xdr:rowOff>
    </xdr:from>
    <xdr:to>
      <xdr:col>11</xdr:col>
      <xdr:colOff>131572</xdr:colOff>
      <xdr:row>1148</xdr:row>
      <xdr:rowOff>78742</xdr:rowOff>
    </xdr:to>
    <xdr:sp macro="_xll.PtreeEvent_ObjectClick" textlink="">
      <xdr:nvSpPr>
        <xdr:cNvPr id="2285" name="PTObj_DNode_1_568">
          <a:extLst>
            <a:ext uri="{FF2B5EF4-FFF2-40B4-BE49-F238E27FC236}">
              <a16:creationId xmlns:a16="http://schemas.microsoft.com/office/drawing/2014/main" id="{631E8C2C-11F5-4128-A25C-876DE126633B}"/>
            </a:ext>
          </a:extLst>
        </xdr:cNvPr>
        <xdr:cNvSpPr/>
      </xdr:nvSpPr>
      <xdr:spPr>
        <a:xfrm>
          <a:off x="19819747" y="207655158"/>
          <a:ext cx="182880" cy="182884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1147</xdr:row>
      <xdr:rowOff>77961</xdr:rowOff>
    </xdr:from>
    <xdr:ext cx="514858" cy="180627"/>
    <xdr:sp macro="_xll.PtreeEvent_ObjectClick" textlink="">
      <xdr:nvSpPr>
        <xdr:cNvPr id="2288" name="PTObj_DBranchName_1_568">
          <a:extLst>
            <a:ext uri="{FF2B5EF4-FFF2-40B4-BE49-F238E27FC236}">
              <a16:creationId xmlns:a16="http://schemas.microsoft.com/office/drawing/2014/main" id="{DE256752-B005-4223-B760-EA959CE98E9B}"/>
            </a:ext>
          </a:extLst>
        </xdr:cNvPr>
        <xdr:cNvSpPr txBox="1"/>
      </xdr:nvSpPr>
      <xdr:spPr>
        <a:xfrm>
          <a:off x="18666904" y="207656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1149</xdr:row>
      <xdr:rowOff>86358</xdr:rowOff>
    </xdr:from>
    <xdr:to>
      <xdr:col>12</xdr:col>
      <xdr:colOff>135385</xdr:colOff>
      <xdr:row>1150</xdr:row>
      <xdr:rowOff>92073</xdr:rowOff>
    </xdr:to>
    <xdr:sp macro="_xll.PtreeEvent_ObjectClick" textlink="">
      <xdr:nvSpPr>
        <xdr:cNvPr id="2289" name="PTObj_DNode_1_569">
          <a:extLst>
            <a:ext uri="{FF2B5EF4-FFF2-40B4-BE49-F238E27FC236}">
              <a16:creationId xmlns:a16="http://schemas.microsoft.com/office/drawing/2014/main" id="{5D1B2E84-3F7A-432E-9F1C-975997D3349D}"/>
            </a:ext>
          </a:extLst>
        </xdr:cNvPr>
        <xdr:cNvSpPr/>
      </xdr:nvSpPr>
      <xdr:spPr>
        <a:xfrm rot="-5400000">
          <a:off x="21248498" y="2080228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1149</xdr:row>
      <xdr:rowOff>83674</xdr:rowOff>
    </xdr:from>
    <xdr:ext cx="514858" cy="180627"/>
    <xdr:sp macro="_xll.PtreeEvent_ObjectClick" textlink="">
      <xdr:nvSpPr>
        <xdr:cNvPr id="2292" name="PTObj_DBranchName_1_569">
          <a:extLst>
            <a:ext uri="{FF2B5EF4-FFF2-40B4-BE49-F238E27FC236}">
              <a16:creationId xmlns:a16="http://schemas.microsoft.com/office/drawing/2014/main" id="{5F0A0B8C-E4AC-4BF5-AF02-A15F47179EF0}"/>
            </a:ext>
          </a:extLst>
        </xdr:cNvPr>
        <xdr:cNvSpPr txBox="1"/>
      </xdr:nvSpPr>
      <xdr:spPr>
        <a:xfrm>
          <a:off x="20094701" y="208023949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1161</xdr:row>
      <xdr:rowOff>103510</xdr:rowOff>
    </xdr:from>
    <xdr:to>
      <xdr:col>8</xdr:col>
      <xdr:colOff>154432</xdr:colOff>
      <xdr:row>1162</xdr:row>
      <xdr:rowOff>93990</xdr:rowOff>
    </xdr:to>
    <xdr:sp macro="_xll.PtreeEvent_ObjectClick" textlink="">
      <xdr:nvSpPr>
        <xdr:cNvPr id="2293" name="PTObj_DNode_1_575">
          <a:extLst>
            <a:ext uri="{FF2B5EF4-FFF2-40B4-BE49-F238E27FC236}">
              <a16:creationId xmlns:a16="http://schemas.microsoft.com/office/drawing/2014/main" id="{B4F47472-8DDC-42C5-9F45-D490AACBA496}"/>
            </a:ext>
          </a:extLst>
        </xdr:cNvPr>
        <xdr:cNvSpPr/>
      </xdr:nvSpPr>
      <xdr:spPr>
        <a:xfrm>
          <a:off x="15544927" y="21021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1161</xdr:row>
      <xdr:rowOff>102721</xdr:rowOff>
    </xdr:from>
    <xdr:ext cx="568425" cy="180627"/>
    <xdr:sp macro="_xll.PtreeEvent_ObjectClick" textlink="">
      <xdr:nvSpPr>
        <xdr:cNvPr id="2296" name="PTObj_DBranchName_1_575">
          <a:extLst>
            <a:ext uri="{FF2B5EF4-FFF2-40B4-BE49-F238E27FC236}">
              <a16:creationId xmlns:a16="http://schemas.microsoft.com/office/drawing/2014/main" id="{DB885370-97C2-47F3-B31D-39C114DF1337}"/>
            </a:ext>
          </a:extLst>
        </xdr:cNvPr>
        <xdr:cNvSpPr txBox="1"/>
      </xdr:nvSpPr>
      <xdr:spPr>
        <a:xfrm>
          <a:off x="14400657" y="2102146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1153</xdr:row>
      <xdr:rowOff>88255</xdr:rowOff>
    </xdr:from>
    <xdr:to>
      <xdr:col>9</xdr:col>
      <xdr:colOff>150622</xdr:colOff>
      <xdr:row>1154</xdr:row>
      <xdr:rowOff>93975</xdr:rowOff>
    </xdr:to>
    <xdr:sp macro="_xll.PtreeEvent_ObjectClick" textlink="">
      <xdr:nvSpPr>
        <xdr:cNvPr id="2297" name="PTObj_DNode_1_571">
          <a:extLst>
            <a:ext uri="{FF2B5EF4-FFF2-40B4-BE49-F238E27FC236}">
              <a16:creationId xmlns:a16="http://schemas.microsoft.com/office/drawing/2014/main" id="{1C9B57D6-1E6A-464F-8D05-5708BB3262A1}"/>
            </a:ext>
          </a:extLst>
        </xdr:cNvPr>
        <xdr:cNvSpPr/>
      </xdr:nvSpPr>
      <xdr:spPr>
        <a:xfrm>
          <a:off x="16969867" y="208752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1153</xdr:row>
      <xdr:rowOff>93206</xdr:rowOff>
    </xdr:from>
    <xdr:ext cx="568424" cy="180627"/>
    <xdr:sp macro="_xll.PtreeEvent_ObjectClick" textlink="">
      <xdr:nvSpPr>
        <xdr:cNvPr id="2300" name="PTObj_DBranchName_1_571">
          <a:extLst>
            <a:ext uri="{FF2B5EF4-FFF2-40B4-BE49-F238E27FC236}">
              <a16:creationId xmlns:a16="http://schemas.microsoft.com/office/drawing/2014/main" id="{04861689-A139-482C-8BA9-C2A18185EA0A}"/>
            </a:ext>
          </a:extLst>
        </xdr:cNvPr>
        <xdr:cNvSpPr txBox="1"/>
      </xdr:nvSpPr>
      <xdr:spPr>
        <a:xfrm>
          <a:off x="15820834" y="2087573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1155</xdr:row>
      <xdr:rowOff>92075</xdr:rowOff>
    </xdr:from>
    <xdr:to>
      <xdr:col>10</xdr:col>
      <xdr:colOff>131573</xdr:colOff>
      <xdr:row>1156</xdr:row>
      <xdr:rowOff>93985</xdr:rowOff>
    </xdr:to>
    <xdr:sp macro="_xll.PtreeEvent_ObjectClick" textlink="">
      <xdr:nvSpPr>
        <xdr:cNvPr id="2301" name="PTObj_DNode_1_572">
          <a:extLst>
            <a:ext uri="{FF2B5EF4-FFF2-40B4-BE49-F238E27FC236}">
              <a16:creationId xmlns:a16="http://schemas.microsoft.com/office/drawing/2014/main" id="{93ECC212-43E7-42B7-A6D6-F42EC3124CBF}"/>
            </a:ext>
          </a:extLst>
        </xdr:cNvPr>
        <xdr:cNvSpPr/>
      </xdr:nvSpPr>
      <xdr:spPr>
        <a:xfrm>
          <a:off x="18394807" y="209118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1155</xdr:row>
      <xdr:rowOff>97001</xdr:rowOff>
    </xdr:from>
    <xdr:ext cx="514858" cy="180627"/>
    <xdr:sp macro="_xll.PtreeEvent_ObjectClick" textlink="">
      <xdr:nvSpPr>
        <xdr:cNvPr id="2304" name="PTObj_DBranchName_1_572">
          <a:extLst>
            <a:ext uri="{FF2B5EF4-FFF2-40B4-BE49-F238E27FC236}">
              <a16:creationId xmlns:a16="http://schemas.microsoft.com/office/drawing/2014/main" id="{041D94BB-528F-413E-B21D-C24C88A08339}"/>
            </a:ext>
          </a:extLst>
        </xdr:cNvPr>
        <xdr:cNvSpPr txBox="1"/>
      </xdr:nvSpPr>
      <xdr:spPr>
        <a:xfrm>
          <a:off x="17244820" y="2091231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1157</xdr:row>
      <xdr:rowOff>95895</xdr:rowOff>
    </xdr:from>
    <xdr:to>
      <xdr:col>11</xdr:col>
      <xdr:colOff>135382</xdr:colOff>
      <xdr:row>1158</xdr:row>
      <xdr:rowOff>93995</xdr:rowOff>
    </xdr:to>
    <xdr:sp macro="_xll.PtreeEvent_ObjectClick" textlink="">
      <xdr:nvSpPr>
        <xdr:cNvPr id="2305" name="PTObj_DNode_1_573">
          <a:extLst>
            <a:ext uri="{FF2B5EF4-FFF2-40B4-BE49-F238E27FC236}">
              <a16:creationId xmlns:a16="http://schemas.microsoft.com/office/drawing/2014/main" id="{D3D18D08-7237-4437-AA6D-8D58E50F2E54}"/>
            </a:ext>
          </a:extLst>
        </xdr:cNvPr>
        <xdr:cNvSpPr/>
      </xdr:nvSpPr>
      <xdr:spPr>
        <a:xfrm>
          <a:off x="19819747" y="2094839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1157</xdr:row>
      <xdr:rowOff>93201</xdr:rowOff>
    </xdr:from>
    <xdr:ext cx="514858" cy="180627"/>
    <xdr:sp macro="_xll.PtreeEvent_ObjectClick" textlink="">
      <xdr:nvSpPr>
        <xdr:cNvPr id="2308" name="PTObj_DBranchName_1_573">
          <a:extLst>
            <a:ext uri="{FF2B5EF4-FFF2-40B4-BE49-F238E27FC236}">
              <a16:creationId xmlns:a16="http://schemas.microsoft.com/office/drawing/2014/main" id="{4BC011DA-02EF-459D-975E-45FE0E8B8A49}"/>
            </a:ext>
          </a:extLst>
        </xdr:cNvPr>
        <xdr:cNvSpPr txBox="1"/>
      </xdr:nvSpPr>
      <xdr:spPr>
        <a:xfrm>
          <a:off x="18666904" y="209481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1159</xdr:row>
      <xdr:rowOff>99693</xdr:rowOff>
    </xdr:from>
    <xdr:to>
      <xdr:col>12</xdr:col>
      <xdr:colOff>131575</xdr:colOff>
      <xdr:row>1160</xdr:row>
      <xdr:rowOff>93978</xdr:rowOff>
    </xdr:to>
    <xdr:sp macro="_xll.PtreeEvent_ObjectClick" textlink="">
      <xdr:nvSpPr>
        <xdr:cNvPr id="2309" name="PTObj_DNode_1_574">
          <a:extLst>
            <a:ext uri="{FF2B5EF4-FFF2-40B4-BE49-F238E27FC236}">
              <a16:creationId xmlns:a16="http://schemas.microsoft.com/office/drawing/2014/main" id="{22235EF1-4AB8-4649-AF32-BA1E71CABFDC}"/>
            </a:ext>
          </a:extLst>
        </xdr:cNvPr>
        <xdr:cNvSpPr/>
      </xdr:nvSpPr>
      <xdr:spPr>
        <a:xfrm rot="-5400000">
          <a:off x="21248498" y="2098459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1159</xdr:row>
      <xdr:rowOff>97021</xdr:rowOff>
    </xdr:from>
    <xdr:ext cx="514858" cy="180627"/>
    <xdr:sp macro="_xll.PtreeEvent_ObjectClick" textlink="">
      <xdr:nvSpPr>
        <xdr:cNvPr id="2312" name="PTObj_DBranchName_1_574">
          <a:extLst>
            <a:ext uri="{FF2B5EF4-FFF2-40B4-BE49-F238E27FC236}">
              <a16:creationId xmlns:a16="http://schemas.microsoft.com/office/drawing/2014/main" id="{47B68C56-67A1-452F-B52F-FC58C076F916}"/>
            </a:ext>
          </a:extLst>
        </xdr:cNvPr>
        <xdr:cNvSpPr txBox="1"/>
      </xdr:nvSpPr>
      <xdr:spPr>
        <a:xfrm>
          <a:off x="20094701" y="209847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1163</xdr:row>
      <xdr:rowOff>107305</xdr:rowOff>
    </xdr:from>
    <xdr:to>
      <xdr:col>9</xdr:col>
      <xdr:colOff>150622</xdr:colOff>
      <xdr:row>1164</xdr:row>
      <xdr:rowOff>97785</xdr:rowOff>
    </xdr:to>
    <xdr:sp macro="_xll.PtreeEvent_ObjectClick" textlink="">
      <xdr:nvSpPr>
        <xdr:cNvPr id="2313" name="PTObj_DNode_1_576">
          <a:extLst>
            <a:ext uri="{FF2B5EF4-FFF2-40B4-BE49-F238E27FC236}">
              <a16:creationId xmlns:a16="http://schemas.microsoft.com/office/drawing/2014/main" id="{9481AAF6-34B2-4AC3-9F73-181E209FB809}"/>
            </a:ext>
          </a:extLst>
        </xdr:cNvPr>
        <xdr:cNvSpPr/>
      </xdr:nvSpPr>
      <xdr:spPr>
        <a:xfrm>
          <a:off x="16969867" y="210581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1163</xdr:row>
      <xdr:rowOff>106541</xdr:rowOff>
    </xdr:from>
    <xdr:ext cx="568424" cy="180627"/>
    <xdr:sp macro="_xll.PtreeEvent_ObjectClick" textlink="">
      <xdr:nvSpPr>
        <xdr:cNvPr id="2316" name="PTObj_DBranchName_1_576">
          <a:extLst>
            <a:ext uri="{FF2B5EF4-FFF2-40B4-BE49-F238E27FC236}">
              <a16:creationId xmlns:a16="http://schemas.microsoft.com/office/drawing/2014/main" id="{8705B555-E9B0-439C-91E6-01BA4A09029E}"/>
            </a:ext>
          </a:extLst>
        </xdr:cNvPr>
        <xdr:cNvSpPr txBox="1"/>
      </xdr:nvSpPr>
      <xdr:spPr>
        <a:xfrm>
          <a:off x="15820834" y="2105804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1165</xdr:row>
      <xdr:rowOff>111125</xdr:rowOff>
    </xdr:from>
    <xdr:to>
      <xdr:col>10</xdr:col>
      <xdr:colOff>131573</xdr:colOff>
      <xdr:row>1166</xdr:row>
      <xdr:rowOff>113035</xdr:rowOff>
    </xdr:to>
    <xdr:sp macro="_xll.PtreeEvent_ObjectClick" textlink="">
      <xdr:nvSpPr>
        <xdr:cNvPr id="2317" name="PTObj_DNode_1_577">
          <a:extLst>
            <a:ext uri="{FF2B5EF4-FFF2-40B4-BE49-F238E27FC236}">
              <a16:creationId xmlns:a16="http://schemas.microsoft.com/office/drawing/2014/main" id="{C52849AB-A2BA-4AC8-A1B5-8FE9418F8777}"/>
            </a:ext>
          </a:extLst>
        </xdr:cNvPr>
        <xdr:cNvSpPr/>
      </xdr:nvSpPr>
      <xdr:spPr>
        <a:xfrm>
          <a:off x="18394807" y="210947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1165</xdr:row>
      <xdr:rowOff>112241</xdr:rowOff>
    </xdr:from>
    <xdr:ext cx="514858" cy="180627"/>
    <xdr:sp macro="_xll.PtreeEvent_ObjectClick" textlink="">
      <xdr:nvSpPr>
        <xdr:cNvPr id="2320" name="PTObj_DBranchName_1_577">
          <a:extLst>
            <a:ext uri="{FF2B5EF4-FFF2-40B4-BE49-F238E27FC236}">
              <a16:creationId xmlns:a16="http://schemas.microsoft.com/office/drawing/2014/main" id="{F7273EF0-49E8-4787-B6E2-9F2D3CE5DF1E}"/>
            </a:ext>
          </a:extLst>
        </xdr:cNvPr>
        <xdr:cNvSpPr txBox="1"/>
      </xdr:nvSpPr>
      <xdr:spPr>
        <a:xfrm>
          <a:off x="17244820" y="2109481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1167</xdr:row>
      <xdr:rowOff>114945</xdr:rowOff>
    </xdr:from>
    <xdr:to>
      <xdr:col>11</xdr:col>
      <xdr:colOff>135382</xdr:colOff>
      <xdr:row>1168</xdr:row>
      <xdr:rowOff>116855</xdr:rowOff>
    </xdr:to>
    <xdr:sp macro="_xll.PtreeEvent_ObjectClick" textlink="">
      <xdr:nvSpPr>
        <xdr:cNvPr id="2321" name="PTObj_DNode_1_578">
          <a:extLst>
            <a:ext uri="{FF2B5EF4-FFF2-40B4-BE49-F238E27FC236}">
              <a16:creationId xmlns:a16="http://schemas.microsoft.com/office/drawing/2014/main" id="{28D3F4AE-08F6-4EC6-9D86-8E897170EC53}"/>
            </a:ext>
          </a:extLst>
        </xdr:cNvPr>
        <xdr:cNvSpPr/>
      </xdr:nvSpPr>
      <xdr:spPr>
        <a:xfrm>
          <a:off x="19819747" y="2113127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1167</xdr:row>
      <xdr:rowOff>116061</xdr:rowOff>
    </xdr:from>
    <xdr:ext cx="514858" cy="180627"/>
    <xdr:sp macro="_xll.PtreeEvent_ObjectClick" textlink="">
      <xdr:nvSpPr>
        <xdr:cNvPr id="2324" name="PTObj_DBranchName_1_578">
          <a:extLst>
            <a:ext uri="{FF2B5EF4-FFF2-40B4-BE49-F238E27FC236}">
              <a16:creationId xmlns:a16="http://schemas.microsoft.com/office/drawing/2014/main" id="{340478A8-8035-4083-9BC2-C47D8A9F0C91}"/>
            </a:ext>
          </a:extLst>
        </xdr:cNvPr>
        <xdr:cNvSpPr txBox="1"/>
      </xdr:nvSpPr>
      <xdr:spPr>
        <a:xfrm>
          <a:off x="18666904" y="211313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1169</xdr:row>
      <xdr:rowOff>124458</xdr:rowOff>
    </xdr:from>
    <xdr:to>
      <xdr:col>12</xdr:col>
      <xdr:colOff>131575</xdr:colOff>
      <xdr:row>1170</xdr:row>
      <xdr:rowOff>133983</xdr:rowOff>
    </xdr:to>
    <xdr:sp macro="_xll.PtreeEvent_ObjectClick" textlink="">
      <xdr:nvSpPr>
        <xdr:cNvPr id="2325" name="PTObj_DNode_1_579">
          <a:extLst>
            <a:ext uri="{FF2B5EF4-FFF2-40B4-BE49-F238E27FC236}">
              <a16:creationId xmlns:a16="http://schemas.microsoft.com/office/drawing/2014/main" id="{BD618CBD-67B2-488F-85EA-18276FCF68BE}"/>
            </a:ext>
          </a:extLst>
        </xdr:cNvPr>
        <xdr:cNvSpPr/>
      </xdr:nvSpPr>
      <xdr:spPr>
        <a:xfrm rot="-5400000">
          <a:off x="21248498" y="2116804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1169</xdr:row>
      <xdr:rowOff>121786</xdr:rowOff>
    </xdr:from>
    <xdr:ext cx="514858" cy="180627"/>
    <xdr:sp macro="_xll.PtreeEvent_ObjectClick" textlink="">
      <xdr:nvSpPr>
        <xdr:cNvPr id="2328" name="PTObj_DBranchName_1_579">
          <a:extLst>
            <a:ext uri="{FF2B5EF4-FFF2-40B4-BE49-F238E27FC236}">
              <a16:creationId xmlns:a16="http://schemas.microsoft.com/office/drawing/2014/main" id="{CAE6463C-7FEB-492A-BDF9-44B1C7CE74F5}"/>
            </a:ext>
          </a:extLst>
        </xdr:cNvPr>
        <xdr:cNvSpPr txBox="1"/>
      </xdr:nvSpPr>
      <xdr:spPr>
        <a:xfrm>
          <a:off x="20094701" y="211681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1191</xdr:row>
      <xdr:rowOff>160660</xdr:rowOff>
    </xdr:from>
    <xdr:to>
      <xdr:col>7</xdr:col>
      <xdr:colOff>171578</xdr:colOff>
      <xdr:row>1192</xdr:row>
      <xdr:rowOff>172095</xdr:rowOff>
    </xdr:to>
    <xdr:sp macro="_xll.PtreeEvent_ObjectClick" textlink="">
      <xdr:nvSpPr>
        <xdr:cNvPr id="2329" name="PTObj_DNode_1_590">
          <a:extLst>
            <a:ext uri="{FF2B5EF4-FFF2-40B4-BE49-F238E27FC236}">
              <a16:creationId xmlns:a16="http://schemas.microsoft.com/office/drawing/2014/main" id="{CD9FCB47-7B38-47BF-878E-B9054AD5315B}"/>
            </a:ext>
          </a:extLst>
        </xdr:cNvPr>
        <xdr:cNvSpPr/>
      </xdr:nvSpPr>
      <xdr:spPr>
        <a:xfrm>
          <a:off x="14119988" y="215701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1191</xdr:row>
      <xdr:rowOff>163681</xdr:rowOff>
    </xdr:from>
    <xdr:ext cx="566520" cy="180627"/>
    <xdr:sp macro="_xll.PtreeEvent_ObjectClick" textlink="">
      <xdr:nvSpPr>
        <xdr:cNvPr id="2332" name="PTObj_DBranchName_1_590">
          <a:extLst>
            <a:ext uri="{FF2B5EF4-FFF2-40B4-BE49-F238E27FC236}">
              <a16:creationId xmlns:a16="http://schemas.microsoft.com/office/drawing/2014/main" id="{47B8AD9B-692C-4977-B94D-B8118654627D}"/>
            </a:ext>
          </a:extLst>
        </xdr:cNvPr>
        <xdr:cNvSpPr txBox="1"/>
      </xdr:nvSpPr>
      <xdr:spPr>
        <a:xfrm>
          <a:off x="12974765" y="215704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1181</xdr:row>
      <xdr:rowOff>141610</xdr:rowOff>
    </xdr:from>
    <xdr:to>
      <xdr:col>8</xdr:col>
      <xdr:colOff>154432</xdr:colOff>
      <xdr:row>1182</xdr:row>
      <xdr:rowOff>132090</xdr:rowOff>
    </xdr:to>
    <xdr:sp macro="_xll.PtreeEvent_ObjectClick" textlink="">
      <xdr:nvSpPr>
        <xdr:cNvPr id="2333" name="PTObj_DNode_1_585">
          <a:extLst>
            <a:ext uri="{FF2B5EF4-FFF2-40B4-BE49-F238E27FC236}">
              <a16:creationId xmlns:a16="http://schemas.microsoft.com/office/drawing/2014/main" id="{B4C7D402-ED52-4FA2-A017-216BC1CA274D}"/>
            </a:ext>
          </a:extLst>
        </xdr:cNvPr>
        <xdr:cNvSpPr/>
      </xdr:nvSpPr>
      <xdr:spPr>
        <a:xfrm>
          <a:off x="15544927" y="213873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1181</xdr:row>
      <xdr:rowOff>140821</xdr:rowOff>
    </xdr:from>
    <xdr:ext cx="566519" cy="180627"/>
    <xdr:sp macro="_xll.PtreeEvent_ObjectClick" textlink="">
      <xdr:nvSpPr>
        <xdr:cNvPr id="2336" name="PTObj_DBranchName_1_585">
          <a:extLst>
            <a:ext uri="{FF2B5EF4-FFF2-40B4-BE49-F238E27FC236}">
              <a16:creationId xmlns:a16="http://schemas.microsoft.com/office/drawing/2014/main" id="{A3A5452F-374E-4DC3-9CBF-5A99014E5AAB}"/>
            </a:ext>
          </a:extLst>
        </xdr:cNvPr>
        <xdr:cNvSpPr txBox="1"/>
      </xdr:nvSpPr>
      <xdr:spPr>
        <a:xfrm>
          <a:off x="14398752" y="21387229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1173</xdr:row>
      <xdr:rowOff>126355</xdr:rowOff>
    </xdr:from>
    <xdr:to>
      <xdr:col>9</xdr:col>
      <xdr:colOff>150622</xdr:colOff>
      <xdr:row>1174</xdr:row>
      <xdr:rowOff>132075</xdr:rowOff>
    </xdr:to>
    <xdr:sp macro="_xll.PtreeEvent_ObjectClick" textlink="">
      <xdr:nvSpPr>
        <xdr:cNvPr id="2337" name="PTObj_DNode_1_581">
          <a:extLst>
            <a:ext uri="{FF2B5EF4-FFF2-40B4-BE49-F238E27FC236}">
              <a16:creationId xmlns:a16="http://schemas.microsoft.com/office/drawing/2014/main" id="{67B74277-024D-40FB-9770-B3F83B48D906}"/>
            </a:ext>
          </a:extLst>
        </xdr:cNvPr>
        <xdr:cNvSpPr/>
      </xdr:nvSpPr>
      <xdr:spPr>
        <a:xfrm>
          <a:off x="16969867" y="212410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1173</xdr:row>
      <xdr:rowOff>131306</xdr:rowOff>
    </xdr:from>
    <xdr:ext cx="568424" cy="180627"/>
    <xdr:sp macro="_xll.PtreeEvent_ObjectClick" textlink="">
      <xdr:nvSpPr>
        <xdr:cNvPr id="2340" name="PTObj_DBranchName_1_581">
          <a:extLst>
            <a:ext uri="{FF2B5EF4-FFF2-40B4-BE49-F238E27FC236}">
              <a16:creationId xmlns:a16="http://schemas.microsoft.com/office/drawing/2014/main" id="{1BED0C83-4AEE-416E-AF5E-F08BDA96F8F9}"/>
            </a:ext>
          </a:extLst>
        </xdr:cNvPr>
        <xdr:cNvSpPr txBox="1"/>
      </xdr:nvSpPr>
      <xdr:spPr>
        <a:xfrm>
          <a:off x="15820834" y="2124149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1175</xdr:row>
      <xdr:rowOff>130175</xdr:rowOff>
    </xdr:from>
    <xdr:to>
      <xdr:col>10</xdr:col>
      <xdr:colOff>131573</xdr:colOff>
      <xdr:row>1176</xdr:row>
      <xdr:rowOff>132085</xdr:rowOff>
    </xdr:to>
    <xdr:sp macro="_xll.PtreeEvent_ObjectClick" textlink="">
      <xdr:nvSpPr>
        <xdr:cNvPr id="2341" name="PTObj_DNode_1_582">
          <a:extLst>
            <a:ext uri="{FF2B5EF4-FFF2-40B4-BE49-F238E27FC236}">
              <a16:creationId xmlns:a16="http://schemas.microsoft.com/office/drawing/2014/main" id="{ADDD34E7-37CA-4202-86A1-3952C9A1F434}"/>
            </a:ext>
          </a:extLst>
        </xdr:cNvPr>
        <xdr:cNvSpPr/>
      </xdr:nvSpPr>
      <xdr:spPr>
        <a:xfrm>
          <a:off x="18394807" y="212775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1175</xdr:row>
      <xdr:rowOff>135101</xdr:rowOff>
    </xdr:from>
    <xdr:ext cx="514858" cy="180627"/>
    <xdr:sp macro="_xll.PtreeEvent_ObjectClick" textlink="">
      <xdr:nvSpPr>
        <xdr:cNvPr id="2344" name="PTObj_DBranchName_1_582">
          <a:extLst>
            <a:ext uri="{FF2B5EF4-FFF2-40B4-BE49-F238E27FC236}">
              <a16:creationId xmlns:a16="http://schemas.microsoft.com/office/drawing/2014/main" id="{1851FEF9-EEA5-45A0-9E1E-8333B3197CA2}"/>
            </a:ext>
          </a:extLst>
        </xdr:cNvPr>
        <xdr:cNvSpPr txBox="1"/>
      </xdr:nvSpPr>
      <xdr:spPr>
        <a:xfrm>
          <a:off x="17244820" y="2127807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1177</xdr:row>
      <xdr:rowOff>133995</xdr:rowOff>
    </xdr:from>
    <xdr:to>
      <xdr:col>11</xdr:col>
      <xdr:colOff>135382</xdr:colOff>
      <xdr:row>1178</xdr:row>
      <xdr:rowOff>132095</xdr:rowOff>
    </xdr:to>
    <xdr:sp macro="_xll.PtreeEvent_ObjectClick" textlink="">
      <xdr:nvSpPr>
        <xdr:cNvPr id="2345" name="PTObj_DNode_1_583">
          <a:extLst>
            <a:ext uri="{FF2B5EF4-FFF2-40B4-BE49-F238E27FC236}">
              <a16:creationId xmlns:a16="http://schemas.microsoft.com/office/drawing/2014/main" id="{1B65B068-3A4D-4327-ABC9-C2951B98642B}"/>
            </a:ext>
          </a:extLst>
        </xdr:cNvPr>
        <xdr:cNvSpPr/>
      </xdr:nvSpPr>
      <xdr:spPr>
        <a:xfrm>
          <a:off x="19819747" y="2131415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1177</xdr:row>
      <xdr:rowOff>131301</xdr:rowOff>
    </xdr:from>
    <xdr:ext cx="514858" cy="180627"/>
    <xdr:sp macro="_xll.PtreeEvent_ObjectClick" textlink="">
      <xdr:nvSpPr>
        <xdr:cNvPr id="2348" name="PTObj_DBranchName_1_583">
          <a:extLst>
            <a:ext uri="{FF2B5EF4-FFF2-40B4-BE49-F238E27FC236}">
              <a16:creationId xmlns:a16="http://schemas.microsoft.com/office/drawing/2014/main" id="{06848E17-3578-4864-AA52-88C37F428DA1}"/>
            </a:ext>
          </a:extLst>
        </xdr:cNvPr>
        <xdr:cNvSpPr txBox="1"/>
      </xdr:nvSpPr>
      <xdr:spPr>
        <a:xfrm>
          <a:off x="18666904" y="213138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1179</xdr:row>
      <xdr:rowOff>137793</xdr:rowOff>
    </xdr:from>
    <xdr:to>
      <xdr:col>12</xdr:col>
      <xdr:colOff>131575</xdr:colOff>
      <xdr:row>1180</xdr:row>
      <xdr:rowOff>132078</xdr:rowOff>
    </xdr:to>
    <xdr:sp macro="_xll.PtreeEvent_ObjectClick" textlink="">
      <xdr:nvSpPr>
        <xdr:cNvPr id="2349" name="PTObj_DNode_1_584">
          <a:extLst>
            <a:ext uri="{FF2B5EF4-FFF2-40B4-BE49-F238E27FC236}">
              <a16:creationId xmlns:a16="http://schemas.microsoft.com/office/drawing/2014/main" id="{6A80987F-ACE0-49A2-AE94-5CA3EB84FD7A}"/>
            </a:ext>
          </a:extLst>
        </xdr:cNvPr>
        <xdr:cNvSpPr/>
      </xdr:nvSpPr>
      <xdr:spPr>
        <a:xfrm rot="-5400000">
          <a:off x="21248498" y="2135035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1179</xdr:row>
      <xdr:rowOff>135121</xdr:rowOff>
    </xdr:from>
    <xdr:ext cx="514858" cy="180627"/>
    <xdr:sp macro="_xll.PtreeEvent_ObjectClick" textlink="">
      <xdr:nvSpPr>
        <xdr:cNvPr id="2352" name="PTObj_DBranchName_1_584">
          <a:extLst>
            <a:ext uri="{FF2B5EF4-FFF2-40B4-BE49-F238E27FC236}">
              <a16:creationId xmlns:a16="http://schemas.microsoft.com/office/drawing/2014/main" id="{6E0DECD8-BB7A-48E3-8BAF-DB0ECE8653FA}"/>
            </a:ext>
          </a:extLst>
        </xdr:cNvPr>
        <xdr:cNvSpPr txBox="1"/>
      </xdr:nvSpPr>
      <xdr:spPr>
        <a:xfrm>
          <a:off x="20094701" y="213504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1183</xdr:row>
      <xdr:rowOff>145405</xdr:rowOff>
    </xdr:from>
    <xdr:to>
      <xdr:col>9</xdr:col>
      <xdr:colOff>150622</xdr:colOff>
      <xdr:row>1184</xdr:row>
      <xdr:rowOff>135885</xdr:rowOff>
    </xdr:to>
    <xdr:sp macro="_xll.PtreeEvent_ObjectClick" textlink="">
      <xdr:nvSpPr>
        <xdr:cNvPr id="2353" name="PTObj_DNode_1_586">
          <a:extLst>
            <a:ext uri="{FF2B5EF4-FFF2-40B4-BE49-F238E27FC236}">
              <a16:creationId xmlns:a16="http://schemas.microsoft.com/office/drawing/2014/main" id="{D9517B56-19D0-4B47-8D48-9B389AB4D19D}"/>
            </a:ext>
          </a:extLst>
        </xdr:cNvPr>
        <xdr:cNvSpPr/>
      </xdr:nvSpPr>
      <xdr:spPr>
        <a:xfrm>
          <a:off x="16969867" y="214238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1183</xdr:row>
      <xdr:rowOff>144641</xdr:rowOff>
    </xdr:from>
    <xdr:ext cx="568424" cy="180627"/>
    <xdr:sp macro="_xll.PtreeEvent_ObjectClick" textlink="">
      <xdr:nvSpPr>
        <xdr:cNvPr id="2356" name="PTObj_DBranchName_1_586">
          <a:extLst>
            <a:ext uri="{FF2B5EF4-FFF2-40B4-BE49-F238E27FC236}">
              <a16:creationId xmlns:a16="http://schemas.microsoft.com/office/drawing/2014/main" id="{586CBF19-2A1C-470A-8ADD-7C28185D6638}"/>
            </a:ext>
          </a:extLst>
        </xdr:cNvPr>
        <xdr:cNvSpPr txBox="1"/>
      </xdr:nvSpPr>
      <xdr:spPr>
        <a:xfrm>
          <a:off x="15820834" y="21423806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1185</xdr:row>
      <xdr:rowOff>149225</xdr:rowOff>
    </xdr:from>
    <xdr:to>
      <xdr:col>10</xdr:col>
      <xdr:colOff>131573</xdr:colOff>
      <xdr:row>1186</xdr:row>
      <xdr:rowOff>151135</xdr:rowOff>
    </xdr:to>
    <xdr:sp macro="_xll.PtreeEvent_ObjectClick" textlink="">
      <xdr:nvSpPr>
        <xdr:cNvPr id="2357" name="PTObj_DNode_1_587">
          <a:extLst>
            <a:ext uri="{FF2B5EF4-FFF2-40B4-BE49-F238E27FC236}">
              <a16:creationId xmlns:a16="http://schemas.microsoft.com/office/drawing/2014/main" id="{9413B9C5-6A84-4C8B-A469-6927E2AD233D}"/>
            </a:ext>
          </a:extLst>
        </xdr:cNvPr>
        <xdr:cNvSpPr/>
      </xdr:nvSpPr>
      <xdr:spPr>
        <a:xfrm>
          <a:off x="18394807" y="214604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1185</xdr:row>
      <xdr:rowOff>150341</xdr:rowOff>
    </xdr:from>
    <xdr:ext cx="514858" cy="180627"/>
    <xdr:sp macro="_xll.PtreeEvent_ObjectClick" textlink="">
      <xdr:nvSpPr>
        <xdr:cNvPr id="2360" name="PTObj_DBranchName_1_587">
          <a:extLst>
            <a:ext uri="{FF2B5EF4-FFF2-40B4-BE49-F238E27FC236}">
              <a16:creationId xmlns:a16="http://schemas.microsoft.com/office/drawing/2014/main" id="{60B33DDC-A690-4463-A508-B3CFC9DF00B4}"/>
            </a:ext>
          </a:extLst>
        </xdr:cNvPr>
        <xdr:cNvSpPr txBox="1"/>
      </xdr:nvSpPr>
      <xdr:spPr>
        <a:xfrm>
          <a:off x="17244820" y="2146057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1187</xdr:row>
      <xdr:rowOff>153045</xdr:rowOff>
    </xdr:from>
    <xdr:to>
      <xdr:col>11</xdr:col>
      <xdr:colOff>135382</xdr:colOff>
      <xdr:row>1188</xdr:row>
      <xdr:rowOff>154955</xdr:rowOff>
    </xdr:to>
    <xdr:sp macro="_xll.PtreeEvent_ObjectClick" textlink="">
      <xdr:nvSpPr>
        <xdr:cNvPr id="2361" name="PTObj_DNode_1_588">
          <a:extLst>
            <a:ext uri="{FF2B5EF4-FFF2-40B4-BE49-F238E27FC236}">
              <a16:creationId xmlns:a16="http://schemas.microsoft.com/office/drawing/2014/main" id="{AC73F2A6-6FE4-4369-A0A6-C18473EA70F9}"/>
            </a:ext>
          </a:extLst>
        </xdr:cNvPr>
        <xdr:cNvSpPr/>
      </xdr:nvSpPr>
      <xdr:spPr>
        <a:xfrm>
          <a:off x="19819747" y="2149703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1187</xdr:row>
      <xdr:rowOff>154161</xdr:rowOff>
    </xdr:from>
    <xdr:ext cx="514858" cy="180627"/>
    <xdr:sp macro="_xll.PtreeEvent_ObjectClick" textlink="">
      <xdr:nvSpPr>
        <xdr:cNvPr id="2364" name="PTObj_DBranchName_1_588">
          <a:extLst>
            <a:ext uri="{FF2B5EF4-FFF2-40B4-BE49-F238E27FC236}">
              <a16:creationId xmlns:a16="http://schemas.microsoft.com/office/drawing/2014/main" id="{5352084C-65EF-426F-9D4C-EFCC8266917F}"/>
            </a:ext>
          </a:extLst>
        </xdr:cNvPr>
        <xdr:cNvSpPr txBox="1"/>
      </xdr:nvSpPr>
      <xdr:spPr>
        <a:xfrm>
          <a:off x="18666904" y="214971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1189</xdr:row>
      <xdr:rowOff>162558</xdr:rowOff>
    </xdr:from>
    <xdr:to>
      <xdr:col>12</xdr:col>
      <xdr:colOff>131575</xdr:colOff>
      <xdr:row>1190</xdr:row>
      <xdr:rowOff>172083</xdr:rowOff>
    </xdr:to>
    <xdr:sp macro="_xll.PtreeEvent_ObjectClick" textlink="">
      <xdr:nvSpPr>
        <xdr:cNvPr id="2365" name="PTObj_DNode_1_589">
          <a:extLst>
            <a:ext uri="{FF2B5EF4-FFF2-40B4-BE49-F238E27FC236}">
              <a16:creationId xmlns:a16="http://schemas.microsoft.com/office/drawing/2014/main" id="{418CBADF-79FC-4BBA-98A0-E775242D0755}"/>
            </a:ext>
          </a:extLst>
        </xdr:cNvPr>
        <xdr:cNvSpPr/>
      </xdr:nvSpPr>
      <xdr:spPr>
        <a:xfrm rot="-5400000">
          <a:off x="21248498" y="215338020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1189</xdr:row>
      <xdr:rowOff>159886</xdr:rowOff>
    </xdr:from>
    <xdr:ext cx="514858" cy="180627"/>
    <xdr:sp macro="_xll.PtreeEvent_ObjectClick" textlink="">
      <xdr:nvSpPr>
        <xdr:cNvPr id="2368" name="PTObj_DBranchName_1_589">
          <a:extLst>
            <a:ext uri="{FF2B5EF4-FFF2-40B4-BE49-F238E27FC236}">
              <a16:creationId xmlns:a16="http://schemas.microsoft.com/office/drawing/2014/main" id="{93336E3F-0AB0-4BDD-A8D3-314FF4AEE7AC}"/>
            </a:ext>
          </a:extLst>
        </xdr:cNvPr>
        <xdr:cNvSpPr txBox="1"/>
      </xdr:nvSpPr>
      <xdr:spPr>
        <a:xfrm>
          <a:off x="20094701" y="2153391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1201</xdr:row>
      <xdr:rowOff>179710</xdr:rowOff>
    </xdr:from>
    <xdr:to>
      <xdr:col>8</xdr:col>
      <xdr:colOff>154432</xdr:colOff>
      <xdr:row>1203</xdr:row>
      <xdr:rowOff>645</xdr:rowOff>
    </xdr:to>
    <xdr:sp macro="_xll.PtreeEvent_ObjectClick" textlink="">
      <xdr:nvSpPr>
        <xdr:cNvPr id="2369" name="PTObj_DNode_1_595">
          <a:extLst>
            <a:ext uri="{FF2B5EF4-FFF2-40B4-BE49-F238E27FC236}">
              <a16:creationId xmlns:a16="http://schemas.microsoft.com/office/drawing/2014/main" id="{E8B1CF4D-66E5-417B-8CC1-E9ECB3A815B0}"/>
            </a:ext>
          </a:extLst>
        </xdr:cNvPr>
        <xdr:cNvSpPr/>
      </xdr:nvSpPr>
      <xdr:spPr>
        <a:xfrm>
          <a:off x="15544927" y="21753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1201</xdr:row>
      <xdr:rowOff>178921</xdr:rowOff>
    </xdr:from>
    <xdr:ext cx="568425" cy="180627"/>
    <xdr:sp macro="_xll.PtreeEvent_ObjectClick" textlink="">
      <xdr:nvSpPr>
        <xdr:cNvPr id="2372" name="PTObj_DBranchName_1_595">
          <a:extLst>
            <a:ext uri="{FF2B5EF4-FFF2-40B4-BE49-F238E27FC236}">
              <a16:creationId xmlns:a16="http://schemas.microsoft.com/office/drawing/2014/main" id="{8D9FBCA2-E5F8-498E-89F8-BCEBEAC98425}"/>
            </a:ext>
          </a:extLst>
        </xdr:cNvPr>
        <xdr:cNvSpPr txBox="1"/>
      </xdr:nvSpPr>
      <xdr:spPr>
        <a:xfrm>
          <a:off x="14400657" y="2175298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1193</xdr:row>
      <xdr:rowOff>164455</xdr:rowOff>
    </xdr:from>
    <xdr:to>
      <xdr:col>9</xdr:col>
      <xdr:colOff>150622</xdr:colOff>
      <xdr:row>1194</xdr:row>
      <xdr:rowOff>173985</xdr:rowOff>
    </xdr:to>
    <xdr:sp macro="_xll.PtreeEvent_ObjectClick" textlink="">
      <xdr:nvSpPr>
        <xdr:cNvPr id="2373" name="PTObj_DNode_1_591">
          <a:extLst>
            <a:ext uri="{FF2B5EF4-FFF2-40B4-BE49-F238E27FC236}">
              <a16:creationId xmlns:a16="http://schemas.microsoft.com/office/drawing/2014/main" id="{EE07C8B8-AA4F-429B-85F2-99012635590E}"/>
            </a:ext>
          </a:extLst>
        </xdr:cNvPr>
        <xdr:cNvSpPr/>
      </xdr:nvSpPr>
      <xdr:spPr>
        <a:xfrm>
          <a:off x="16969867" y="216067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1193</xdr:row>
      <xdr:rowOff>169406</xdr:rowOff>
    </xdr:from>
    <xdr:ext cx="568424" cy="180627"/>
    <xdr:sp macro="_xll.PtreeEvent_ObjectClick" textlink="">
      <xdr:nvSpPr>
        <xdr:cNvPr id="2376" name="PTObj_DBranchName_1_591">
          <a:extLst>
            <a:ext uri="{FF2B5EF4-FFF2-40B4-BE49-F238E27FC236}">
              <a16:creationId xmlns:a16="http://schemas.microsoft.com/office/drawing/2014/main" id="{42F36391-4EAC-4A9B-B33A-AA737A93E0BE}"/>
            </a:ext>
          </a:extLst>
        </xdr:cNvPr>
        <xdr:cNvSpPr txBox="1"/>
      </xdr:nvSpPr>
      <xdr:spPr>
        <a:xfrm>
          <a:off x="15820834" y="21607258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1195</xdr:row>
      <xdr:rowOff>168275</xdr:rowOff>
    </xdr:from>
    <xdr:to>
      <xdr:col>10</xdr:col>
      <xdr:colOff>135383</xdr:colOff>
      <xdr:row>1196</xdr:row>
      <xdr:rowOff>173995</xdr:rowOff>
    </xdr:to>
    <xdr:sp macro="_xll.PtreeEvent_ObjectClick" textlink="">
      <xdr:nvSpPr>
        <xdr:cNvPr id="2377" name="PTObj_DNode_1_592">
          <a:extLst>
            <a:ext uri="{FF2B5EF4-FFF2-40B4-BE49-F238E27FC236}">
              <a16:creationId xmlns:a16="http://schemas.microsoft.com/office/drawing/2014/main" id="{06609A29-1FCC-4E44-8481-1C0E5D48ABAD}"/>
            </a:ext>
          </a:extLst>
        </xdr:cNvPr>
        <xdr:cNvSpPr/>
      </xdr:nvSpPr>
      <xdr:spPr>
        <a:xfrm>
          <a:off x="18394807" y="216433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1195</xdr:row>
      <xdr:rowOff>173201</xdr:rowOff>
    </xdr:from>
    <xdr:ext cx="514858" cy="180627"/>
    <xdr:sp macro="_xll.PtreeEvent_ObjectClick" textlink="">
      <xdr:nvSpPr>
        <xdr:cNvPr id="2380" name="PTObj_DBranchName_1_592">
          <a:extLst>
            <a:ext uri="{FF2B5EF4-FFF2-40B4-BE49-F238E27FC236}">
              <a16:creationId xmlns:a16="http://schemas.microsoft.com/office/drawing/2014/main" id="{77C85EEC-B45E-433F-9007-B4EBA4BC8C77}"/>
            </a:ext>
          </a:extLst>
        </xdr:cNvPr>
        <xdr:cNvSpPr txBox="1"/>
      </xdr:nvSpPr>
      <xdr:spPr>
        <a:xfrm>
          <a:off x="17244820" y="2164383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1197</xdr:row>
      <xdr:rowOff>172095</xdr:rowOff>
    </xdr:from>
    <xdr:to>
      <xdr:col>11</xdr:col>
      <xdr:colOff>131572</xdr:colOff>
      <xdr:row>1198</xdr:row>
      <xdr:rowOff>174005</xdr:rowOff>
    </xdr:to>
    <xdr:sp macro="_xll.PtreeEvent_ObjectClick" textlink="">
      <xdr:nvSpPr>
        <xdr:cNvPr id="2381" name="PTObj_DNode_1_593">
          <a:extLst>
            <a:ext uri="{FF2B5EF4-FFF2-40B4-BE49-F238E27FC236}">
              <a16:creationId xmlns:a16="http://schemas.microsoft.com/office/drawing/2014/main" id="{BCA01744-65BB-4EFC-B3B2-A27D8BFECF52}"/>
            </a:ext>
          </a:extLst>
        </xdr:cNvPr>
        <xdr:cNvSpPr/>
      </xdr:nvSpPr>
      <xdr:spPr>
        <a:xfrm>
          <a:off x="19819747" y="2167991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1197</xdr:row>
      <xdr:rowOff>169401</xdr:rowOff>
    </xdr:from>
    <xdr:ext cx="514858" cy="180627"/>
    <xdr:sp macro="_xll.PtreeEvent_ObjectClick" textlink="">
      <xdr:nvSpPr>
        <xdr:cNvPr id="2384" name="PTObj_DBranchName_1_593">
          <a:extLst>
            <a:ext uri="{FF2B5EF4-FFF2-40B4-BE49-F238E27FC236}">
              <a16:creationId xmlns:a16="http://schemas.microsoft.com/office/drawing/2014/main" id="{8A1BB078-93F6-4F8E-9350-9878A6CFCDDE}"/>
            </a:ext>
          </a:extLst>
        </xdr:cNvPr>
        <xdr:cNvSpPr txBox="1"/>
      </xdr:nvSpPr>
      <xdr:spPr>
        <a:xfrm>
          <a:off x="18666904" y="216796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1199</xdr:row>
      <xdr:rowOff>175893</xdr:rowOff>
    </xdr:from>
    <xdr:to>
      <xdr:col>12</xdr:col>
      <xdr:colOff>135385</xdr:colOff>
      <xdr:row>1200</xdr:row>
      <xdr:rowOff>173988</xdr:rowOff>
    </xdr:to>
    <xdr:sp macro="_xll.PtreeEvent_ObjectClick" textlink="">
      <xdr:nvSpPr>
        <xdr:cNvPr id="2385" name="PTObj_DNode_1_594">
          <a:extLst>
            <a:ext uri="{FF2B5EF4-FFF2-40B4-BE49-F238E27FC236}">
              <a16:creationId xmlns:a16="http://schemas.microsoft.com/office/drawing/2014/main" id="{A4A3EBBF-6555-4249-9CA0-6D1ACF9B30DE}"/>
            </a:ext>
          </a:extLst>
        </xdr:cNvPr>
        <xdr:cNvSpPr/>
      </xdr:nvSpPr>
      <xdr:spPr>
        <a:xfrm rot="-5400000">
          <a:off x="21248498" y="21716110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1199</xdr:row>
      <xdr:rowOff>173221</xdr:rowOff>
    </xdr:from>
    <xdr:ext cx="514858" cy="180627"/>
    <xdr:sp macro="_xll.PtreeEvent_ObjectClick" textlink="">
      <xdr:nvSpPr>
        <xdr:cNvPr id="2388" name="PTObj_DBranchName_1_594">
          <a:extLst>
            <a:ext uri="{FF2B5EF4-FFF2-40B4-BE49-F238E27FC236}">
              <a16:creationId xmlns:a16="http://schemas.microsoft.com/office/drawing/2014/main" id="{54DB61E8-198C-4031-B877-DDA1B7A45600}"/>
            </a:ext>
          </a:extLst>
        </xdr:cNvPr>
        <xdr:cNvSpPr txBox="1"/>
      </xdr:nvSpPr>
      <xdr:spPr>
        <a:xfrm>
          <a:off x="20094701" y="2171622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1204</xdr:row>
      <xdr:rowOff>2530</xdr:rowOff>
    </xdr:from>
    <xdr:to>
      <xdr:col>9</xdr:col>
      <xdr:colOff>150622</xdr:colOff>
      <xdr:row>1205</xdr:row>
      <xdr:rowOff>19680</xdr:rowOff>
    </xdr:to>
    <xdr:sp macro="_xll.PtreeEvent_ObjectClick" textlink="">
      <xdr:nvSpPr>
        <xdr:cNvPr id="2389" name="PTObj_DNode_1_596">
          <a:extLst>
            <a:ext uri="{FF2B5EF4-FFF2-40B4-BE49-F238E27FC236}">
              <a16:creationId xmlns:a16="http://schemas.microsoft.com/office/drawing/2014/main" id="{5233F5C1-1DC1-40D7-876D-EDE618AF0102}"/>
            </a:ext>
          </a:extLst>
        </xdr:cNvPr>
        <xdr:cNvSpPr/>
      </xdr:nvSpPr>
      <xdr:spPr>
        <a:xfrm>
          <a:off x="16969867" y="217896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1204</xdr:row>
      <xdr:rowOff>3671</xdr:rowOff>
    </xdr:from>
    <xdr:ext cx="568424" cy="180627"/>
    <xdr:sp macro="_xll.PtreeEvent_ObjectClick" textlink="">
      <xdr:nvSpPr>
        <xdr:cNvPr id="2392" name="PTObj_DBranchName_1_596">
          <a:extLst>
            <a:ext uri="{FF2B5EF4-FFF2-40B4-BE49-F238E27FC236}">
              <a16:creationId xmlns:a16="http://schemas.microsoft.com/office/drawing/2014/main" id="{926E5F58-49F4-47BB-8ECD-F9381A803E44}"/>
            </a:ext>
          </a:extLst>
        </xdr:cNvPr>
        <xdr:cNvSpPr txBox="1"/>
      </xdr:nvSpPr>
      <xdr:spPr>
        <a:xfrm>
          <a:off x="15820834" y="2178975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1206</xdr:row>
      <xdr:rowOff>6350</xdr:rowOff>
    </xdr:from>
    <xdr:to>
      <xdr:col>10</xdr:col>
      <xdr:colOff>135383</xdr:colOff>
      <xdr:row>1207</xdr:row>
      <xdr:rowOff>15880</xdr:rowOff>
    </xdr:to>
    <xdr:sp macro="_xll.PtreeEvent_ObjectClick" textlink="">
      <xdr:nvSpPr>
        <xdr:cNvPr id="2393" name="PTObj_DNode_1_597">
          <a:extLst>
            <a:ext uri="{FF2B5EF4-FFF2-40B4-BE49-F238E27FC236}">
              <a16:creationId xmlns:a16="http://schemas.microsoft.com/office/drawing/2014/main" id="{B5C76F09-6D94-4DC1-BD72-6085D81108C5}"/>
            </a:ext>
          </a:extLst>
        </xdr:cNvPr>
        <xdr:cNvSpPr/>
      </xdr:nvSpPr>
      <xdr:spPr>
        <a:xfrm>
          <a:off x="18394807" y="218262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1206</xdr:row>
      <xdr:rowOff>9371</xdr:rowOff>
    </xdr:from>
    <xdr:ext cx="514858" cy="180627"/>
    <xdr:sp macro="_xll.PtreeEvent_ObjectClick" textlink="">
      <xdr:nvSpPr>
        <xdr:cNvPr id="2396" name="PTObj_DBranchName_1_597">
          <a:extLst>
            <a:ext uri="{FF2B5EF4-FFF2-40B4-BE49-F238E27FC236}">
              <a16:creationId xmlns:a16="http://schemas.microsoft.com/office/drawing/2014/main" id="{9F0AFB4D-2369-4ABD-B3A7-B6CB51FAE2A4}"/>
            </a:ext>
          </a:extLst>
        </xdr:cNvPr>
        <xdr:cNvSpPr txBox="1"/>
      </xdr:nvSpPr>
      <xdr:spPr>
        <a:xfrm>
          <a:off x="17244820" y="2182652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1208</xdr:row>
      <xdr:rowOff>10170</xdr:rowOff>
    </xdr:from>
    <xdr:to>
      <xdr:col>11</xdr:col>
      <xdr:colOff>131572</xdr:colOff>
      <xdr:row>1209</xdr:row>
      <xdr:rowOff>19700</xdr:rowOff>
    </xdr:to>
    <xdr:sp macro="_xll.PtreeEvent_ObjectClick" textlink="">
      <xdr:nvSpPr>
        <xdr:cNvPr id="2397" name="PTObj_DNode_1_598">
          <a:extLst>
            <a:ext uri="{FF2B5EF4-FFF2-40B4-BE49-F238E27FC236}">
              <a16:creationId xmlns:a16="http://schemas.microsoft.com/office/drawing/2014/main" id="{97508F1D-8466-46DA-AE54-77BCE8A94902}"/>
            </a:ext>
          </a:extLst>
        </xdr:cNvPr>
        <xdr:cNvSpPr/>
      </xdr:nvSpPr>
      <xdr:spPr>
        <a:xfrm>
          <a:off x="19819747" y="2186279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1208</xdr:row>
      <xdr:rowOff>13191</xdr:rowOff>
    </xdr:from>
    <xdr:ext cx="514858" cy="180627"/>
    <xdr:sp macro="_xll.PtreeEvent_ObjectClick" textlink="">
      <xdr:nvSpPr>
        <xdr:cNvPr id="2400" name="PTObj_DBranchName_1_598">
          <a:extLst>
            <a:ext uri="{FF2B5EF4-FFF2-40B4-BE49-F238E27FC236}">
              <a16:creationId xmlns:a16="http://schemas.microsoft.com/office/drawing/2014/main" id="{5D65192E-6B23-4478-9F21-3978541E9F5A}"/>
            </a:ext>
          </a:extLst>
        </xdr:cNvPr>
        <xdr:cNvSpPr txBox="1"/>
      </xdr:nvSpPr>
      <xdr:spPr>
        <a:xfrm>
          <a:off x="18666904" y="218630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1210</xdr:row>
      <xdr:rowOff>21588</xdr:rowOff>
    </xdr:from>
    <xdr:to>
      <xdr:col>12</xdr:col>
      <xdr:colOff>135385</xdr:colOff>
      <xdr:row>1211</xdr:row>
      <xdr:rowOff>19683</xdr:rowOff>
    </xdr:to>
    <xdr:sp macro="_xll.PtreeEvent_ObjectClick" textlink="">
      <xdr:nvSpPr>
        <xdr:cNvPr id="2401" name="PTObj_DNode_1_599">
          <a:extLst>
            <a:ext uri="{FF2B5EF4-FFF2-40B4-BE49-F238E27FC236}">
              <a16:creationId xmlns:a16="http://schemas.microsoft.com/office/drawing/2014/main" id="{6BD3EBC1-BBE6-4525-AB53-EF13EB17D722}"/>
            </a:ext>
          </a:extLst>
        </xdr:cNvPr>
        <xdr:cNvSpPr/>
      </xdr:nvSpPr>
      <xdr:spPr>
        <a:xfrm rot="-5400000">
          <a:off x="21248498" y="2189975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1210</xdr:row>
      <xdr:rowOff>18916</xdr:rowOff>
    </xdr:from>
    <xdr:ext cx="514858" cy="180627"/>
    <xdr:sp macro="_xll.PtreeEvent_ObjectClick" textlink="">
      <xdr:nvSpPr>
        <xdr:cNvPr id="2404" name="PTObj_DBranchName_1_599">
          <a:extLst>
            <a:ext uri="{FF2B5EF4-FFF2-40B4-BE49-F238E27FC236}">
              <a16:creationId xmlns:a16="http://schemas.microsoft.com/office/drawing/2014/main" id="{276DE4E7-5C85-4076-B3F7-92D1A2D9C46E}"/>
            </a:ext>
          </a:extLst>
        </xdr:cNvPr>
        <xdr:cNvSpPr txBox="1"/>
      </xdr:nvSpPr>
      <xdr:spPr>
        <a:xfrm>
          <a:off x="20094701" y="2189986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1407922</xdr:colOff>
      <xdr:row>1252</xdr:row>
      <xdr:rowOff>93985</xdr:rowOff>
    </xdr:from>
    <xdr:to>
      <xdr:col>6</xdr:col>
      <xdr:colOff>167767</xdr:colOff>
      <xdr:row>1253</xdr:row>
      <xdr:rowOff>95895</xdr:rowOff>
    </xdr:to>
    <xdr:sp macro="_xll.PtreeEvent_ObjectClick" textlink="">
      <xdr:nvSpPr>
        <xdr:cNvPr id="2405" name="PTObj_DNode_1_620">
          <a:extLst>
            <a:ext uri="{FF2B5EF4-FFF2-40B4-BE49-F238E27FC236}">
              <a16:creationId xmlns:a16="http://schemas.microsoft.com/office/drawing/2014/main" id="{AA33A549-1E7A-40D6-BA8B-E08228642096}"/>
            </a:ext>
          </a:extLst>
        </xdr:cNvPr>
        <xdr:cNvSpPr/>
      </xdr:nvSpPr>
      <xdr:spPr>
        <a:xfrm>
          <a:off x="12695047" y="226674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263651</xdr:colOff>
      <xdr:row>1252</xdr:row>
      <xdr:rowOff>98911</xdr:rowOff>
    </xdr:from>
    <xdr:ext cx="566520" cy="180627"/>
    <xdr:sp macro="_xll.PtreeEvent_ObjectClick" textlink="">
      <xdr:nvSpPr>
        <xdr:cNvPr id="2408" name="PTObj_DBranchName_1_620">
          <a:extLst>
            <a:ext uri="{FF2B5EF4-FFF2-40B4-BE49-F238E27FC236}">
              <a16:creationId xmlns:a16="http://schemas.microsoft.com/office/drawing/2014/main" id="{01305472-E1EB-4790-9204-63BE73EBDFC7}"/>
            </a:ext>
          </a:extLst>
        </xdr:cNvPr>
        <xdr:cNvSpPr txBox="1"/>
      </xdr:nvSpPr>
      <xdr:spPr>
        <a:xfrm>
          <a:off x="11550776" y="2266796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1404113</xdr:colOff>
      <xdr:row>1232</xdr:row>
      <xdr:rowOff>55885</xdr:rowOff>
    </xdr:from>
    <xdr:to>
      <xdr:col>7</xdr:col>
      <xdr:colOff>171578</xdr:colOff>
      <xdr:row>1233</xdr:row>
      <xdr:rowOff>53985</xdr:rowOff>
    </xdr:to>
    <xdr:sp macro="_xll.PtreeEvent_ObjectClick" textlink="">
      <xdr:nvSpPr>
        <xdr:cNvPr id="2409" name="PTObj_DNode_1_610">
          <a:extLst>
            <a:ext uri="{FF2B5EF4-FFF2-40B4-BE49-F238E27FC236}">
              <a16:creationId xmlns:a16="http://schemas.microsoft.com/office/drawing/2014/main" id="{2A16C1C2-D323-4DBC-B16E-043255C9EB74}"/>
            </a:ext>
          </a:extLst>
        </xdr:cNvPr>
        <xdr:cNvSpPr/>
      </xdr:nvSpPr>
      <xdr:spPr>
        <a:xfrm>
          <a:off x="14119988" y="22301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260794</xdr:colOff>
      <xdr:row>1232</xdr:row>
      <xdr:rowOff>60811</xdr:rowOff>
    </xdr:from>
    <xdr:ext cx="566520" cy="180627"/>
    <xdr:sp macro="_xll.PtreeEvent_ObjectClick" textlink="">
      <xdr:nvSpPr>
        <xdr:cNvPr id="2412" name="PTObj_DBranchName_1_610">
          <a:extLst>
            <a:ext uri="{FF2B5EF4-FFF2-40B4-BE49-F238E27FC236}">
              <a16:creationId xmlns:a16="http://schemas.microsoft.com/office/drawing/2014/main" id="{2E405E23-51F5-47F1-BC42-8EA725A4123B}"/>
            </a:ext>
          </a:extLst>
        </xdr:cNvPr>
        <xdr:cNvSpPr txBox="1"/>
      </xdr:nvSpPr>
      <xdr:spPr>
        <a:xfrm>
          <a:off x="12976669" y="2230220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1400302</xdr:colOff>
      <xdr:row>1222</xdr:row>
      <xdr:rowOff>36835</xdr:rowOff>
    </xdr:from>
    <xdr:to>
      <xdr:col>8</xdr:col>
      <xdr:colOff>154432</xdr:colOff>
      <xdr:row>1223</xdr:row>
      <xdr:rowOff>38745</xdr:rowOff>
    </xdr:to>
    <xdr:sp macro="_xll.PtreeEvent_ObjectClick" textlink="">
      <xdr:nvSpPr>
        <xdr:cNvPr id="2413" name="PTObj_DNode_1_605">
          <a:extLst>
            <a:ext uri="{FF2B5EF4-FFF2-40B4-BE49-F238E27FC236}">
              <a16:creationId xmlns:a16="http://schemas.microsoft.com/office/drawing/2014/main" id="{D0F42CE2-B20D-4858-92D5-BE145FA4BABF}"/>
            </a:ext>
          </a:extLst>
        </xdr:cNvPr>
        <xdr:cNvSpPr/>
      </xdr:nvSpPr>
      <xdr:spPr>
        <a:xfrm>
          <a:off x="15544927" y="221188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1222</xdr:row>
      <xdr:rowOff>37951</xdr:rowOff>
    </xdr:from>
    <xdr:ext cx="566519" cy="180627"/>
    <xdr:sp macro="_xll.PtreeEvent_ObjectClick" textlink="">
      <xdr:nvSpPr>
        <xdr:cNvPr id="2416" name="PTObj_DBranchName_1_605">
          <a:extLst>
            <a:ext uri="{FF2B5EF4-FFF2-40B4-BE49-F238E27FC236}">
              <a16:creationId xmlns:a16="http://schemas.microsoft.com/office/drawing/2014/main" id="{3BE93DC3-CE73-4387-86B2-8FB6428A65E0}"/>
            </a:ext>
          </a:extLst>
        </xdr:cNvPr>
        <xdr:cNvSpPr txBox="1"/>
      </xdr:nvSpPr>
      <xdr:spPr>
        <a:xfrm>
          <a:off x="14398752" y="22118940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1214</xdr:row>
      <xdr:rowOff>21580</xdr:rowOff>
    </xdr:from>
    <xdr:to>
      <xdr:col>9</xdr:col>
      <xdr:colOff>150622</xdr:colOff>
      <xdr:row>1215</xdr:row>
      <xdr:rowOff>19680</xdr:rowOff>
    </xdr:to>
    <xdr:sp macro="_xll.PtreeEvent_ObjectClick" textlink="">
      <xdr:nvSpPr>
        <xdr:cNvPr id="2417" name="PTObj_DNode_1_601">
          <a:extLst>
            <a:ext uri="{FF2B5EF4-FFF2-40B4-BE49-F238E27FC236}">
              <a16:creationId xmlns:a16="http://schemas.microsoft.com/office/drawing/2014/main" id="{76A7A158-B5AC-4A7A-A28D-A65CCF098CFA}"/>
            </a:ext>
          </a:extLst>
        </xdr:cNvPr>
        <xdr:cNvSpPr/>
      </xdr:nvSpPr>
      <xdr:spPr>
        <a:xfrm>
          <a:off x="16969867" y="219725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1214</xdr:row>
      <xdr:rowOff>18911</xdr:rowOff>
    </xdr:from>
    <xdr:ext cx="568424" cy="180627"/>
    <xdr:sp macro="_xll.PtreeEvent_ObjectClick" textlink="">
      <xdr:nvSpPr>
        <xdr:cNvPr id="2420" name="PTObj_DBranchName_1_601">
          <a:extLst>
            <a:ext uri="{FF2B5EF4-FFF2-40B4-BE49-F238E27FC236}">
              <a16:creationId xmlns:a16="http://schemas.microsoft.com/office/drawing/2014/main" id="{41924228-B191-43CA-A968-E7CA44483B8E}"/>
            </a:ext>
          </a:extLst>
        </xdr:cNvPr>
        <xdr:cNvSpPr txBox="1"/>
      </xdr:nvSpPr>
      <xdr:spPr>
        <a:xfrm>
          <a:off x="15820834" y="2197225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1216</xdr:row>
      <xdr:rowOff>25400</xdr:rowOff>
    </xdr:from>
    <xdr:to>
      <xdr:col>10</xdr:col>
      <xdr:colOff>131573</xdr:colOff>
      <xdr:row>1217</xdr:row>
      <xdr:rowOff>21595</xdr:rowOff>
    </xdr:to>
    <xdr:sp macro="_xll.PtreeEvent_ObjectClick" textlink="">
      <xdr:nvSpPr>
        <xdr:cNvPr id="2421" name="PTObj_DNode_1_602">
          <a:extLst>
            <a:ext uri="{FF2B5EF4-FFF2-40B4-BE49-F238E27FC236}">
              <a16:creationId xmlns:a16="http://schemas.microsoft.com/office/drawing/2014/main" id="{215F8C15-4669-4CC2-AB25-B9349802EB09}"/>
            </a:ext>
          </a:extLst>
        </xdr:cNvPr>
        <xdr:cNvSpPr/>
      </xdr:nvSpPr>
      <xdr:spPr>
        <a:xfrm>
          <a:off x="18394807" y="220091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1216</xdr:row>
      <xdr:rowOff>22706</xdr:rowOff>
    </xdr:from>
    <xdr:ext cx="514858" cy="180627"/>
    <xdr:sp macro="_xll.PtreeEvent_ObjectClick" textlink="">
      <xdr:nvSpPr>
        <xdr:cNvPr id="2424" name="PTObj_DBranchName_1_602">
          <a:extLst>
            <a:ext uri="{FF2B5EF4-FFF2-40B4-BE49-F238E27FC236}">
              <a16:creationId xmlns:a16="http://schemas.microsoft.com/office/drawing/2014/main" id="{9213D36A-01D3-46CA-8E5F-3777196D07AF}"/>
            </a:ext>
          </a:extLst>
        </xdr:cNvPr>
        <xdr:cNvSpPr txBox="1"/>
      </xdr:nvSpPr>
      <xdr:spPr>
        <a:xfrm>
          <a:off x="17244820" y="2200883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1218</xdr:row>
      <xdr:rowOff>29220</xdr:rowOff>
    </xdr:from>
    <xdr:to>
      <xdr:col>11</xdr:col>
      <xdr:colOff>135382</xdr:colOff>
      <xdr:row>1219</xdr:row>
      <xdr:rowOff>17795</xdr:rowOff>
    </xdr:to>
    <xdr:sp macro="_xll.PtreeEvent_ObjectClick" textlink="">
      <xdr:nvSpPr>
        <xdr:cNvPr id="2425" name="PTObj_DNode_1_603">
          <a:extLst>
            <a:ext uri="{FF2B5EF4-FFF2-40B4-BE49-F238E27FC236}">
              <a16:creationId xmlns:a16="http://schemas.microsoft.com/office/drawing/2014/main" id="{F752CB21-78A4-4F3B-87BE-023DD4D6D336}"/>
            </a:ext>
          </a:extLst>
        </xdr:cNvPr>
        <xdr:cNvSpPr/>
      </xdr:nvSpPr>
      <xdr:spPr>
        <a:xfrm>
          <a:off x="19819747" y="2204567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1218</xdr:row>
      <xdr:rowOff>28431</xdr:rowOff>
    </xdr:from>
    <xdr:ext cx="514858" cy="180627"/>
    <xdr:sp macro="_xll.PtreeEvent_ObjectClick" textlink="">
      <xdr:nvSpPr>
        <xdr:cNvPr id="2428" name="PTObj_DBranchName_1_603">
          <a:extLst>
            <a:ext uri="{FF2B5EF4-FFF2-40B4-BE49-F238E27FC236}">
              <a16:creationId xmlns:a16="http://schemas.microsoft.com/office/drawing/2014/main" id="{691276CB-7023-44B0-AAD8-34A6ECD1725F}"/>
            </a:ext>
          </a:extLst>
        </xdr:cNvPr>
        <xdr:cNvSpPr txBox="1"/>
      </xdr:nvSpPr>
      <xdr:spPr>
        <a:xfrm>
          <a:off x="18666904" y="220455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1220</xdr:row>
      <xdr:rowOff>35875</xdr:rowOff>
    </xdr:from>
    <xdr:to>
      <xdr:col>12</xdr:col>
      <xdr:colOff>132528</xdr:colOff>
      <xdr:row>1221</xdr:row>
      <xdr:rowOff>18730</xdr:rowOff>
    </xdr:to>
    <xdr:sp macro="_xll.PtreeEvent_ObjectClick" textlink="">
      <xdr:nvSpPr>
        <xdr:cNvPr id="2429" name="PTObj_DNode_1_604">
          <a:extLst>
            <a:ext uri="{FF2B5EF4-FFF2-40B4-BE49-F238E27FC236}">
              <a16:creationId xmlns:a16="http://schemas.microsoft.com/office/drawing/2014/main" id="{324431A4-9A14-49D3-9FA9-772371A20C43}"/>
            </a:ext>
          </a:extLst>
        </xdr:cNvPr>
        <xdr:cNvSpPr/>
      </xdr:nvSpPr>
      <xdr:spPr>
        <a:xfrm rot="-5400000">
          <a:off x="21248498" y="2208206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1220</xdr:row>
      <xdr:rowOff>32251</xdr:rowOff>
    </xdr:from>
    <xdr:ext cx="514858" cy="180627"/>
    <xdr:sp macro="_xll.PtreeEvent_ObjectClick" textlink="">
      <xdr:nvSpPr>
        <xdr:cNvPr id="2432" name="PTObj_DBranchName_1_604">
          <a:extLst>
            <a:ext uri="{FF2B5EF4-FFF2-40B4-BE49-F238E27FC236}">
              <a16:creationId xmlns:a16="http://schemas.microsoft.com/office/drawing/2014/main" id="{F1B1B52E-39F6-4EDB-9274-6F65134BDA64}"/>
            </a:ext>
          </a:extLst>
        </xdr:cNvPr>
        <xdr:cNvSpPr txBox="1"/>
      </xdr:nvSpPr>
      <xdr:spPr>
        <a:xfrm>
          <a:off x="20094701" y="2208217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1224</xdr:row>
      <xdr:rowOff>40630</xdr:rowOff>
    </xdr:from>
    <xdr:to>
      <xdr:col>9</xdr:col>
      <xdr:colOff>150622</xdr:colOff>
      <xdr:row>1225</xdr:row>
      <xdr:rowOff>53970</xdr:rowOff>
    </xdr:to>
    <xdr:sp macro="_xll.PtreeEvent_ObjectClick" textlink="">
      <xdr:nvSpPr>
        <xdr:cNvPr id="2433" name="PTObj_DNode_1_606">
          <a:extLst>
            <a:ext uri="{FF2B5EF4-FFF2-40B4-BE49-F238E27FC236}">
              <a16:creationId xmlns:a16="http://schemas.microsoft.com/office/drawing/2014/main" id="{F821FF5C-0793-445E-9CF7-DEA098AE9D7F}"/>
            </a:ext>
          </a:extLst>
        </xdr:cNvPr>
        <xdr:cNvSpPr/>
      </xdr:nvSpPr>
      <xdr:spPr>
        <a:xfrm>
          <a:off x="16969867" y="221554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1224</xdr:row>
      <xdr:rowOff>41771</xdr:rowOff>
    </xdr:from>
    <xdr:ext cx="568424" cy="180627"/>
    <xdr:sp macro="_xll.PtreeEvent_ObjectClick" textlink="">
      <xdr:nvSpPr>
        <xdr:cNvPr id="2436" name="PTObj_DBranchName_1_606">
          <a:extLst>
            <a:ext uri="{FF2B5EF4-FFF2-40B4-BE49-F238E27FC236}">
              <a16:creationId xmlns:a16="http://schemas.microsoft.com/office/drawing/2014/main" id="{B83AB3C7-2541-4A79-AFA6-041C1CF4EE1A}"/>
            </a:ext>
          </a:extLst>
        </xdr:cNvPr>
        <xdr:cNvSpPr txBox="1"/>
      </xdr:nvSpPr>
      <xdr:spPr>
        <a:xfrm>
          <a:off x="15820834" y="2215551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1226</xdr:row>
      <xdr:rowOff>44450</xdr:rowOff>
    </xdr:from>
    <xdr:to>
      <xdr:col>10</xdr:col>
      <xdr:colOff>131573</xdr:colOff>
      <xdr:row>1227</xdr:row>
      <xdr:rowOff>57790</xdr:rowOff>
    </xdr:to>
    <xdr:sp macro="_xll.PtreeEvent_ObjectClick" textlink="">
      <xdr:nvSpPr>
        <xdr:cNvPr id="2437" name="PTObj_DNode_1_607">
          <a:extLst>
            <a:ext uri="{FF2B5EF4-FFF2-40B4-BE49-F238E27FC236}">
              <a16:creationId xmlns:a16="http://schemas.microsoft.com/office/drawing/2014/main" id="{7AE9C4D8-DBA0-4049-8E1B-7A1D36CE1C3D}"/>
            </a:ext>
          </a:extLst>
        </xdr:cNvPr>
        <xdr:cNvSpPr/>
      </xdr:nvSpPr>
      <xdr:spPr>
        <a:xfrm>
          <a:off x="18394807" y="221919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1226</xdr:row>
      <xdr:rowOff>47471</xdr:rowOff>
    </xdr:from>
    <xdr:ext cx="514858" cy="180627"/>
    <xdr:sp macro="_xll.PtreeEvent_ObjectClick" textlink="">
      <xdr:nvSpPr>
        <xdr:cNvPr id="2440" name="PTObj_DBranchName_1_607">
          <a:extLst>
            <a:ext uri="{FF2B5EF4-FFF2-40B4-BE49-F238E27FC236}">
              <a16:creationId xmlns:a16="http://schemas.microsoft.com/office/drawing/2014/main" id="{9B89E28A-EEE6-47D9-9775-89177588E5F5}"/>
            </a:ext>
          </a:extLst>
        </xdr:cNvPr>
        <xdr:cNvSpPr txBox="1"/>
      </xdr:nvSpPr>
      <xdr:spPr>
        <a:xfrm>
          <a:off x="17244820" y="2219228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1228</xdr:row>
      <xdr:rowOff>48270</xdr:rowOff>
    </xdr:from>
    <xdr:to>
      <xdr:col>11</xdr:col>
      <xdr:colOff>135382</xdr:colOff>
      <xdr:row>1229</xdr:row>
      <xdr:rowOff>53990</xdr:rowOff>
    </xdr:to>
    <xdr:sp macro="_xll.PtreeEvent_ObjectClick" textlink="">
      <xdr:nvSpPr>
        <xdr:cNvPr id="2441" name="PTObj_DNode_1_608">
          <a:extLst>
            <a:ext uri="{FF2B5EF4-FFF2-40B4-BE49-F238E27FC236}">
              <a16:creationId xmlns:a16="http://schemas.microsoft.com/office/drawing/2014/main" id="{83B4F67D-D41C-486A-A8A1-4C09A0D108CF}"/>
            </a:ext>
          </a:extLst>
        </xdr:cNvPr>
        <xdr:cNvSpPr/>
      </xdr:nvSpPr>
      <xdr:spPr>
        <a:xfrm>
          <a:off x="19819747" y="2222855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1228</xdr:row>
      <xdr:rowOff>51291</xdr:rowOff>
    </xdr:from>
    <xdr:ext cx="514858" cy="180627"/>
    <xdr:sp macro="_xll.PtreeEvent_ObjectClick" textlink="">
      <xdr:nvSpPr>
        <xdr:cNvPr id="2444" name="PTObj_DBranchName_1_608">
          <a:extLst>
            <a:ext uri="{FF2B5EF4-FFF2-40B4-BE49-F238E27FC236}">
              <a16:creationId xmlns:a16="http://schemas.microsoft.com/office/drawing/2014/main" id="{42FC36B6-B3F4-4BB3-A2A6-BC759EDA6E10}"/>
            </a:ext>
          </a:extLst>
        </xdr:cNvPr>
        <xdr:cNvSpPr txBox="1"/>
      </xdr:nvSpPr>
      <xdr:spPr>
        <a:xfrm>
          <a:off x="18666904" y="222288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1230</xdr:row>
      <xdr:rowOff>59688</xdr:rowOff>
    </xdr:from>
    <xdr:to>
      <xdr:col>12</xdr:col>
      <xdr:colOff>131575</xdr:colOff>
      <xdr:row>1231</xdr:row>
      <xdr:rowOff>53973</xdr:rowOff>
    </xdr:to>
    <xdr:sp macro="_xll.PtreeEvent_ObjectClick" textlink="">
      <xdr:nvSpPr>
        <xdr:cNvPr id="2445" name="PTObj_DNode_1_609">
          <a:extLst>
            <a:ext uri="{FF2B5EF4-FFF2-40B4-BE49-F238E27FC236}">
              <a16:creationId xmlns:a16="http://schemas.microsoft.com/office/drawing/2014/main" id="{8A8E5DF8-5081-4829-9C28-7C77015C8A23}"/>
            </a:ext>
          </a:extLst>
        </xdr:cNvPr>
        <xdr:cNvSpPr/>
      </xdr:nvSpPr>
      <xdr:spPr>
        <a:xfrm rot="-5400000">
          <a:off x="21248498" y="2226551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1230</xdr:row>
      <xdr:rowOff>57016</xdr:rowOff>
    </xdr:from>
    <xdr:ext cx="514858" cy="180627"/>
    <xdr:sp macro="_xll.PtreeEvent_ObjectClick" textlink="">
      <xdr:nvSpPr>
        <xdr:cNvPr id="2448" name="PTObj_DBranchName_1_609">
          <a:extLst>
            <a:ext uri="{FF2B5EF4-FFF2-40B4-BE49-F238E27FC236}">
              <a16:creationId xmlns:a16="http://schemas.microsoft.com/office/drawing/2014/main" id="{F4131D18-6233-4A59-9269-4F1044AE2A36}"/>
            </a:ext>
          </a:extLst>
        </xdr:cNvPr>
        <xdr:cNvSpPr txBox="1"/>
      </xdr:nvSpPr>
      <xdr:spPr>
        <a:xfrm>
          <a:off x="20094701" y="2226562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1242</xdr:row>
      <xdr:rowOff>74935</xdr:rowOff>
    </xdr:from>
    <xdr:to>
      <xdr:col>8</xdr:col>
      <xdr:colOff>154432</xdr:colOff>
      <xdr:row>1243</xdr:row>
      <xdr:rowOff>76845</xdr:rowOff>
    </xdr:to>
    <xdr:sp macro="_xll.PtreeEvent_ObjectClick" textlink="">
      <xdr:nvSpPr>
        <xdr:cNvPr id="2449" name="PTObj_DNode_1_615">
          <a:extLst>
            <a:ext uri="{FF2B5EF4-FFF2-40B4-BE49-F238E27FC236}">
              <a16:creationId xmlns:a16="http://schemas.microsoft.com/office/drawing/2014/main" id="{04A5A351-0C4D-47F8-8C79-21CE9F3D63AF}"/>
            </a:ext>
          </a:extLst>
        </xdr:cNvPr>
        <xdr:cNvSpPr/>
      </xdr:nvSpPr>
      <xdr:spPr>
        <a:xfrm>
          <a:off x="15544927" y="22484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1242</xdr:row>
      <xdr:rowOff>76051</xdr:rowOff>
    </xdr:from>
    <xdr:ext cx="568425" cy="180627"/>
    <xdr:sp macro="_xll.PtreeEvent_ObjectClick" textlink="">
      <xdr:nvSpPr>
        <xdr:cNvPr id="2452" name="PTObj_DBranchName_1_615">
          <a:extLst>
            <a:ext uri="{FF2B5EF4-FFF2-40B4-BE49-F238E27FC236}">
              <a16:creationId xmlns:a16="http://schemas.microsoft.com/office/drawing/2014/main" id="{5A58A666-D4F8-4A31-812A-7A7514CB8B21}"/>
            </a:ext>
          </a:extLst>
        </xdr:cNvPr>
        <xdr:cNvSpPr txBox="1"/>
      </xdr:nvSpPr>
      <xdr:spPr>
        <a:xfrm>
          <a:off x="14400657" y="22484700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1234</xdr:row>
      <xdr:rowOff>59680</xdr:rowOff>
    </xdr:from>
    <xdr:to>
      <xdr:col>9</xdr:col>
      <xdr:colOff>150622</xdr:colOff>
      <xdr:row>1235</xdr:row>
      <xdr:rowOff>53970</xdr:rowOff>
    </xdr:to>
    <xdr:sp macro="_xll.PtreeEvent_ObjectClick" textlink="">
      <xdr:nvSpPr>
        <xdr:cNvPr id="2453" name="PTObj_DNode_1_611">
          <a:extLst>
            <a:ext uri="{FF2B5EF4-FFF2-40B4-BE49-F238E27FC236}">
              <a16:creationId xmlns:a16="http://schemas.microsoft.com/office/drawing/2014/main" id="{A79E8804-CF95-4277-A674-F2CC44EBEEB7}"/>
            </a:ext>
          </a:extLst>
        </xdr:cNvPr>
        <xdr:cNvSpPr/>
      </xdr:nvSpPr>
      <xdr:spPr>
        <a:xfrm>
          <a:off x="16969867" y="223382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1234</xdr:row>
      <xdr:rowOff>57011</xdr:rowOff>
    </xdr:from>
    <xdr:ext cx="568424" cy="180627"/>
    <xdr:sp macro="_xll.PtreeEvent_ObjectClick" textlink="">
      <xdr:nvSpPr>
        <xdr:cNvPr id="2456" name="PTObj_DBranchName_1_611">
          <a:extLst>
            <a:ext uri="{FF2B5EF4-FFF2-40B4-BE49-F238E27FC236}">
              <a16:creationId xmlns:a16="http://schemas.microsoft.com/office/drawing/2014/main" id="{7D00F778-A2F4-4B0B-9285-F33B3173EC63}"/>
            </a:ext>
          </a:extLst>
        </xdr:cNvPr>
        <xdr:cNvSpPr txBox="1"/>
      </xdr:nvSpPr>
      <xdr:spPr>
        <a:xfrm>
          <a:off x="15820834" y="2233801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1236</xdr:row>
      <xdr:rowOff>63500</xdr:rowOff>
    </xdr:from>
    <xdr:to>
      <xdr:col>10</xdr:col>
      <xdr:colOff>135383</xdr:colOff>
      <xdr:row>1237</xdr:row>
      <xdr:rowOff>55885</xdr:rowOff>
    </xdr:to>
    <xdr:sp macro="_xll.PtreeEvent_ObjectClick" textlink="">
      <xdr:nvSpPr>
        <xdr:cNvPr id="2457" name="PTObj_DNode_1_612">
          <a:extLst>
            <a:ext uri="{FF2B5EF4-FFF2-40B4-BE49-F238E27FC236}">
              <a16:creationId xmlns:a16="http://schemas.microsoft.com/office/drawing/2014/main" id="{6FA62FCF-E118-4BD7-AB34-4F0959E2A441}"/>
            </a:ext>
          </a:extLst>
        </xdr:cNvPr>
        <xdr:cNvSpPr/>
      </xdr:nvSpPr>
      <xdr:spPr>
        <a:xfrm>
          <a:off x="18394807" y="223748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1236</xdr:row>
      <xdr:rowOff>60806</xdr:rowOff>
    </xdr:from>
    <xdr:ext cx="514858" cy="180627"/>
    <xdr:sp macro="_xll.PtreeEvent_ObjectClick" textlink="">
      <xdr:nvSpPr>
        <xdr:cNvPr id="2460" name="PTObj_DBranchName_1_612">
          <a:extLst>
            <a:ext uri="{FF2B5EF4-FFF2-40B4-BE49-F238E27FC236}">
              <a16:creationId xmlns:a16="http://schemas.microsoft.com/office/drawing/2014/main" id="{6B67F99A-A3E5-4D50-ADB2-360CEA7CBB3D}"/>
            </a:ext>
          </a:extLst>
        </xdr:cNvPr>
        <xdr:cNvSpPr txBox="1"/>
      </xdr:nvSpPr>
      <xdr:spPr>
        <a:xfrm>
          <a:off x="17244820" y="2237459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1238</xdr:row>
      <xdr:rowOff>67320</xdr:rowOff>
    </xdr:from>
    <xdr:to>
      <xdr:col>11</xdr:col>
      <xdr:colOff>131572</xdr:colOff>
      <xdr:row>1239</xdr:row>
      <xdr:rowOff>59705</xdr:rowOff>
    </xdr:to>
    <xdr:sp macro="_xll.PtreeEvent_ObjectClick" textlink="">
      <xdr:nvSpPr>
        <xdr:cNvPr id="2461" name="PTObj_DNode_1_613">
          <a:extLst>
            <a:ext uri="{FF2B5EF4-FFF2-40B4-BE49-F238E27FC236}">
              <a16:creationId xmlns:a16="http://schemas.microsoft.com/office/drawing/2014/main" id="{5E1A16A7-18F1-49A9-8529-624CD8CFBF6F}"/>
            </a:ext>
          </a:extLst>
        </xdr:cNvPr>
        <xdr:cNvSpPr/>
      </xdr:nvSpPr>
      <xdr:spPr>
        <a:xfrm>
          <a:off x="19819747" y="2241143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1238</xdr:row>
      <xdr:rowOff>66531</xdr:rowOff>
    </xdr:from>
    <xdr:ext cx="514858" cy="180627"/>
    <xdr:sp macro="_xll.PtreeEvent_ObjectClick" textlink="">
      <xdr:nvSpPr>
        <xdr:cNvPr id="2464" name="PTObj_DBranchName_1_613">
          <a:extLst>
            <a:ext uri="{FF2B5EF4-FFF2-40B4-BE49-F238E27FC236}">
              <a16:creationId xmlns:a16="http://schemas.microsoft.com/office/drawing/2014/main" id="{B86C5126-59F8-4D58-A59A-8E4370B05FAA}"/>
            </a:ext>
          </a:extLst>
        </xdr:cNvPr>
        <xdr:cNvSpPr txBox="1"/>
      </xdr:nvSpPr>
      <xdr:spPr>
        <a:xfrm>
          <a:off x="18666904" y="224113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1240</xdr:row>
      <xdr:rowOff>73975</xdr:rowOff>
    </xdr:from>
    <xdr:to>
      <xdr:col>12</xdr:col>
      <xdr:colOff>136338</xdr:colOff>
      <xdr:row>1241</xdr:row>
      <xdr:rowOff>60640</xdr:rowOff>
    </xdr:to>
    <xdr:sp macro="_xll.PtreeEvent_ObjectClick" textlink="">
      <xdr:nvSpPr>
        <xdr:cNvPr id="2465" name="PTObj_DNode_1_614">
          <a:extLst>
            <a:ext uri="{FF2B5EF4-FFF2-40B4-BE49-F238E27FC236}">
              <a16:creationId xmlns:a16="http://schemas.microsoft.com/office/drawing/2014/main" id="{5952606A-DEAA-4E5B-8C96-3BF29AAE1502}"/>
            </a:ext>
          </a:extLst>
        </xdr:cNvPr>
        <xdr:cNvSpPr/>
      </xdr:nvSpPr>
      <xdr:spPr>
        <a:xfrm rot="-5400000">
          <a:off x="21248498" y="2244782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1240</xdr:row>
      <xdr:rowOff>70351</xdr:rowOff>
    </xdr:from>
    <xdr:ext cx="514858" cy="180627"/>
    <xdr:sp macro="_xll.PtreeEvent_ObjectClick" textlink="">
      <xdr:nvSpPr>
        <xdr:cNvPr id="2468" name="PTObj_DBranchName_1_614">
          <a:extLst>
            <a:ext uri="{FF2B5EF4-FFF2-40B4-BE49-F238E27FC236}">
              <a16:creationId xmlns:a16="http://schemas.microsoft.com/office/drawing/2014/main" id="{6573CED6-A2AD-44AF-A5B9-1ACA93358B28}"/>
            </a:ext>
          </a:extLst>
        </xdr:cNvPr>
        <xdr:cNvSpPr txBox="1"/>
      </xdr:nvSpPr>
      <xdr:spPr>
        <a:xfrm>
          <a:off x="20094701" y="2244793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1244</xdr:row>
      <xdr:rowOff>78730</xdr:rowOff>
    </xdr:from>
    <xdr:to>
      <xdr:col>9</xdr:col>
      <xdr:colOff>150622</xdr:colOff>
      <xdr:row>1245</xdr:row>
      <xdr:rowOff>95880</xdr:rowOff>
    </xdr:to>
    <xdr:sp macro="_xll.PtreeEvent_ObjectClick" textlink="">
      <xdr:nvSpPr>
        <xdr:cNvPr id="2469" name="PTObj_DNode_1_616">
          <a:extLst>
            <a:ext uri="{FF2B5EF4-FFF2-40B4-BE49-F238E27FC236}">
              <a16:creationId xmlns:a16="http://schemas.microsoft.com/office/drawing/2014/main" id="{965CC220-9B68-4812-BD21-DD58941BAFB2}"/>
            </a:ext>
          </a:extLst>
        </xdr:cNvPr>
        <xdr:cNvSpPr/>
      </xdr:nvSpPr>
      <xdr:spPr>
        <a:xfrm>
          <a:off x="16969867" y="225211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1244</xdr:row>
      <xdr:rowOff>79871</xdr:rowOff>
    </xdr:from>
    <xdr:ext cx="568424" cy="180627"/>
    <xdr:sp macro="_xll.PtreeEvent_ObjectClick" textlink="">
      <xdr:nvSpPr>
        <xdr:cNvPr id="2472" name="PTObj_DBranchName_1_616">
          <a:extLst>
            <a:ext uri="{FF2B5EF4-FFF2-40B4-BE49-F238E27FC236}">
              <a16:creationId xmlns:a16="http://schemas.microsoft.com/office/drawing/2014/main" id="{CF510D98-3F8C-479E-9A97-E25C525521F6}"/>
            </a:ext>
          </a:extLst>
        </xdr:cNvPr>
        <xdr:cNvSpPr txBox="1"/>
      </xdr:nvSpPr>
      <xdr:spPr>
        <a:xfrm>
          <a:off x="15820834" y="2252127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1246</xdr:row>
      <xdr:rowOff>82550</xdr:rowOff>
    </xdr:from>
    <xdr:to>
      <xdr:col>10</xdr:col>
      <xdr:colOff>135383</xdr:colOff>
      <xdr:row>1247</xdr:row>
      <xdr:rowOff>92080</xdr:rowOff>
    </xdr:to>
    <xdr:sp macro="_xll.PtreeEvent_ObjectClick" textlink="">
      <xdr:nvSpPr>
        <xdr:cNvPr id="2473" name="PTObj_DNode_1_617">
          <a:extLst>
            <a:ext uri="{FF2B5EF4-FFF2-40B4-BE49-F238E27FC236}">
              <a16:creationId xmlns:a16="http://schemas.microsoft.com/office/drawing/2014/main" id="{C8233E33-F9FA-437E-9170-10894E379701}"/>
            </a:ext>
          </a:extLst>
        </xdr:cNvPr>
        <xdr:cNvSpPr/>
      </xdr:nvSpPr>
      <xdr:spPr>
        <a:xfrm>
          <a:off x="18394807" y="2255774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1246</xdr:row>
      <xdr:rowOff>85571</xdr:rowOff>
    </xdr:from>
    <xdr:ext cx="514858" cy="180627"/>
    <xdr:sp macro="_xll.PtreeEvent_ObjectClick" textlink="">
      <xdr:nvSpPr>
        <xdr:cNvPr id="2476" name="PTObj_DBranchName_1_617">
          <a:extLst>
            <a:ext uri="{FF2B5EF4-FFF2-40B4-BE49-F238E27FC236}">
              <a16:creationId xmlns:a16="http://schemas.microsoft.com/office/drawing/2014/main" id="{9FFDD886-951D-4B98-B52B-7ED772E84924}"/>
            </a:ext>
          </a:extLst>
        </xdr:cNvPr>
        <xdr:cNvSpPr txBox="1"/>
      </xdr:nvSpPr>
      <xdr:spPr>
        <a:xfrm>
          <a:off x="17244820" y="2255804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1248</xdr:row>
      <xdr:rowOff>86370</xdr:rowOff>
    </xdr:from>
    <xdr:to>
      <xdr:col>11</xdr:col>
      <xdr:colOff>131572</xdr:colOff>
      <xdr:row>1249</xdr:row>
      <xdr:rowOff>95900</xdr:rowOff>
    </xdr:to>
    <xdr:sp macro="_xll.PtreeEvent_ObjectClick" textlink="">
      <xdr:nvSpPr>
        <xdr:cNvPr id="2477" name="PTObj_DNode_1_618">
          <a:extLst>
            <a:ext uri="{FF2B5EF4-FFF2-40B4-BE49-F238E27FC236}">
              <a16:creationId xmlns:a16="http://schemas.microsoft.com/office/drawing/2014/main" id="{53B603A1-DBB4-4F91-BEC7-4A885AB3609F}"/>
            </a:ext>
          </a:extLst>
        </xdr:cNvPr>
        <xdr:cNvSpPr/>
      </xdr:nvSpPr>
      <xdr:spPr>
        <a:xfrm>
          <a:off x="19819747" y="2259431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1248</xdr:row>
      <xdr:rowOff>89391</xdr:rowOff>
    </xdr:from>
    <xdr:ext cx="514858" cy="180627"/>
    <xdr:sp macro="_xll.PtreeEvent_ObjectClick" textlink="">
      <xdr:nvSpPr>
        <xdr:cNvPr id="2480" name="PTObj_DBranchName_1_618">
          <a:extLst>
            <a:ext uri="{FF2B5EF4-FFF2-40B4-BE49-F238E27FC236}">
              <a16:creationId xmlns:a16="http://schemas.microsoft.com/office/drawing/2014/main" id="{ED6F60F1-C4FD-44CE-A3D7-3DD6B3A1F2E7}"/>
            </a:ext>
          </a:extLst>
        </xdr:cNvPr>
        <xdr:cNvSpPr txBox="1"/>
      </xdr:nvSpPr>
      <xdr:spPr>
        <a:xfrm>
          <a:off x="18666904" y="225946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1250</xdr:row>
      <xdr:rowOff>97788</xdr:rowOff>
    </xdr:from>
    <xdr:to>
      <xdr:col>12</xdr:col>
      <xdr:colOff>135385</xdr:colOff>
      <xdr:row>1251</xdr:row>
      <xdr:rowOff>95883</xdr:rowOff>
    </xdr:to>
    <xdr:sp macro="_xll.PtreeEvent_ObjectClick" textlink="">
      <xdr:nvSpPr>
        <xdr:cNvPr id="2481" name="PTObj_DNode_1_619">
          <a:extLst>
            <a:ext uri="{FF2B5EF4-FFF2-40B4-BE49-F238E27FC236}">
              <a16:creationId xmlns:a16="http://schemas.microsoft.com/office/drawing/2014/main" id="{D1A9F95A-87E8-49DD-8828-E7ACE8458548}"/>
            </a:ext>
          </a:extLst>
        </xdr:cNvPr>
        <xdr:cNvSpPr/>
      </xdr:nvSpPr>
      <xdr:spPr>
        <a:xfrm rot="-5400000">
          <a:off x="21248498" y="2263127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1250</xdr:row>
      <xdr:rowOff>95116</xdr:rowOff>
    </xdr:from>
    <xdr:ext cx="514858" cy="180627"/>
    <xdr:sp macro="_xll.PtreeEvent_ObjectClick" textlink="">
      <xdr:nvSpPr>
        <xdr:cNvPr id="2484" name="PTObj_DBranchName_1_619">
          <a:extLst>
            <a:ext uri="{FF2B5EF4-FFF2-40B4-BE49-F238E27FC236}">
              <a16:creationId xmlns:a16="http://schemas.microsoft.com/office/drawing/2014/main" id="{AE28530A-D255-474C-9519-CACE79216198}"/>
            </a:ext>
          </a:extLst>
        </xdr:cNvPr>
        <xdr:cNvSpPr txBox="1"/>
      </xdr:nvSpPr>
      <xdr:spPr>
        <a:xfrm>
          <a:off x="20094701" y="2263138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1404113</xdr:colOff>
      <xdr:row>1272</xdr:row>
      <xdr:rowOff>132085</xdr:rowOff>
    </xdr:from>
    <xdr:to>
      <xdr:col>7</xdr:col>
      <xdr:colOff>167768</xdr:colOff>
      <xdr:row>1273</xdr:row>
      <xdr:rowOff>133995</xdr:rowOff>
    </xdr:to>
    <xdr:sp macro="_xll.PtreeEvent_ObjectClick" textlink="">
      <xdr:nvSpPr>
        <xdr:cNvPr id="2485" name="PTObj_DNode_1_630">
          <a:extLst>
            <a:ext uri="{FF2B5EF4-FFF2-40B4-BE49-F238E27FC236}">
              <a16:creationId xmlns:a16="http://schemas.microsoft.com/office/drawing/2014/main" id="{A25C9E28-0A24-4647-94A8-414A88B81853}"/>
            </a:ext>
          </a:extLst>
        </xdr:cNvPr>
        <xdr:cNvSpPr/>
      </xdr:nvSpPr>
      <xdr:spPr>
        <a:xfrm>
          <a:off x="14119988" y="23033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258890</xdr:colOff>
      <xdr:row>1272</xdr:row>
      <xdr:rowOff>137011</xdr:rowOff>
    </xdr:from>
    <xdr:ext cx="566520" cy="180627"/>
    <xdr:sp macro="_xll.PtreeEvent_ObjectClick" textlink="">
      <xdr:nvSpPr>
        <xdr:cNvPr id="2488" name="PTObj_DBranchName_1_630">
          <a:extLst>
            <a:ext uri="{FF2B5EF4-FFF2-40B4-BE49-F238E27FC236}">
              <a16:creationId xmlns:a16="http://schemas.microsoft.com/office/drawing/2014/main" id="{EE75BF21-EE27-42C3-9C92-10CBB680246A}"/>
            </a:ext>
          </a:extLst>
        </xdr:cNvPr>
        <xdr:cNvSpPr txBox="1"/>
      </xdr:nvSpPr>
      <xdr:spPr>
        <a:xfrm>
          <a:off x="12974765" y="230337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1400302</xdr:colOff>
      <xdr:row>1262</xdr:row>
      <xdr:rowOff>113035</xdr:rowOff>
    </xdr:from>
    <xdr:to>
      <xdr:col>8</xdr:col>
      <xdr:colOff>154432</xdr:colOff>
      <xdr:row>1263</xdr:row>
      <xdr:rowOff>114945</xdr:rowOff>
    </xdr:to>
    <xdr:sp macro="_xll.PtreeEvent_ObjectClick" textlink="">
      <xdr:nvSpPr>
        <xdr:cNvPr id="2489" name="PTObj_DNode_1_625">
          <a:extLst>
            <a:ext uri="{FF2B5EF4-FFF2-40B4-BE49-F238E27FC236}">
              <a16:creationId xmlns:a16="http://schemas.microsoft.com/office/drawing/2014/main" id="{DF51F260-FBB9-4A24-887A-0BFD0674BC36}"/>
            </a:ext>
          </a:extLst>
        </xdr:cNvPr>
        <xdr:cNvSpPr/>
      </xdr:nvSpPr>
      <xdr:spPr>
        <a:xfrm>
          <a:off x="15544927" y="228503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254127</xdr:colOff>
      <xdr:row>1262</xdr:row>
      <xdr:rowOff>114151</xdr:rowOff>
    </xdr:from>
    <xdr:ext cx="566519" cy="180627"/>
    <xdr:sp macro="_xll.PtreeEvent_ObjectClick" textlink="">
      <xdr:nvSpPr>
        <xdr:cNvPr id="2492" name="PTObj_DBranchName_1_625">
          <a:extLst>
            <a:ext uri="{FF2B5EF4-FFF2-40B4-BE49-F238E27FC236}">
              <a16:creationId xmlns:a16="http://schemas.microsoft.com/office/drawing/2014/main" id="{3E50812F-F6C1-4139-9590-F681BF3655A6}"/>
            </a:ext>
          </a:extLst>
        </xdr:cNvPr>
        <xdr:cNvSpPr txBox="1"/>
      </xdr:nvSpPr>
      <xdr:spPr>
        <a:xfrm>
          <a:off x="14398752" y="22850460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1396492</xdr:colOff>
      <xdr:row>1254</xdr:row>
      <xdr:rowOff>97780</xdr:rowOff>
    </xdr:from>
    <xdr:to>
      <xdr:col>9</xdr:col>
      <xdr:colOff>150622</xdr:colOff>
      <xdr:row>1255</xdr:row>
      <xdr:rowOff>92070</xdr:rowOff>
    </xdr:to>
    <xdr:sp macro="_xll.PtreeEvent_ObjectClick" textlink="">
      <xdr:nvSpPr>
        <xdr:cNvPr id="2493" name="PTObj_DNode_1_621">
          <a:extLst>
            <a:ext uri="{FF2B5EF4-FFF2-40B4-BE49-F238E27FC236}">
              <a16:creationId xmlns:a16="http://schemas.microsoft.com/office/drawing/2014/main" id="{479C5756-3822-4664-9108-388545D0F790}"/>
            </a:ext>
          </a:extLst>
        </xdr:cNvPr>
        <xdr:cNvSpPr/>
      </xdr:nvSpPr>
      <xdr:spPr>
        <a:xfrm>
          <a:off x="16969867" y="227040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1254</xdr:row>
      <xdr:rowOff>95111</xdr:rowOff>
    </xdr:from>
    <xdr:ext cx="568424" cy="180627"/>
    <xdr:sp macro="_xll.PtreeEvent_ObjectClick" textlink="">
      <xdr:nvSpPr>
        <xdr:cNvPr id="2496" name="PTObj_DBranchName_1_621">
          <a:extLst>
            <a:ext uri="{FF2B5EF4-FFF2-40B4-BE49-F238E27FC236}">
              <a16:creationId xmlns:a16="http://schemas.microsoft.com/office/drawing/2014/main" id="{48B274C0-6CA1-43CB-9DBE-29F2789772AC}"/>
            </a:ext>
          </a:extLst>
        </xdr:cNvPr>
        <xdr:cNvSpPr txBox="1"/>
      </xdr:nvSpPr>
      <xdr:spPr>
        <a:xfrm>
          <a:off x="15820834" y="2270377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1256</xdr:row>
      <xdr:rowOff>101600</xdr:rowOff>
    </xdr:from>
    <xdr:to>
      <xdr:col>10</xdr:col>
      <xdr:colOff>135383</xdr:colOff>
      <xdr:row>1257</xdr:row>
      <xdr:rowOff>93985</xdr:rowOff>
    </xdr:to>
    <xdr:sp macro="_xll.PtreeEvent_ObjectClick" textlink="">
      <xdr:nvSpPr>
        <xdr:cNvPr id="2497" name="PTObj_DNode_1_622">
          <a:extLst>
            <a:ext uri="{FF2B5EF4-FFF2-40B4-BE49-F238E27FC236}">
              <a16:creationId xmlns:a16="http://schemas.microsoft.com/office/drawing/2014/main" id="{C2DDB999-0C94-4927-B036-B358942D5B8C}"/>
            </a:ext>
          </a:extLst>
        </xdr:cNvPr>
        <xdr:cNvSpPr/>
      </xdr:nvSpPr>
      <xdr:spPr>
        <a:xfrm>
          <a:off x="18394807" y="2274062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1256</xdr:row>
      <xdr:rowOff>98906</xdr:rowOff>
    </xdr:from>
    <xdr:ext cx="514858" cy="180627"/>
    <xdr:sp macro="_xll.PtreeEvent_ObjectClick" textlink="">
      <xdr:nvSpPr>
        <xdr:cNvPr id="2500" name="PTObj_DBranchName_1_622">
          <a:extLst>
            <a:ext uri="{FF2B5EF4-FFF2-40B4-BE49-F238E27FC236}">
              <a16:creationId xmlns:a16="http://schemas.microsoft.com/office/drawing/2014/main" id="{6660DBAE-EA7E-4EDB-8387-2C549E9FBD6D}"/>
            </a:ext>
          </a:extLst>
        </xdr:cNvPr>
        <xdr:cNvSpPr txBox="1"/>
      </xdr:nvSpPr>
      <xdr:spPr>
        <a:xfrm>
          <a:off x="17244820" y="2274035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1258</xdr:row>
      <xdr:rowOff>105420</xdr:rowOff>
    </xdr:from>
    <xdr:to>
      <xdr:col>11</xdr:col>
      <xdr:colOff>131572</xdr:colOff>
      <xdr:row>1259</xdr:row>
      <xdr:rowOff>97805</xdr:rowOff>
    </xdr:to>
    <xdr:sp macro="_xll.PtreeEvent_ObjectClick" textlink="">
      <xdr:nvSpPr>
        <xdr:cNvPr id="2501" name="PTObj_DNode_1_623">
          <a:extLst>
            <a:ext uri="{FF2B5EF4-FFF2-40B4-BE49-F238E27FC236}">
              <a16:creationId xmlns:a16="http://schemas.microsoft.com/office/drawing/2014/main" id="{A22F871F-B545-45D6-9B09-35B64821C4C0}"/>
            </a:ext>
          </a:extLst>
        </xdr:cNvPr>
        <xdr:cNvSpPr/>
      </xdr:nvSpPr>
      <xdr:spPr>
        <a:xfrm>
          <a:off x="19819747" y="2277719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1258</xdr:row>
      <xdr:rowOff>104631</xdr:rowOff>
    </xdr:from>
    <xdr:ext cx="514858" cy="180627"/>
    <xdr:sp macro="_xll.PtreeEvent_ObjectClick" textlink="">
      <xdr:nvSpPr>
        <xdr:cNvPr id="2504" name="PTObj_DBranchName_1_623">
          <a:extLst>
            <a:ext uri="{FF2B5EF4-FFF2-40B4-BE49-F238E27FC236}">
              <a16:creationId xmlns:a16="http://schemas.microsoft.com/office/drawing/2014/main" id="{B17AB6A6-79F7-4B5E-B34B-86D6A31370BA}"/>
            </a:ext>
          </a:extLst>
        </xdr:cNvPr>
        <xdr:cNvSpPr txBox="1"/>
      </xdr:nvSpPr>
      <xdr:spPr>
        <a:xfrm>
          <a:off x="18666904" y="227771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1260</xdr:row>
      <xdr:rowOff>112075</xdr:rowOff>
    </xdr:from>
    <xdr:to>
      <xdr:col>12</xdr:col>
      <xdr:colOff>136338</xdr:colOff>
      <xdr:row>1261</xdr:row>
      <xdr:rowOff>98740</xdr:rowOff>
    </xdr:to>
    <xdr:sp macro="_xll.PtreeEvent_ObjectClick" textlink="">
      <xdr:nvSpPr>
        <xdr:cNvPr id="2505" name="PTObj_DNode_1_624">
          <a:extLst>
            <a:ext uri="{FF2B5EF4-FFF2-40B4-BE49-F238E27FC236}">
              <a16:creationId xmlns:a16="http://schemas.microsoft.com/office/drawing/2014/main" id="{9892C614-2931-462D-8404-306AEAB048D0}"/>
            </a:ext>
          </a:extLst>
        </xdr:cNvPr>
        <xdr:cNvSpPr/>
      </xdr:nvSpPr>
      <xdr:spPr>
        <a:xfrm rot="-5400000">
          <a:off x="21248498" y="2281358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1260</xdr:row>
      <xdr:rowOff>108451</xdr:rowOff>
    </xdr:from>
    <xdr:ext cx="514858" cy="180627"/>
    <xdr:sp macro="_xll.PtreeEvent_ObjectClick" textlink="">
      <xdr:nvSpPr>
        <xdr:cNvPr id="2508" name="PTObj_DBranchName_1_624">
          <a:extLst>
            <a:ext uri="{FF2B5EF4-FFF2-40B4-BE49-F238E27FC236}">
              <a16:creationId xmlns:a16="http://schemas.microsoft.com/office/drawing/2014/main" id="{12E9E29E-DF3D-4B54-9B83-7DB6472779C7}"/>
            </a:ext>
          </a:extLst>
        </xdr:cNvPr>
        <xdr:cNvSpPr txBox="1"/>
      </xdr:nvSpPr>
      <xdr:spPr>
        <a:xfrm>
          <a:off x="20094701" y="2281369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1264</xdr:row>
      <xdr:rowOff>116830</xdr:rowOff>
    </xdr:from>
    <xdr:to>
      <xdr:col>9</xdr:col>
      <xdr:colOff>150622</xdr:colOff>
      <xdr:row>1265</xdr:row>
      <xdr:rowOff>133980</xdr:rowOff>
    </xdr:to>
    <xdr:sp macro="_xll.PtreeEvent_ObjectClick" textlink="">
      <xdr:nvSpPr>
        <xdr:cNvPr id="2509" name="PTObj_DNode_1_626">
          <a:extLst>
            <a:ext uri="{FF2B5EF4-FFF2-40B4-BE49-F238E27FC236}">
              <a16:creationId xmlns:a16="http://schemas.microsoft.com/office/drawing/2014/main" id="{5E56C705-397B-427E-B849-68D21C9D3839}"/>
            </a:ext>
          </a:extLst>
        </xdr:cNvPr>
        <xdr:cNvSpPr/>
      </xdr:nvSpPr>
      <xdr:spPr>
        <a:xfrm>
          <a:off x="16969867" y="228869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1264</xdr:row>
      <xdr:rowOff>117971</xdr:rowOff>
    </xdr:from>
    <xdr:ext cx="568424" cy="180627"/>
    <xdr:sp macro="_xll.PtreeEvent_ObjectClick" textlink="">
      <xdr:nvSpPr>
        <xdr:cNvPr id="2512" name="PTObj_DBranchName_1_626">
          <a:extLst>
            <a:ext uri="{FF2B5EF4-FFF2-40B4-BE49-F238E27FC236}">
              <a16:creationId xmlns:a16="http://schemas.microsoft.com/office/drawing/2014/main" id="{CEED9FF5-8C2E-4FA2-B335-44DD4A88F7D6}"/>
            </a:ext>
          </a:extLst>
        </xdr:cNvPr>
        <xdr:cNvSpPr txBox="1"/>
      </xdr:nvSpPr>
      <xdr:spPr>
        <a:xfrm>
          <a:off x="15820834" y="2288703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1266</xdr:row>
      <xdr:rowOff>120650</xdr:rowOff>
    </xdr:from>
    <xdr:to>
      <xdr:col>10</xdr:col>
      <xdr:colOff>135383</xdr:colOff>
      <xdr:row>1267</xdr:row>
      <xdr:rowOff>130180</xdr:rowOff>
    </xdr:to>
    <xdr:sp macro="_xll.PtreeEvent_ObjectClick" textlink="">
      <xdr:nvSpPr>
        <xdr:cNvPr id="2513" name="PTObj_DNode_1_627">
          <a:extLst>
            <a:ext uri="{FF2B5EF4-FFF2-40B4-BE49-F238E27FC236}">
              <a16:creationId xmlns:a16="http://schemas.microsoft.com/office/drawing/2014/main" id="{D89826D8-3A4B-45CD-885D-7AAB25D80948}"/>
            </a:ext>
          </a:extLst>
        </xdr:cNvPr>
        <xdr:cNvSpPr/>
      </xdr:nvSpPr>
      <xdr:spPr>
        <a:xfrm>
          <a:off x="18394807" y="2292350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1266</xdr:row>
      <xdr:rowOff>123671</xdr:rowOff>
    </xdr:from>
    <xdr:ext cx="514858" cy="180627"/>
    <xdr:sp macro="_xll.PtreeEvent_ObjectClick" textlink="">
      <xdr:nvSpPr>
        <xdr:cNvPr id="2516" name="PTObj_DBranchName_1_627">
          <a:extLst>
            <a:ext uri="{FF2B5EF4-FFF2-40B4-BE49-F238E27FC236}">
              <a16:creationId xmlns:a16="http://schemas.microsoft.com/office/drawing/2014/main" id="{5A137E8A-7906-4A7D-B33D-4EC7E4A2BDF5}"/>
            </a:ext>
          </a:extLst>
        </xdr:cNvPr>
        <xdr:cNvSpPr txBox="1"/>
      </xdr:nvSpPr>
      <xdr:spPr>
        <a:xfrm>
          <a:off x="17244820" y="2292380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1268</xdr:row>
      <xdr:rowOff>124470</xdr:rowOff>
    </xdr:from>
    <xdr:to>
      <xdr:col>11</xdr:col>
      <xdr:colOff>131572</xdr:colOff>
      <xdr:row>1269</xdr:row>
      <xdr:rowOff>134000</xdr:rowOff>
    </xdr:to>
    <xdr:sp macro="_xll.PtreeEvent_ObjectClick" textlink="">
      <xdr:nvSpPr>
        <xdr:cNvPr id="2517" name="PTObj_DNode_1_628">
          <a:extLst>
            <a:ext uri="{FF2B5EF4-FFF2-40B4-BE49-F238E27FC236}">
              <a16:creationId xmlns:a16="http://schemas.microsoft.com/office/drawing/2014/main" id="{63F6B2E6-3838-4559-A91B-3DED96650D79}"/>
            </a:ext>
          </a:extLst>
        </xdr:cNvPr>
        <xdr:cNvSpPr/>
      </xdr:nvSpPr>
      <xdr:spPr>
        <a:xfrm>
          <a:off x="19819747" y="2296007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1268</xdr:row>
      <xdr:rowOff>127491</xdr:rowOff>
    </xdr:from>
    <xdr:ext cx="514858" cy="180627"/>
    <xdr:sp macro="_xll.PtreeEvent_ObjectClick" textlink="">
      <xdr:nvSpPr>
        <xdr:cNvPr id="2520" name="PTObj_DBranchName_1_628">
          <a:extLst>
            <a:ext uri="{FF2B5EF4-FFF2-40B4-BE49-F238E27FC236}">
              <a16:creationId xmlns:a16="http://schemas.microsoft.com/office/drawing/2014/main" id="{2FE00505-2236-4BAA-89E3-E1AA228DC5AC}"/>
            </a:ext>
          </a:extLst>
        </xdr:cNvPr>
        <xdr:cNvSpPr txBox="1"/>
      </xdr:nvSpPr>
      <xdr:spPr>
        <a:xfrm>
          <a:off x="18666904" y="229603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1270</xdr:row>
      <xdr:rowOff>135888</xdr:rowOff>
    </xdr:from>
    <xdr:to>
      <xdr:col>12</xdr:col>
      <xdr:colOff>135385</xdr:colOff>
      <xdr:row>1271</xdr:row>
      <xdr:rowOff>133983</xdr:rowOff>
    </xdr:to>
    <xdr:sp macro="_xll.PtreeEvent_ObjectClick" textlink="">
      <xdr:nvSpPr>
        <xdr:cNvPr id="2521" name="PTObj_DNode_1_629">
          <a:extLst>
            <a:ext uri="{FF2B5EF4-FFF2-40B4-BE49-F238E27FC236}">
              <a16:creationId xmlns:a16="http://schemas.microsoft.com/office/drawing/2014/main" id="{2349D72E-E022-4E03-A09D-6F886AD42F9B}"/>
            </a:ext>
          </a:extLst>
        </xdr:cNvPr>
        <xdr:cNvSpPr/>
      </xdr:nvSpPr>
      <xdr:spPr>
        <a:xfrm rot="-5400000">
          <a:off x="21248498" y="2299703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1270</xdr:row>
      <xdr:rowOff>133216</xdr:rowOff>
    </xdr:from>
    <xdr:ext cx="514858" cy="180627"/>
    <xdr:sp macro="_xll.PtreeEvent_ObjectClick" textlink="">
      <xdr:nvSpPr>
        <xdr:cNvPr id="2524" name="PTObj_DBranchName_1_629">
          <a:extLst>
            <a:ext uri="{FF2B5EF4-FFF2-40B4-BE49-F238E27FC236}">
              <a16:creationId xmlns:a16="http://schemas.microsoft.com/office/drawing/2014/main" id="{79DBC55F-5075-421D-925A-41214C11751D}"/>
            </a:ext>
          </a:extLst>
        </xdr:cNvPr>
        <xdr:cNvSpPr txBox="1"/>
      </xdr:nvSpPr>
      <xdr:spPr>
        <a:xfrm>
          <a:off x="20094701" y="2299714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1400302</xdr:colOff>
      <xdr:row>1282</xdr:row>
      <xdr:rowOff>151135</xdr:rowOff>
    </xdr:from>
    <xdr:to>
      <xdr:col>8</xdr:col>
      <xdr:colOff>154432</xdr:colOff>
      <xdr:row>1283</xdr:row>
      <xdr:rowOff>153045</xdr:rowOff>
    </xdr:to>
    <xdr:sp macro="_xll.PtreeEvent_ObjectClick" textlink="">
      <xdr:nvSpPr>
        <xdr:cNvPr id="2525" name="PTObj_DNode_1_635">
          <a:extLst>
            <a:ext uri="{FF2B5EF4-FFF2-40B4-BE49-F238E27FC236}">
              <a16:creationId xmlns:a16="http://schemas.microsoft.com/office/drawing/2014/main" id="{14ED08AD-6768-428F-BE81-B363FB4AD00F}"/>
            </a:ext>
          </a:extLst>
        </xdr:cNvPr>
        <xdr:cNvSpPr/>
      </xdr:nvSpPr>
      <xdr:spPr>
        <a:xfrm>
          <a:off x="15544927" y="232161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256032</xdr:colOff>
      <xdr:row>1282</xdr:row>
      <xdr:rowOff>152251</xdr:rowOff>
    </xdr:from>
    <xdr:ext cx="568425" cy="180627"/>
    <xdr:sp macro="_xll.PtreeEvent_ObjectClick" textlink="">
      <xdr:nvSpPr>
        <xdr:cNvPr id="2528" name="PTObj_DBranchName_1_635">
          <a:extLst>
            <a:ext uri="{FF2B5EF4-FFF2-40B4-BE49-F238E27FC236}">
              <a16:creationId xmlns:a16="http://schemas.microsoft.com/office/drawing/2014/main" id="{8C19BE33-B762-4990-AFCD-B31F03E2936C}"/>
            </a:ext>
          </a:extLst>
        </xdr:cNvPr>
        <xdr:cNvSpPr txBox="1"/>
      </xdr:nvSpPr>
      <xdr:spPr>
        <a:xfrm>
          <a:off x="14400657" y="23216220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1396492</xdr:colOff>
      <xdr:row>1274</xdr:row>
      <xdr:rowOff>135880</xdr:rowOff>
    </xdr:from>
    <xdr:to>
      <xdr:col>9</xdr:col>
      <xdr:colOff>150622</xdr:colOff>
      <xdr:row>1275</xdr:row>
      <xdr:rowOff>133980</xdr:rowOff>
    </xdr:to>
    <xdr:sp macro="_xll.PtreeEvent_ObjectClick" textlink="">
      <xdr:nvSpPr>
        <xdr:cNvPr id="2529" name="PTObj_DNode_1_631">
          <a:extLst>
            <a:ext uri="{FF2B5EF4-FFF2-40B4-BE49-F238E27FC236}">
              <a16:creationId xmlns:a16="http://schemas.microsoft.com/office/drawing/2014/main" id="{AFD87633-D9AF-4C3F-8206-66DB73F779CA}"/>
            </a:ext>
          </a:extLst>
        </xdr:cNvPr>
        <xdr:cNvSpPr/>
      </xdr:nvSpPr>
      <xdr:spPr>
        <a:xfrm>
          <a:off x="16969867" y="230698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1274</xdr:row>
      <xdr:rowOff>133211</xdr:rowOff>
    </xdr:from>
    <xdr:ext cx="568424" cy="180627"/>
    <xdr:sp macro="_xll.PtreeEvent_ObjectClick" textlink="">
      <xdr:nvSpPr>
        <xdr:cNvPr id="2532" name="PTObj_DBranchName_1_631">
          <a:extLst>
            <a:ext uri="{FF2B5EF4-FFF2-40B4-BE49-F238E27FC236}">
              <a16:creationId xmlns:a16="http://schemas.microsoft.com/office/drawing/2014/main" id="{4A038FBA-82CC-41B0-B30E-AD762FB9BAB5}"/>
            </a:ext>
          </a:extLst>
        </xdr:cNvPr>
        <xdr:cNvSpPr txBox="1"/>
      </xdr:nvSpPr>
      <xdr:spPr>
        <a:xfrm>
          <a:off x="15820834" y="23069536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1392682</xdr:colOff>
      <xdr:row>1276</xdr:row>
      <xdr:rowOff>139700</xdr:rowOff>
    </xdr:from>
    <xdr:to>
      <xdr:col>10</xdr:col>
      <xdr:colOff>131573</xdr:colOff>
      <xdr:row>1277</xdr:row>
      <xdr:rowOff>135895</xdr:rowOff>
    </xdr:to>
    <xdr:sp macro="_xll.PtreeEvent_ObjectClick" textlink="">
      <xdr:nvSpPr>
        <xdr:cNvPr id="2533" name="PTObj_DNode_1_632">
          <a:extLst>
            <a:ext uri="{FF2B5EF4-FFF2-40B4-BE49-F238E27FC236}">
              <a16:creationId xmlns:a16="http://schemas.microsoft.com/office/drawing/2014/main" id="{B01AA630-2D46-4B63-8E3D-8EB4011173B1}"/>
            </a:ext>
          </a:extLst>
        </xdr:cNvPr>
        <xdr:cNvSpPr/>
      </xdr:nvSpPr>
      <xdr:spPr>
        <a:xfrm>
          <a:off x="18394807" y="2310638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1276</xdr:row>
      <xdr:rowOff>137006</xdr:rowOff>
    </xdr:from>
    <xdr:ext cx="514858" cy="180627"/>
    <xdr:sp macro="_xll.PtreeEvent_ObjectClick" textlink="">
      <xdr:nvSpPr>
        <xdr:cNvPr id="2536" name="PTObj_DBranchName_1_632">
          <a:extLst>
            <a:ext uri="{FF2B5EF4-FFF2-40B4-BE49-F238E27FC236}">
              <a16:creationId xmlns:a16="http://schemas.microsoft.com/office/drawing/2014/main" id="{A23021CA-7370-42C4-8730-5B213BDD1347}"/>
            </a:ext>
          </a:extLst>
        </xdr:cNvPr>
        <xdr:cNvSpPr txBox="1"/>
      </xdr:nvSpPr>
      <xdr:spPr>
        <a:xfrm>
          <a:off x="17244820" y="2310611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1278</xdr:row>
      <xdr:rowOff>143520</xdr:rowOff>
    </xdr:from>
    <xdr:to>
      <xdr:col>11</xdr:col>
      <xdr:colOff>135382</xdr:colOff>
      <xdr:row>1279</xdr:row>
      <xdr:rowOff>132095</xdr:rowOff>
    </xdr:to>
    <xdr:sp macro="_xll.PtreeEvent_ObjectClick" textlink="">
      <xdr:nvSpPr>
        <xdr:cNvPr id="2537" name="PTObj_DNode_1_633">
          <a:extLst>
            <a:ext uri="{FF2B5EF4-FFF2-40B4-BE49-F238E27FC236}">
              <a16:creationId xmlns:a16="http://schemas.microsoft.com/office/drawing/2014/main" id="{15D23F50-CE8F-404F-94C7-A7B21A5B345D}"/>
            </a:ext>
          </a:extLst>
        </xdr:cNvPr>
        <xdr:cNvSpPr/>
      </xdr:nvSpPr>
      <xdr:spPr>
        <a:xfrm>
          <a:off x="19819747" y="2314295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1278</xdr:row>
      <xdr:rowOff>142731</xdr:rowOff>
    </xdr:from>
    <xdr:ext cx="514858" cy="180627"/>
    <xdr:sp macro="_xll.PtreeEvent_ObjectClick" textlink="">
      <xdr:nvSpPr>
        <xdr:cNvPr id="2540" name="PTObj_DBranchName_1_633">
          <a:extLst>
            <a:ext uri="{FF2B5EF4-FFF2-40B4-BE49-F238E27FC236}">
              <a16:creationId xmlns:a16="http://schemas.microsoft.com/office/drawing/2014/main" id="{D6530259-E49D-4879-A0ED-BE026D0DF368}"/>
            </a:ext>
          </a:extLst>
        </xdr:cNvPr>
        <xdr:cNvSpPr txBox="1"/>
      </xdr:nvSpPr>
      <xdr:spPr>
        <a:xfrm>
          <a:off x="18666904" y="231428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1384108</xdr:colOff>
      <xdr:row>1280</xdr:row>
      <xdr:rowOff>150175</xdr:rowOff>
    </xdr:from>
    <xdr:to>
      <xdr:col>12</xdr:col>
      <xdr:colOff>132528</xdr:colOff>
      <xdr:row>1281</xdr:row>
      <xdr:rowOff>133030</xdr:rowOff>
    </xdr:to>
    <xdr:sp macro="_xll.PtreeEvent_ObjectClick" textlink="">
      <xdr:nvSpPr>
        <xdr:cNvPr id="2541" name="PTObj_DNode_1_634">
          <a:extLst>
            <a:ext uri="{FF2B5EF4-FFF2-40B4-BE49-F238E27FC236}">
              <a16:creationId xmlns:a16="http://schemas.microsoft.com/office/drawing/2014/main" id="{4C6FEEF4-0263-4146-A911-24A999A0B43C}"/>
            </a:ext>
          </a:extLst>
        </xdr:cNvPr>
        <xdr:cNvSpPr/>
      </xdr:nvSpPr>
      <xdr:spPr>
        <a:xfrm rot="-5400000">
          <a:off x="21248498" y="231793410"/>
          <a:ext cx="175260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1280</xdr:row>
      <xdr:rowOff>146551</xdr:rowOff>
    </xdr:from>
    <xdr:ext cx="514858" cy="180627"/>
    <xdr:sp macro="_xll.PtreeEvent_ObjectClick" textlink="">
      <xdr:nvSpPr>
        <xdr:cNvPr id="2544" name="PTObj_DBranchName_1_634">
          <a:extLst>
            <a:ext uri="{FF2B5EF4-FFF2-40B4-BE49-F238E27FC236}">
              <a16:creationId xmlns:a16="http://schemas.microsoft.com/office/drawing/2014/main" id="{9B97FFF7-A726-4F28-A5F7-C4763F734528}"/>
            </a:ext>
          </a:extLst>
        </xdr:cNvPr>
        <xdr:cNvSpPr txBox="1"/>
      </xdr:nvSpPr>
      <xdr:spPr>
        <a:xfrm>
          <a:off x="20094701" y="2317945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1396492</xdr:colOff>
      <xdr:row>1284</xdr:row>
      <xdr:rowOff>154930</xdr:rowOff>
    </xdr:from>
    <xdr:to>
      <xdr:col>9</xdr:col>
      <xdr:colOff>150622</xdr:colOff>
      <xdr:row>1285</xdr:row>
      <xdr:rowOff>168270</xdr:rowOff>
    </xdr:to>
    <xdr:sp macro="_xll.PtreeEvent_ObjectClick" textlink="">
      <xdr:nvSpPr>
        <xdr:cNvPr id="2545" name="PTObj_DNode_1_636">
          <a:extLst>
            <a:ext uri="{FF2B5EF4-FFF2-40B4-BE49-F238E27FC236}">
              <a16:creationId xmlns:a16="http://schemas.microsoft.com/office/drawing/2014/main" id="{65D8AA45-BAED-47EF-ABC1-781D8BB1F64B}"/>
            </a:ext>
          </a:extLst>
        </xdr:cNvPr>
        <xdr:cNvSpPr/>
      </xdr:nvSpPr>
      <xdr:spPr>
        <a:xfrm>
          <a:off x="16969867" y="232526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247459</xdr:colOff>
      <xdr:row>1284</xdr:row>
      <xdr:rowOff>156071</xdr:rowOff>
    </xdr:from>
    <xdr:ext cx="568424" cy="180627"/>
    <xdr:sp macro="_xll.PtreeEvent_ObjectClick" textlink="">
      <xdr:nvSpPr>
        <xdr:cNvPr id="2548" name="PTObj_DBranchName_1_636">
          <a:extLst>
            <a:ext uri="{FF2B5EF4-FFF2-40B4-BE49-F238E27FC236}">
              <a16:creationId xmlns:a16="http://schemas.microsoft.com/office/drawing/2014/main" id="{F7E29853-56B3-41DC-ADE1-1F5B21C33FD3}"/>
            </a:ext>
          </a:extLst>
        </xdr:cNvPr>
        <xdr:cNvSpPr txBox="1"/>
      </xdr:nvSpPr>
      <xdr:spPr>
        <a:xfrm>
          <a:off x="15820834" y="23252797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1392682</xdr:colOff>
      <xdr:row>1286</xdr:row>
      <xdr:rowOff>158750</xdr:rowOff>
    </xdr:from>
    <xdr:to>
      <xdr:col>10</xdr:col>
      <xdr:colOff>131573</xdr:colOff>
      <xdr:row>1287</xdr:row>
      <xdr:rowOff>172090</xdr:rowOff>
    </xdr:to>
    <xdr:sp macro="_xll.PtreeEvent_ObjectClick" textlink="">
      <xdr:nvSpPr>
        <xdr:cNvPr id="2549" name="PTObj_DNode_1_637">
          <a:extLst>
            <a:ext uri="{FF2B5EF4-FFF2-40B4-BE49-F238E27FC236}">
              <a16:creationId xmlns:a16="http://schemas.microsoft.com/office/drawing/2014/main" id="{C4F8D909-F0D8-4AFE-A532-B33968059985}"/>
            </a:ext>
          </a:extLst>
        </xdr:cNvPr>
        <xdr:cNvSpPr/>
      </xdr:nvSpPr>
      <xdr:spPr>
        <a:xfrm>
          <a:off x="18394807" y="23289260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242695</xdr:colOff>
      <xdr:row>1286</xdr:row>
      <xdr:rowOff>161771</xdr:rowOff>
    </xdr:from>
    <xdr:ext cx="514858" cy="180627"/>
    <xdr:sp macro="_xll.PtreeEvent_ObjectClick" textlink="">
      <xdr:nvSpPr>
        <xdr:cNvPr id="2552" name="PTObj_DBranchName_1_637">
          <a:extLst>
            <a:ext uri="{FF2B5EF4-FFF2-40B4-BE49-F238E27FC236}">
              <a16:creationId xmlns:a16="http://schemas.microsoft.com/office/drawing/2014/main" id="{679823D2-4497-46DD-9DE2-E8A898A73402}"/>
            </a:ext>
          </a:extLst>
        </xdr:cNvPr>
        <xdr:cNvSpPr txBox="1"/>
      </xdr:nvSpPr>
      <xdr:spPr>
        <a:xfrm>
          <a:off x="17244820" y="2328956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1388872</xdr:colOff>
      <xdr:row>1288</xdr:row>
      <xdr:rowOff>162570</xdr:rowOff>
    </xdr:from>
    <xdr:to>
      <xdr:col>11</xdr:col>
      <xdr:colOff>135382</xdr:colOff>
      <xdr:row>1289</xdr:row>
      <xdr:rowOff>168290</xdr:rowOff>
    </xdr:to>
    <xdr:sp macro="_xll.PtreeEvent_ObjectClick" textlink="">
      <xdr:nvSpPr>
        <xdr:cNvPr id="2553" name="PTObj_DNode_1_638">
          <a:extLst>
            <a:ext uri="{FF2B5EF4-FFF2-40B4-BE49-F238E27FC236}">
              <a16:creationId xmlns:a16="http://schemas.microsoft.com/office/drawing/2014/main" id="{B1DA72C0-D944-4BDD-97AB-75EE904FBA9F}"/>
            </a:ext>
          </a:extLst>
        </xdr:cNvPr>
        <xdr:cNvSpPr/>
      </xdr:nvSpPr>
      <xdr:spPr>
        <a:xfrm>
          <a:off x="19819747" y="23325837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236029</xdr:colOff>
      <xdr:row>1288</xdr:row>
      <xdr:rowOff>165591</xdr:rowOff>
    </xdr:from>
    <xdr:ext cx="514858" cy="180627"/>
    <xdr:sp macro="_xll.PtreeEvent_ObjectClick" textlink="">
      <xdr:nvSpPr>
        <xdr:cNvPr id="2556" name="PTObj_DBranchName_1_638">
          <a:extLst>
            <a:ext uri="{FF2B5EF4-FFF2-40B4-BE49-F238E27FC236}">
              <a16:creationId xmlns:a16="http://schemas.microsoft.com/office/drawing/2014/main" id="{567B1214-5D3D-412A-B180-4DE0837A1728}"/>
            </a:ext>
          </a:extLst>
        </xdr:cNvPr>
        <xdr:cNvSpPr txBox="1"/>
      </xdr:nvSpPr>
      <xdr:spPr>
        <a:xfrm>
          <a:off x="18666904" y="233261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1385060</xdr:colOff>
      <xdr:row>1290</xdr:row>
      <xdr:rowOff>173988</xdr:rowOff>
    </xdr:from>
    <xdr:to>
      <xdr:col>12</xdr:col>
      <xdr:colOff>131575</xdr:colOff>
      <xdr:row>1291</xdr:row>
      <xdr:rowOff>168273</xdr:rowOff>
    </xdr:to>
    <xdr:sp macro="_xll.PtreeEvent_ObjectClick" textlink="">
      <xdr:nvSpPr>
        <xdr:cNvPr id="2557" name="PTObj_DNode_1_639">
          <a:extLst>
            <a:ext uri="{FF2B5EF4-FFF2-40B4-BE49-F238E27FC236}">
              <a16:creationId xmlns:a16="http://schemas.microsoft.com/office/drawing/2014/main" id="{593C3FBB-45F6-4A11-8FD1-12979204A9E9}"/>
            </a:ext>
          </a:extLst>
        </xdr:cNvPr>
        <xdr:cNvSpPr/>
      </xdr:nvSpPr>
      <xdr:spPr>
        <a:xfrm rot="-5400000">
          <a:off x="21248498" y="233627925"/>
          <a:ext cx="175260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235076</xdr:colOff>
      <xdr:row>1290</xdr:row>
      <xdr:rowOff>171316</xdr:rowOff>
    </xdr:from>
    <xdr:ext cx="514858" cy="180627"/>
    <xdr:sp macro="_xll.PtreeEvent_ObjectClick" textlink="">
      <xdr:nvSpPr>
        <xdr:cNvPr id="2560" name="PTObj_DBranchName_1_639">
          <a:extLst>
            <a:ext uri="{FF2B5EF4-FFF2-40B4-BE49-F238E27FC236}">
              <a16:creationId xmlns:a16="http://schemas.microsoft.com/office/drawing/2014/main" id="{CA0F0759-FB9B-4186-A803-265E555C71B8}"/>
            </a:ext>
          </a:extLst>
        </xdr:cNvPr>
        <xdr:cNvSpPr txBox="1"/>
      </xdr:nvSpPr>
      <xdr:spPr>
        <a:xfrm>
          <a:off x="20094701" y="2336290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</xdr:col>
      <xdr:colOff>1423162</xdr:colOff>
      <xdr:row>1939</xdr:row>
      <xdr:rowOff>122560</xdr:rowOff>
    </xdr:from>
    <xdr:to>
      <xdr:col>2</xdr:col>
      <xdr:colOff>173482</xdr:colOff>
      <xdr:row>1940</xdr:row>
      <xdr:rowOff>133995</xdr:rowOff>
    </xdr:to>
    <xdr:sp macro="_xll.PtreeEvent_ObjectClick" textlink="">
      <xdr:nvSpPr>
        <xdr:cNvPr id="2561" name="PTObj_DNode_1_960">
          <a:extLst>
            <a:ext uri="{FF2B5EF4-FFF2-40B4-BE49-F238E27FC236}">
              <a16:creationId xmlns:a16="http://schemas.microsoft.com/office/drawing/2014/main" id="{46CBD142-38C2-441C-88F3-BB439F4B90C0}"/>
            </a:ext>
          </a:extLst>
        </xdr:cNvPr>
        <xdr:cNvSpPr/>
      </xdr:nvSpPr>
      <xdr:spPr>
        <a:xfrm>
          <a:off x="6995287" y="351033085"/>
          <a:ext cx="182880" cy="18288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1700974</xdr:colOff>
      <xdr:row>1939</xdr:row>
      <xdr:rowOff>125581</xdr:rowOff>
    </xdr:from>
    <xdr:ext cx="568424" cy="180627"/>
    <xdr:sp macro="_xll.PtreeEvent_ObjectClick" textlink="">
      <xdr:nvSpPr>
        <xdr:cNvPr id="2564" name="PTObj_DBranchName_1_960">
          <a:extLst>
            <a:ext uri="{FF2B5EF4-FFF2-40B4-BE49-F238E27FC236}">
              <a16:creationId xmlns:a16="http://schemas.microsoft.com/office/drawing/2014/main" id="{CB179709-E164-48CA-81DE-28DB650BD96D}"/>
            </a:ext>
          </a:extLst>
        </xdr:cNvPr>
        <xdr:cNvSpPr txBox="1"/>
      </xdr:nvSpPr>
      <xdr:spPr>
        <a:xfrm>
          <a:off x="1700974" y="3510361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2</xdr:col>
      <xdr:colOff>1423162</xdr:colOff>
      <xdr:row>1616</xdr:row>
      <xdr:rowOff>55885</xdr:rowOff>
    </xdr:from>
    <xdr:to>
      <xdr:col>3</xdr:col>
      <xdr:colOff>169672</xdr:colOff>
      <xdr:row>1617</xdr:row>
      <xdr:rowOff>57795</xdr:rowOff>
    </xdr:to>
    <xdr:sp macro="_xll.PtreeEvent_ObjectClick" textlink="">
      <xdr:nvSpPr>
        <xdr:cNvPr id="2565" name="PTObj_DNode_1_800">
          <a:extLst>
            <a:ext uri="{FF2B5EF4-FFF2-40B4-BE49-F238E27FC236}">
              <a16:creationId xmlns:a16="http://schemas.microsoft.com/office/drawing/2014/main" id="{28F905AC-8877-4C54-A965-D96789BDA459}"/>
            </a:ext>
          </a:extLst>
        </xdr:cNvPr>
        <xdr:cNvSpPr/>
      </xdr:nvSpPr>
      <xdr:spPr>
        <a:xfrm>
          <a:off x="8519287" y="292511485"/>
          <a:ext cx="182880" cy="18288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269367</xdr:colOff>
      <xdr:row>1616</xdr:row>
      <xdr:rowOff>60811</xdr:rowOff>
    </xdr:from>
    <xdr:ext cx="568424" cy="180627"/>
    <xdr:sp macro="_xll.PtreeEvent_ObjectClick" textlink="">
      <xdr:nvSpPr>
        <xdr:cNvPr id="2568" name="PTObj_DBranchName_1_800">
          <a:extLst>
            <a:ext uri="{FF2B5EF4-FFF2-40B4-BE49-F238E27FC236}">
              <a16:creationId xmlns:a16="http://schemas.microsoft.com/office/drawing/2014/main" id="{8935FD36-F5B7-429E-BA0B-43FF367778BD}"/>
            </a:ext>
          </a:extLst>
        </xdr:cNvPr>
        <xdr:cNvSpPr txBox="1"/>
      </xdr:nvSpPr>
      <xdr:spPr>
        <a:xfrm>
          <a:off x="7365492" y="29251641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3</xdr:col>
      <xdr:colOff>1419352</xdr:colOff>
      <xdr:row>1454</xdr:row>
      <xdr:rowOff>113035</xdr:rowOff>
    </xdr:from>
    <xdr:to>
      <xdr:col>4</xdr:col>
      <xdr:colOff>173482</xdr:colOff>
      <xdr:row>1455</xdr:row>
      <xdr:rowOff>114945</xdr:rowOff>
    </xdr:to>
    <xdr:sp macro="_xll.PtreeEvent_ObjectClick" textlink="">
      <xdr:nvSpPr>
        <xdr:cNvPr id="2569" name="PTObj_DNode_1_720">
          <a:extLst>
            <a:ext uri="{FF2B5EF4-FFF2-40B4-BE49-F238E27FC236}">
              <a16:creationId xmlns:a16="http://schemas.microsoft.com/office/drawing/2014/main" id="{50D75FE1-5D62-4770-8E05-51D0264D8939}"/>
            </a:ext>
          </a:extLst>
        </xdr:cNvPr>
        <xdr:cNvSpPr/>
      </xdr:nvSpPr>
      <xdr:spPr>
        <a:xfrm>
          <a:off x="9944227" y="26325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271272</xdr:colOff>
      <xdr:row>1454</xdr:row>
      <xdr:rowOff>114151</xdr:rowOff>
    </xdr:from>
    <xdr:ext cx="566520" cy="180627"/>
    <xdr:sp macro="_xll.PtreeEvent_ObjectClick" textlink="">
      <xdr:nvSpPr>
        <xdr:cNvPr id="2572" name="PTObj_DBranchName_1_720">
          <a:extLst>
            <a:ext uri="{FF2B5EF4-FFF2-40B4-BE49-F238E27FC236}">
              <a16:creationId xmlns:a16="http://schemas.microsoft.com/office/drawing/2014/main" id="{1B11CAC8-0757-4646-AA1B-EB59B03C8C1B}"/>
            </a:ext>
          </a:extLst>
        </xdr:cNvPr>
        <xdr:cNvSpPr txBox="1"/>
      </xdr:nvSpPr>
      <xdr:spPr>
        <a:xfrm>
          <a:off x="8796147" y="263251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4</xdr:col>
      <xdr:colOff>1415542</xdr:colOff>
      <xdr:row>1373</xdr:row>
      <xdr:rowOff>141610</xdr:rowOff>
    </xdr:from>
    <xdr:to>
      <xdr:col>5</xdr:col>
      <xdr:colOff>169673</xdr:colOff>
      <xdr:row>1374</xdr:row>
      <xdr:rowOff>132090</xdr:rowOff>
    </xdr:to>
    <xdr:sp macro="_xll.PtreeEvent_ObjectClick" textlink="">
      <xdr:nvSpPr>
        <xdr:cNvPr id="2573" name="PTObj_DNode_1_680">
          <a:extLst>
            <a:ext uri="{FF2B5EF4-FFF2-40B4-BE49-F238E27FC236}">
              <a16:creationId xmlns:a16="http://schemas.microsoft.com/office/drawing/2014/main" id="{DE236D05-020F-473E-B49F-F3C27E4EA5E3}"/>
            </a:ext>
          </a:extLst>
        </xdr:cNvPr>
        <xdr:cNvSpPr/>
      </xdr:nvSpPr>
      <xdr:spPr>
        <a:xfrm>
          <a:off x="11369167" y="2486202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268414</xdr:colOff>
      <xdr:row>1373</xdr:row>
      <xdr:rowOff>140821</xdr:rowOff>
    </xdr:from>
    <xdr:ext cx="568425" cy="180627"/>
    <xdr:sp macro="_xll.PtreeEvent_ObjectClick" textlink="">
      <xdr:nvSpPr>
        <xdr:cNvPr id="2576" name="PTObj_DBranchName_1_680">
          <a:extLst>
            <a:ext uri="{FF2B5EF4-FFF2-40B4-BE49-F238E27FC236}">
              <a16:creationId xmlns:a16="http://schemas.microsoft.com/office/drawing/2014/main" id="{EA34C9DC-EC63-4D9E-883C-70F75EA661F5}"/>
            </a:ext>
          </a:extLst>
        </xdr:cNvPr>
        <xdr:cNvSpPr txBox="1"/>
      </xdr:nvSpPr>
      <xdr:spPr>
        <a:xfrm>
          <a:off x="10222039" y="2486194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1411732</xdr:colOff>
      <xdr:row>1333</xdr:row>
      <xdr:rowOff>65410</xdr:rowOff>
    </xdr:from>
    <xdr:to>
      <xdr:col>6</xdr:col>
      <xdr:colOff>169672</xdr:colOff>
      <xdr:row>1334</xdr:row>
      <xdr:rowOff>59700</xdr:rowOff>
    </xdr:to>
    <xdr:sp macro="_xll.PtreeEvent_ObjectClick" textlink="">
      <xdr:nvSpPr>
        <xdr:cNvPr id="2577" name="PTObj_DNode_1_660">
          <a:extLst>
            <a:ext uri="{FF2B5EF4-FFF2-40B4-BE49-F238E27FC236}">
              <a16:creationId xmlns:a16="http://schemas.microsoft.com/office/drawing/2014/main" id="{1E668794-BCCD-4CAE-B92E-43DB8225B5B3}"/>
            </a:ext>
          </a:extLst>
        </xdr:cNvPr>
        <xdr:cNvSpPr/>
      </xdr:nvSpPr>
      <xdr:spPr>
        <a:xfrm>
          <a:off x="12794107" y="24130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1333</xdr:row>
      <xdr:rowOff>64621</xdr:rowOff>
    </xdr:from>
    <xdr:ext cx="566520" cy="180627"/>
    <xdr:sp macro="_xll.PtreeEvent_ObjectClick" textlink="">
      <xdr:nvSpPr>
        <xdr:cNvPr id="2580" name="PTObj_DBranchName_1_660">
          <a:extLst>
            <a:ext uri="{FF2B5EF4-FFF2-40B4-BE49-F238E27FC236}">
              <a16:creationId xmlns:a16="http://schemas.microsoft.com/office/drawing/2014/main" id="{9AC66498-8F67-4EB5-BC65-007B7E50743A}"/>
            </a:ext>
          </a:extLst>
        </xdr:cNvPr>
        <xdr:cNvSpPr txBox="1"/>
      </xdr:nvSpPr>
      <xdr:spPr>
        <a:xfrm>
          <a:off x="11648885" y="241304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1313</xdr:row>
      <xdr:rowOff>27310</xdr:rowOff>
    </xdr:from>
    <xdr:to>
      <xdr:col>7</xdr:col>
      <xdr:colOff>167767</xdr:colOff>
      <xdr:row>1314</xdr:row>
      <xdr:rowOff>17790</xdr:rowOff>
    </xdr:to>
    <xdr:sp macro="_xll.PtreeEvent_ObjectClick" textlink="">
      <xdr:nvSpPr>
        <xdr:cNvPr id="2581" name="PTObj_DNode_1_650">
          <a:extLst>
            <a:ext uri="{FF2B5EF4-FFF2-40B4-BE49-F238E27FC236}">
              <a16:creationId xmlns:a16="http://schemas.microsoft.com/office/drawing/2014/main" id="{1B4F75A6-7CC1-429F-BFB9-52A6151EBD8C}"/>
            </a:ext>
          </a:extLst>
        </xdr:cNvPr>
        <xdr:cNvSpPr/>
      </xdr:nvSpPr>
      <xdr:spPr>
        <a:xfrm>
          <a:off x="14219047" y="237647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1313</xdr:row>
      <xdr:rowOff>26521</xdr:rowOff>
    </xdr:from>
    <xdr:ext cx="568424" cy="180627"/>
    <xdr:sp macro="_xll.PtreeEvent_ObjectClick" textlink="">
      <xdr:nvSpPr>
        <xdr:cNvPr id="2584" name="PTObj_DBranchName_1_650">
          <a:extLst>
            <a:ext uri="{FF2B5EF4-FFF2-40B4-BE49-F238E27FC236}">
              <a16:creationId xmlns:a16="http://schemas.microsoft.com/office/drawing/2014/main" id="{D49FFF97-3499-46DD-BA51-68B27B7E7145}"/>
            </a:ext>
          </a:extLst>
        </xdr:cNvPr>
        <xdr:cNvSpPr txBox="1"/>
      </xdr:nvSpPr>
      <xdr:spPr>
        <a:xfrm>
          <a:off x="13072872" y="23764669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1303</xdr:row>
      <xdr:rowOff>8260</xdr:rowOff>
    </xdr:from>
    <xdr:to>
      <xdr:col>8</xdr:col>
      <xdr:colOff>171578</xdr:colOff>
      <xdr:row>1304</xdr:row>
      <xdr:rowOff>19695</xdr:rowOff>
    </xdr:to>
    <xdr:sp macro="_xll.PtreeEvent_ObjectClick" textlink="">
      <xdr:nvSpPr>
        <xdr:cNvPr id="2585" name="PTObj_DNode_1_645">
          <a:extLst>
            <a:ext uri="{FF2B5EF4-FFF2-40B4-BE49-F238E27FC236}">
              <a16:creationId xmlns:a16="http://schemas.microsoft.com/office/drawing/2014/main" id="{9D040E65-5835-428F-B625-5EFA37BCADA9}"/>
            </a:ext>
          </a:extLst>
        </xdr:cNvPr>
        <xdr:cNvSpPr/>
      </xdr:nvSpPr>
      <xdr:spPr>
        <a:xfrm>
          <a:off x="15643988" y="235818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1303</xdr:row>
      <xdr:rowOff>11281</xdr:rowOff>
    </xdr:from>
    <xdr:ext cx="566520" cy="180627"/>
    <xdr:sp macro="_xll.PtreeEvent_ObjectClick" textlink="">
      <xdr:nvSpPr>
        <xdr:cNvPr id="2588" name="PTObj_DBranchName_1_645">
          <a:extLst>
            <a:ext uri="{FF2B5EF4-FFF2-40B4-BE49-F238E27FC236}">
              <a16:creationId xmlns:a16="http://schemas.microsoft.com/office/drawing/2014/main" id="{D93308D8-0FF0-40BC-A672-FD16AF342C6C}"/>
            </a:ext>
          </a:extLst>
        </xdr:cNvPr>
        <xdr:cNvSpPr txBox="1"/>
      </xdr:nvSpPr>
      <xdr:spPr>
        <a:xfrm>
          <a:off x="14500670" y="2358217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1294</xdr:row>
      <xdr:rowOff>173980</xdr:rowOff>
    </xdr:from>
    <xdr:to>
      <xdr:col>9</xdr:col>
      <xdr:colOff>154432</xdr:colOff>
      <xdr:row>1295</xdr:row>
      <xdr:rowOff>168270</xdr:rowOff>
    </xdr:to>
    <xdr:sp macro="_xll.PtreeEvent_ObjectClick" textlink="">
      <xdr:nvSpPr>
        <xdr:cNvPr id="2589" name="PTObj_DNode_1_641">
          <a:extLst>
            <a:ext uri="{FF2B5EF4-FFF2-40B4-BE49-F238E27FC236}">
              <a16:creationId xmlns:a16="http://schemas.microsoft.com/office/drawing/2014/main" id="{2AC7E1D6-AEAC-436B-A49F-781AFEB8C6A6}"/>
            </a:ext>
          </a:extLst>
        </xdr:cNvPr>
        <xdr:cNvSpPr/>
      </xdr:nvSpPr>
      <xdr:spPr>
        <a:xfrm>
          <a:off x="17068927" y="234355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1294</xdr:row>
      <xdr:rowOff>171311</xdr:rowOff>
    </xdr:from>
    <xdr:ext cx="566519" cy="180627"/>
    <xdr:sp macro="_xll.PtreeEvent_ObjectClick" textlink="">
      <xdr:nvSpPr>
        <xdr:cNvPr id="2592" name="PTObj_DBranchName_1_641">
          <a:extLst>
            <a:ext uri="{FF2B5EF4-FFF2-40B4-BE49-F238E27FC236}">
              <a16:creationId xmlns:a16="http://schemas.microsoft.com/office/drawing/2014/main" id="{D647D6F5-B21B-4EC5-A235-C313D0953CBD}"/>
            </a:ext>
          </a:extLst>
        </xdr:cNvPr>
        <xdr:cNvSpPr txBox="1"/>
      </xdr:nvSpPr>
      <xdr:spPr>
        <a:xfrm>
          <a:off x="15922752" y="2343529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1296</xdr:row>
      <xdr:rowOff>177800</xdr:rowOff>
    </xdr:from>
    <xdr:to>
      <xdr:col>10</xdr:col>
      <xdr:colOff>150622</xdr:colOff>
      <xdr:row>1297</xdr:row>
      <xdr:rowOff>170185</xdr:rowOff>
    </xdr:to>
    <xdr:sp macro="_xll.PtreeEvent_ObjectClick" textlink="">
      <xdr:nvSpPr>
        <xdr:cNvPr id="2593" name="PTObj_DNode_1_642">
          <a:extLst>
            <a:ext uri="{FF2B5EF4-FFF2-40B4-BE49-F238E27FC236}">
              <a16:creationId xmlns:a16="http://schemas.microsoft.com/office/drawing/2014/main" id="{4D8AD9C9-3D24-4134-A97A-39AD2CFD85A2}"/>
            </a:ext>
          </a:extLst>
        </xdr:cNvPr>
        <xdr:cNvSpPr/>
      </xdr:nvSpPr>
      <xdr:spPr>
        <a:xfrm>
          <a:off x="18493867" y="234721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1296</xdr:row>
      <xdr:rowOff>175106</xdr:rowOff>
    </xdr:from>
    <xdr:ext cx="514857" cy="180627"/>
    <xdr:sp macro="_xll.PtreeEvent_ObjectClick" textlink="">
      <xdr:nvSpPr>
        <xdr:cNvPr id="2596" name="PTObj_DBranchName_1_642">
          <a:extLst>
            <a:ext uri="{FF2B5EF4-FFF2-40B4-BE49-F238E27FC236}">
              <a16:creationId xmlns:a16="http://schemas.microsoft.com/office/drawing/2014/main" id="{D5708586-3BA6-496E-BA75-CC0D7CDB16C6}"/>
            </a:ext>
          </a:extLst>
        </xdr:cNvPr>
        <xdr:cNvSpPr txBox="1"/>
      </xdr:nvSpPr>
      <xdr:spPr>
        <a:xfrm>
          <a:off x="17344834" y="2347187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1299</xdr:row>
      <xdr:rowOff>645</xdr:rowOff>
    </xdr:from>
    <xdr:to>
      <xdr:col>11</xdr:col>
      <xdr:colOff>131573</xdr:colOff>
      <xdr:row>1300</xdr:row>
      <xdr:rowOff>2555</xdr:rowOff>
    </xdr:to>
    <xdr:sp macro="_xll.PtreeEvent_ObjectClick" textlink="">
      <xdr:nvSpPr>
        <xdr:cNvPr id="2597" name="PTObj_DNode_1_643">
          <a:extLst>
            <a:ext uri="{FF2B5EF4-FFF2-40B4-BE49-F238E27FC236}">
              <a16:creationId xmlns:a16="http://schemas.microsoft.com/office/drawing/2014/main" id="{7334AF0A-0006-4A77-A910-D70C6E50B4D5}"/>
            </a:ext>
          </a:extLst>
        </xdr:cNvPr>
        <xdr:cNvSpPr/>
      </xdr:nvSpPr>
      <xdr:spPr>
        <a:xfrm>
          <a:off x="19918807" y="235087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1299</xdr:row>
      <xdr:rowOff>1761</xdr:rowOff>
    </xdr:from>
    <xdr:ext cx="514858" cy="180627"/>
    <xdr:sp macro="_xll.PtreeEvent_ObjectClick" textlink="">
      <xdr:nvSpPr>
        <xdr:cNvPr id="2600" name="PTObj_DBranchName_1_643">
          <a:extLst>
            <a:ext uri="{FF2B5EF4-FFF2-40B4-BE49-F238E27FC236}">
              <a16:creationId xmlns:a16="http://schemas.microsoft.com/office/drawing/2014/main" id="{E36A66E6-25C9-46AD-9046-8B905E14B8E6}"/>
            </a:ext>
          </a:extLst>
        </xdr:cNvPr>
        <xdr:cNvSpPr txBox="1"/>
      </xdr:nvSpPr>
      <xdr:spPr>
        <a:xfrm>
          <a:off x="18768820" y="235088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1301</xdr:row>
      <xdr:rowOff>9205</xdr:rowOff>
    </xdr:from>
    <xdr:to>
      <xdr:col>12</xdr:col>
      <xdr:colOff>136337</xdr:colOff>
      <xdr:row>1302</xdr:row>
      <xdr:rowOff>16825</xdr:rowOff>
    </xdr:to>
    <xdr:sp macro="_xll.PtreeEvent_ObjectClick" textlink="">
      <xdr:nvSpPr>
        <xdr:cNvPr id="2601" name="PTObj_DNode_1_644">
          <a:extLst>
            <a:ext uri="{FF2B5EF4-FFF2-40B4-BE49-F238E27FC236}">
              <a16:creationId xmlns:a16="http://schemas.microsoft.com/office/drawing/2014/main" id="{9C75EC98-9CB6-4014-9B5B-8F93007F3081}"/>
            </a:ext>
          </a:extLst>
        </xdr:cNvPr>
        <xdr:cNvSpPr/>
      </xdr:nvSpPr>
      <xdr:spPr>
        <a:xfrm rot="-5400000">
          <a:off x="21347557" y="2354548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1301</xdr:row>
      <xdr:rowOff>7486</xdr:rowOff>
    </xdr:from>
    <xdr:ext cx="514858" cy="180627"/>
    <xdr:sp macro="_xll.PtreeEvent_ObjectClick" textlink="">
      <xdr:nvSpPr>
        <xdr:cNvPr id="2604" name="PTObj_DBranchName_1_644">
          <a:extLst>
            <a:ext uri="{FF2B5EF4-FFF2-40B4-BE49-F238E27FC236}">
              <a16:creationId xmlns:a16="http://schemas.microsoft.com/office/drawing/2014/main" id="{73267B4A-5D7F-4E38-A9DC-453D44B1D2DF}"/>
            </a:ext>
          </a:extLst>
        </xdr:cNvPr>
        <xdr:cNvSpPr txBox="1"/>
      </xdr:nvSpPr>
      <xdr:spPr>
        <a:xfrm>
          <a:off x="20188045" y="2354559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1305</xdr:row>
      <xdr:rowOff>12055</xdr:rowOff>
    </xdr:from>
    <xdr:to>
      <xdr:col>9</xdr:col>
      <xdr:colOff>154432</xdr:colOff>
      <xdr:row>1306</xdr:row>
      <xdr:rowOff>21585</xdr:rowOff>
    </xdr:to>
    <xdr:sp macro="_xll.PtreeEvent_ObjectClick" textlink="">
      <xdr:nvSpPr>
        <xdr:cNvPr id="2605" name="PTObj_DNode_1_646">
          <a:extLst>
            <a:ext uri="{FF2B5EF4-FFF2-40B4-BE49-F238E27FC236}">
              <a16:creationId xmlns:a16="http://schemas.microsoft.com/office/drawing/2014/main" id="{0C4402CB-D744-4B8D-8CC4-2E6A74EA4C35}"/>
            </a:ext>
          </a:extLst>
        </xdr:cNvPr>
        <xdr:cNvSpPr/>
      </xdr:nvSpPr>
      <xdr:spPr>
        <a:xfrm>
          <a:off x="17068927" y="236184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1305</xdr:row>
      <xdr:rowOff>17006</xdr:rowOff>
    </xdr:from>
    <xdr:ext cx="566520" cy="180627"/>
    <xdr:sp macro="_xll.PtreeEvent_ObjectClick" textlink="">
      <xdr:nvSpPr>
        <xdr:cNvPr id="2608" name="PTObj_DBranchName_1_646">
          <a:extLst>
            <a:ext uri="{FF2B5EF4-FFF2-40B4-BE49-F238E27FC236}">
              <a16:creationId xmlns:a16="http://schemas.microsoft.com/office/drawing/2014/main" id="{E5D6CAED-21A7-4705-B837-55A6E9EA0C79}"/>
            </a:ext>
          </a:extLst>
        </xdr:cNvPr>
        <xdr:cNvSpPr txBox="1"/>
      </xdr:nvSpPr>
      <xdr:spPr>
        <a:xfrm>
          <a:off x="15926563" y="2361893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1307</xdr:row>
      <xdr:rowOff>15875</xdr:rowOff>
    </xdr:from>
    <xdr:to>
      <xdr:col>10</xdr:col>
      <xdr:colOff>150622</xdr:colOff>
      <xdr:row>1308</xdr:row>
      <xdr:rowOff>21595</xdr:rowOff>
    </xdr:to>
    <xdr:sp macro="_xll.PtreeEvent_ObjectClick" textlink="">
      <xdr:nvSpPr>
        <xdr:cNvPr id="2609" name="PTObj_DNode_1_647">
          <a:extLst>
            <a:ext uri="{FF2B5EF4-FFF2-40B4-BE49-F238E27FC236}">
              <a16:creationId xmlns:a16="http://schemas.microsoft.com/office/drawing/2014/main" id="{89985D3A-0829-46C1-B9F6-15730A1C9E89}"/>
            </a:ext>
          </a:extLst>
        </xdr:cNvPr>
        <xdr:cNvSpPr/>
      </xdr:nvSpPr>
      <xdr:spPr>
        <a:xfrm>
          <a:off x="18493867" y="236550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1307</xdr:row>
      <xdr:rowOff>20801</xdr:rowOff>
    </xdr:from>
    <xdr:ext cx="514857" cy="180627"/>
    <xdr:sp macro="_xll.PtreeEvent_ObjectClick" textlink="">
      <xdr:nvSpPr>
        <xdr:cNvPr id="2612" name="PTObj_DBranchName_1_647">
          <a:extLst>
            <a:ext uri="{FF2B5EF4-FFF2-40B4-BE49-F238E27FC236}">
              <a16:creationId xmlns:a16="http://schemas.microsoft.com/office/drawing/2014/main" id="{056E4559-D94C-4A6D-96EB-3834EDEC5A82}"/>
            </a:ext>
          </a:extLst>
        </xdr:cNvPr>
        <xdr:cNvSpPr txBox="1"/>
      </xdr:nvSpPr>
      <xdr:spPr>
        <a:xfrm>
          <a:off x="17344834" y="2365551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1309</xdr:row>
      <xdr:rowOff>19695</xdr:rowOff>
    </xdr:from>
    <xdr:to>
      <xdr:col>11</xdr:col>
      <xdr:colOff>131573</xdr:colOff>
      <xdr:row>1310</xdr:row>
      <xdr:rowOff>21605</xdr:rowOff>
    </xdr:to>
    <xdr:sp macro="_xll.PtreeEvent_ObjectClick" textlink="">
      <xdr:nvSpPr>
        <xdr:cNvPr id="2613" name="PTObj_DNode_1_648">
          <a:extLst>
            <a:ext uri="{FF2B5EF4-FFF2-40B4-BE49-F238E27FC236}">
              <a16:creationId xmlns:a16="http://schemas.microsoft.com/office/drawing/2014/main" id="{987DCBCE-D962-4573-A1B3-A6FB28D4416A}"/>
            </a:ext>
          </a:extLst>
        </xdr:cNvPr>
        <xdr:cNvSpPr/>
      </xdr:nvSpPr>
      <xdr:spPr>
        <a:xfrm>
          <a:off x="19918807" y="236915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1309</xdr:row>
      <xdr:rowOff>17001</xdr:rowOff>
    </xdr:from>
    <xdr:ext cx="514858" cy="180627"/>
    <xdr:sp macro="_xll.PtreeEvent_ObjectClick" textlink="">
      <xdr:nvSpPr>
        <xdr:cNvPr id="2616" name="PTObj_DBranchName_1_648">
          <a:extLst>
            <a:ext uri="{FF2B5EF4-FFF2-40B4-BE49-F238E27FC236}">
              <a16:creationId xmlns:a16="http://schemas.microsoft.com/office/drawing/2014/main" id="{E9C2591F-8F8B-42B7-AF73-FD1DDE3C04E9}"/>
            </a:ext>
          </a:extLst>
        </xdr:cNvPr>
        <xdr:cNvSpPr txBox="1"/>
      </xdr:nvSpPr>
      <xdr:spPr>
        <a:xfrm>
          <a:off x="18768820" y="236913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1311</xdr:row>
      <xdr:rowOff>22540</xdr:rowOff>
    </xdr:from>
    <xdr:to>
      <xdr:col>12</xdr:col>
      <xdr:colOff>136337</xdr:colOff>
      <xdr:row>1312</xdr:row>
      <xdr:rowOff>22540</xdr:rowOff>
    </xdr:to>
    <xdr:sp macro="_xll.PtreeEvent_ObjectClick" textlink="">
      <xdr:nvSpPr>
        <xdr:cNvPr id="2617" name="PTObj_DNode_1_649">
          <a:extLst>
            <a:ext uri="{FF2B5EF4-FFF2-40B4-BE49-F238E27FC236}">
              <a16:creationId xmlns:a16="http://schemas.microsoft.com/office/drawing/2014/main" id="{3E24079C-5D17-43E5-B701-F16E76A4BAB7}"/>
            </a:ext>
          </a:extLst>
        </xdr:cNvPr>
        <xdr:cNvSpPr/>
      </xdr:nvSpPr>
      <xdr:spPr>
        <a:xfrm rot="-5400000">
          <a:off x="21347557" y="2372779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1311</xdr:row>
      <xdr:rowOff>20821</xdr:rowOff>
    </xdr:from>
    <xdr:ext cx="514858" cy="180627"/>
    <xdr:sp macro="_xll.PtreeEvent_ObjectClick" textlink="">
      <xdr:nvSpPr>
        <xdr:cNvPr id="2620" name="PTObj_DBranchName_1_649">
          <a:extLst>
            <a:ext uri="{FF2B5EF4-FFF2-40B4-BE49-F238E27FC236}">
              <a16:creationId xmlns:a16="http://schemas.microsoft.com/office/drawing/2014/main" id="{1E690ED2-6AD3-486A-A2F7-4EA278201AB5}"/>
            </a:ext>
          </a:extLst>
        </xdr:cNvPr>
        <xdr:cNvSpPr txBox="1"/>
      </xdr:nvSpPr>
      <xdr:spPr>
        <a:xfrm>
          <a:off x="20188045" y="237279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1323</xdr:row>
      <xdr:rowOff>46360</xdr:rowOff>
    </xdr:from>
    <xdr:to>
      <xdr:col>8</xdr:col>
      <xdr:colOff>167768</xdr:colOff>
      <xdr:row>1324</xdr:row>
      <xdr:rowOff>53985</xdr:rowOff>
    </xdr:to>
    <xdr:sp macro="_xll.PtreeEvent_ObjectClick" textlink="">
      <xdr:nvSpPr>
        <xdr:cNvPr id="2621" name="PTObj_DNode_1_655">
          <a:extLst>
            <a:ext uri="{FF2B5EF4-FFF2-40B4-BE49-F238E27FC236}">
              <a16:creationId xmlns:a16="http://schemas.microsoft.com/office/drawing/2014/main" id="{0BBE9D71-244C-4BDD-8D55-ED32AD03A32F}"/>
            </a:ext>
          </a:extLst>
        </xdr:cNvPr>
        <xdr:cNvSpPr/>
      </xdr:nvSpPr>
      <xdr:spPr>
        <a:xfrm>
          <a:off x="15643988" y="239476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1323</xdr:row>
      <xdr:rowOff>49381</xdr:rowOff>
    </xdr:from>
    <xdr:ext cx="566520" cy="180627"/>
    <xdr:sp macro="_xll.PtreeEvent_ObjectClick" textlink="">
      <xdr:nvSpPr>
        <xdr:cNvPr id="2624" name="PTObj_DBranchName_1_655">
          <a:extLst>
            <a:ext uri="{FF2B5EF4-FFF2-40B4-BE49-F238E27FC236}">
              <a16:creationId xmlns:a16="http://schemas.microsoft.com/office/drawing/2014/main" id="{D117A1D6-0079-471D-8B47-AF5A2CC7965D}"/>
            </a:ext>
          </a:extLst>
        </xdr:cNvPr>
        <xdr:cNvSpPr txBox="1"/>
      </xdr:nvSpPr>
      <xdr:spPr>
        <a:xfrm>
          <a:off x="14498765" y="2394793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1315</xdr:row>
      <xdr:rowOff>31105</xdr:rowOff>
    </xdr:from>
    <xdr:to>
      <xdr:col>9</xdr:col>
      <xdr:colOff>154432</xdr:colOff>
      <xdr:row>1316</xdr:row>
      <xdr:rowOff>21585</xdr:rowOff>
    </xdr:to>
    <xdr:sp macro="_xll.PtreeEvent_ObjectClick" textlink="">
      <xdr:nvSpPr>
        <xdr:cNvPr id="2625" name="PTObj_DNode_1_651">
          <a:extLst>
            <a:ext uri="{FF2B5EF4-FFF2-40B4-BE49-F238E27FC236}">
              <a16:creationId xmlns:a16="http://schemas.microsoft.com/office/drawing/2014/main" id="{0A277E40-857B-4620-865B-0592ECEF0982}"/>
            </a:ext>
          </a:extLst>
        </xdr:cNvPr>
        <xdr:cNvSpPr/>
      </xdr:nvSpPr>
      <xdr:spPr>
        <a:xfrm>
          <a:off x="17068927" y="238013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1315</xdr:row>
      <xdr:rowOff>30341</xdr:rowOff>
    </xdr:from>
    <xdr:ext cx="566519" cy="180627"/>
    <xdr:sp macro="_xll.PtreeEvent_ObjectClick" textlink="">
      <xdr:nvSpPr>
        <xdr:cNvPr id="2628" name="PTObj_DBranchName_1_651">
          <a:extLst>
            <a:ext uri="{FF2B5EF4-FFF2-40B4-BE49-F238E27FC236}">
              <a16:creationId xmlns:a16="http://schemas.microsoft.com/office/drawing/2014/main" id="{0A8F1942-C8A3-4338-9CD9-26BF0D87C9DB}"/>
            </a:ext>
          </a:extLst>
        </xdr:cNvPr>
        <xdr:cNvSpPr txBox="1"/>
      </xdr:nvSpPr>
      <xdr:spPr>
        <a:xfrm>
          <a:off x="15922752" y="2380124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1317</xdr:row>
      <xdr:rowOff>34925</xdr:rowOff>
    </xdr:from>
    <xdr:to>
      <xdr:col>10</xdr:col>
      <xdr:colOff>150622</xdr:colOff>
      <xdr:row>1318</xdr:row>
      <xdr:rowOff>36835</xdr:rowOff>
    </xdr:to>
    <xdr:sp macro="_xll.PtreeEvent_ObjectClick" textlink="">
      <xdr:nvSpPr>
        <xdr:cNvPr id="2629" name="PTObj_DNode_1_652">
          <a:extLst>
            <a:ext uri="{FF2B5EF4-FFF2-40B4-BE49-F238E27FC236}">
              <a16:creationId xmlns:a16="http://schemas.microsoft.com/office/drawing/2014/main" id="{0E0F427D-A213-47CE-B0C9-281F56D9BBFD}"/>
            </a:ext>
          </a:extLst>
        </xdr:cNvPr>
        <xdr:cNvSpPr/>
      </xdr:nvSpPr>
      <xdr:spPr>
        <a:xfrm>
          <a:off x="18493867" y="238379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1317</xdr:row>
      <xdr:rowOff>36041</xdr:rowOff>
    </xdr:from>
    <xdr:ext cx="514857" cy="180627"/>
    <xdr:sp macro="_xll.PtreeEvent_ObjectClick" textlink="">
      <xdr:nvSpPr>
        <xdr:cNvPr id="2632" name="PTObj_DBranchName_1_652">
          <a:extLst>
            <a:ext uri="{FF2B5EF4-FFF2-40B4-BE49-F238E27FC236}">
              <a16:creationId xmlns:a16="http://schemas.microsoft.com/office/drawing/2014/main" id="{A1944351-A9F4-433F-A556-0E003DFC9F4E}"/>
            </a:ext>
          </a:extLst>
        </xdr:cNvPr>
        <xdr:cNvSpPr txBox="1"/>
      </xdr:nvSpPr>
      <xdr:spPr>
        <a:xfrm>
          <a:off x="17344834" y="2383801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1319</xdr:row>
      <xdr:rowOff>38745</xdr:rowOff>
    </xdr:from>
    <xdr:to>
      <xdr:col>11</xdr:col>
      <xdr:colOff>135383</xdr:colOff>
      <xdr:row>1320</xdr:row>
      <xdr:rowOff>40655</xdr:rowOff>
    </xdr:to>
    <xdr:sp macro="_xll.PtreeEvent_ObjectClick" textlink="">
      <xdr:nvSpPr>
        <xdr:cNvPr id="2633" name="PTObj_DNode_1_653">
          <a:extLst>
            <a:ext uri="{FF2B5EF4-FFF2-40B4-BE49-F238E27FC236}">
              <a16:creationId xmlns:a16="http://schemas.microsoft.com/office/drawing/2014/main" id="{39BFFFD3-CED5-4BD9-88F0-AEC18695DB3D}"/>
            </a:ext>
          </a:extLst>
        </xdr:cNvPr>
        <xdr:cNvSpPr/>
      </xdr:nvSpPr>
      <xdr:spPr>
        <a:xfrm>
          <a:off x="19918807" y="238744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1319</xdr:row>
      <xdr:rowOff>39861</xdr:rowOff>
    </xdr:from>
    <xdr:ext cx="514858" cy="180627"/>
    <xdr:sp macro="_xll.PtreeEvent_ObjectClick" textlink="">
      <xdr:nvSpPr>
        <xdr:cNvPr id="2636" name="PTObj_DBranchName_1_653">
          <a:extLst>
            <a:ext uri="{FF2B5EF4-FFF2-40B4-BE49-F238E27FC236}">
              <a16:creationId xmlns:a16="http://schemas.microsoft.com/office/drawing/2014/main" id="{503D076E-9E7F-4845-B7A8-22E2E64C5CBE}"/>
            </a:ext>
          </a:extLst>
        </xdr:cNvPr>
        <xdr:cNvSpPr txBox="1"/>
      </xdr:nvSpPr>
      <xdr:spPr>
        <a:xfrm>
          <a:off x="18768820" y="238745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1321</xdr:row>
      <xdr:rowOff>47305</xdr:rowOff>
    </xdr:from>
    <xdr:to>
      <xdr:col>12</xdr:col>
      <xdr:colOff>132527</xdr:colOff>
      <xdr:row>1322</xdr:row>
      <xdr:rowOff>58735</xdr:rowOff>
    </xdr:to>
    <xdr:sp macro="_xll.PtreeEvent_ObjectClick" textlink="">
      <xdr:nvSpPr>
        <xdr:cNvPr id="2637" name="PTObj_DNode_1_654">
          <a:extLst>
            <a:ext uri="{FF2B5EF4-FFF2-40B4-BE49-F238E27FC236}">
              <a16:creationId xmlns:a16="http://schemas.microsoft.com/office/drawing/2014/main" id="{6C7BBF43-61BA-4BF5-A649-B0CB183E61F8}"/>
            </a:ext>
          </a:extLst>
        </xdr:cNvPr>
        <xdr:cNvSpPr/>
      </xdr:nvSpPr>
      <xdr:spPr>
        <a:xfrm rot="-5400000">
          <a:off x="21347557" y="2391124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1321</xdr:row>
      <xdr:rowOff>45586</xdr:rowOff>
    </xdr:from>
    <xdr:ext cx="514858" cy="180627"/>
    <xdr:sp macro="_xll.PtreeEvent_ObjectClick" textlink="">
      <xdr:nvSpPr>
        <xdr:cNvPr id="2640" name="PTObj_DBranchName_1_654">
          <a:extLst>
            <a:ext uri="{FF2B5EF4-FFF2-40B4-BE49-F238E27FC236}">
              <a16:creationId xmlns:a16="http://schemas.microsoft.com/office/drawing/2014/main" id="{BE1B8DBA-7EC0-446D-A530-F2419A9A08AD}"/>
            </a:ext>
          </a:extLst>
        </xdr:cNvPr>
        <xdr:cNvSpPr txBox="1"/>
      </xdr:nvSpPr>
      <xdr:spPr>
        <a:xfrm>
          <a:off x="20188045" y="239113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1325</xdr:row>
      <xdr:rowOff>50155</xdr:rowOff>
    </xdr:from>
    <xdr:to>
      <xdr:col>9</xdr:col>
      <xdr:colOff>154432</xdr:colOff>
      <xdr:row>1326</xdr:row>
      <xdr:rowOff>55875</xdr:rowOff>
    </xdr:to>
    <xdr:sp macro="_xll.PtreeEvent_ObjectClick" textlink="">
      <xdr:nvSpPr>
        <xdr:cNvPr id="2641" name="PTObj_DNode_1_656">
          <a:extLst>
            <a:ext uri="{FF2B5EF4-FFF2-40B4-BE49-F238E27FC236}">
              <a16:creationId xmlns:a16="http://schemas.microsoft.com/office/drawing/2014/main" id="{1B84F7C9-9AF6-4762-872C-D02C9BDE8783}"/>
            </a:ext>
          </a:extLst>
        </xdr:cNvPr>
        <xdr:cNvSpPr/>
      </xdr:nvSpPr>
      <xdr:spPr>
        <a:xfrm>
          <a:off x="17068927" y="239842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1325</xdr:row>
      <xdr:rowOff>55106</xdr:rowOff>
    </xdr:from>
    <xdr:ext cx="566520" cy="180627"/>
    <xdr:sp macro="_xll.PtreeEvent_ObjectClick" textlink="">
      <xdr:nvSpPr>
        <xdr:cNvPr id="2644" name="PTObj_DBranchName_1_656">
          <a:extLst>
            <a:ext uri="{FF2B5EF4-FFF2-40B4-BE49-F238E27FC236}">
              <a16:creationId xmlns:a16="http://schemas.microsoft.com/office/drawing/2014/main" id="{B4AD23B9-AFF7-4034-A4A2-69EFAC7FD564}"/>
            </a:ext>
          </a:extLst>
        </xdr:cNvPr>
        <xdr:cNvSpPr txBox="1"/>
      </xdr:nvSpPr>
      <xdr:spPr>
        <a:xfrm>
          <a:off x="15926563" y="2398469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1327</xdr:row>
      <xdr:rowOff>53975</xdr:rowOff>
    </xdr:from>
    <xdr:to>
      <xdr:col>10</xdr:col>
      <xdr:colOff>150622</xdr:colOff>
      <xdr:row>1328</xdr:row>
      <xdr:rowOff>55885</xdr:rowOff>
    </xdr:to>
    <xdr:sp macro="_xll.PtreeEvent_ObjectClick" textlink="">
      <xdr:nvSpPr>
        <xdr:cNvPr id="2645" name="PTObj_DNode_1_657">
          <a:extLst>
            <a:ext uri="{FF2B5EF4-FFF2-40B4-BE49-F238E27FC236}">
              <a16:creationId xmlns:a16="http://schemas.microsoft.com/office/drawing/2014/main" id="{BAE6E107-ED76-446F-8DB8-97CDB11A8B87}"/>
            </a:ext>
          </a:extLst>
        </xdr:cNvPr>
        <xdr:cNvSpPr/>
      </xdr:nvSpPr>
      <xdr:spPr>
        <a:xfrm>
          <a:off x="18493867" y="240207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1327</xdr:row>
      <xdr:rowOff>58901</xdr:rowOff>
    </xdr:from>
    <xdr:ext cx="514857" cy="180627"/>
    <xdr:sp macro="_xll.PtreeEvent_ObjectClick" textlink="">
      <xdr:nvSpPr>
        <xdr:cNvPr id="2648" name="PTObj_DBranchName_1_657">
          <a:extLst>
            <a:ext uri="{FF2B5EF4-FFF2-40B4-BE49-F238E27FC236}">
              <a16:creationId xmlns:a16="http://schemas.microsoft.com/office/drawing/2014/main" id="{B5E24D46-3B73-400D-AFB8-448F8DF605D9}"/>
            </a:ext>
          </a:extLst>
        </xdr:cNvPr>
        <xdr:cNvSpPr txBox="1"/>
      </xdr:nvSpPr>
      <xdr:spPr>
        <a:xfrm>
          <a:off x="17344834" y="2402127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1329</xdr:row>
      <xdr:rowOff>57795</xdr:rowOff>
    </xdr:from>
    <xdr:to>
      <xdr:col>11</xdr:col>
      <xdr:colOff>135383</xdr:colOff>
      <xdr:row>1330</xdr:row>
      <xdr:rowOff>55895</xdr:rowOff>
    </xdr:to>
    <xdr:sp macro="_xll.PtreeEvent_ObjectClick" textlink="">
      <xdr:nvSpPr>
        <xdr:cNvPr id="2649" name="PTObj_DNode_1_658">
          <a:extLst>
            <a:ext uri="{FF2B5EF4-FFF2-40B4-BE49-F238E27FC236}">
              <a16:creationId xmlns:a16="http://schemas.microsoft.com/office/drawing/2014/main" id="{A821E5A2-0EB6-4CD0-BD20-1D7EC1E85BEB}"/>
            </a:ext>
          </a:extLst>
        </xdr:cNvPr>
        <xdr:cNvSpPr/>
      </xdr:nvSpPr>
      <xdr:spPr>
        <a:xfrm>
          <a:off x="19918807" y="240573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1329</xdr:row>
      <xdr:rowOff>55101</xdr:rowOff>
    </xdr:from>
    <xdr:ext cx="514858" cy="180627"/>
    <xdr:sp macro="_xll.PtreeEvent_ObjectClick" textlink="">
      <xdr:nvSpPr>
        <xdr:cNvPr id="2652" name="PTObj_DBranchName_1_658">
          <a:extLst>
            <a:ext uri="{FF2B5EF4-FFF2-40B4-BE49-F238E27FC236}">
              <a16:creationId xmlns:a16="http://schemas.microsoft.com/office/drawing/2014/main" id="{E6B1C5BC-7012-41AF-8C57-8A9E9F1A3188}"/>
            </a:ext>
          </a:extLst>
        </xdr:cNvPr>
        <xdr:cNvSpPr txBox="1"/>
      </xdr:nvSpPr>
      <xdr:spPr>
        <a:xfrm>
          <a:off x="18768820" y="240570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1331</xdr:row>
      <xdr:rowOff>60640</xdr:rowOff>
    </xdr:from>
    <xdr:to>
      <xdr:col>12</xdr:col>
      <xdr:colOff>132527</xdr:colOff>
      <xdr:row>1332</xdr:row>
      <xdr:rowOff>56830</xdr:rowOff>
    </xdr:to>
    <xdr:sp macro="_xll.PtreeEvent_ObjectClick" textlink="">
      <xdr:nvSpPr>
        <xdr:cNvPr id="2653" name="PTObj_DNode_1_659">
          <a:extLst>
            <a:ext uri="{FF2B5EF4-FFF2-40B4-BE49-F238E27FC236}">
              <a16:creationId xmlns:a16="http://schemas.microsoft.com/office/drawing/2014/main" id="{90914BDE-E1FB-48CA-B918-4B8BCDEB0C63}"/>
            </a:ext>
          </a:extLst>
        </xdr:cNvPr>
        <xdr:cNvSpPr/>
      </xdr:nvSpPr>
      <xdr:spPr>
        <a:xfrm rot="-5400000">
          <a:off x="21347557" y="2409355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1331</xdr:row>
      <xdr:rowOff>58921</xdr:rowOff>
    </xdr:from>
    <xdr:ext cx="514858" cy="180627"/>
    <xdr:sp macro="_xll.PtreeEvent_ObjectClick" textlink="">
      <xdr:nvSpPr>
        <xdr:cNvPr id="2656" name="PTObj_DBranchName_1_659">
          <a:extLst>
            <a:ext uri="{FF2B5EF4-FFF2-40B4-BE49-F238E27FC236}">
              <a16:creationId xmlns:a16="http://schemas.microsoft.com/office/drawing/2014/main" id="{E8CB0DC1-1A62-4FD9-ACF0-D333C25B4622}"/>
            </a:ext>
          </a:extLst>
        </xdr:cNvPr>
        <xdr:cNvSpPr txBox="1"/>
      </xdr:nvSpPr>
      <xdr:spPr>
        <a:xfrm>
          <a:off x="20188045" y="240936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1353</xdr:row>
      <xdr:rowOff>103510</xdr:rowOff>
    </xdr:from>
    <xdr:to>
      <xdr:col>7</xdr:col>
      <xdr:colOff>171577</xdr:colOff>
      <xdr:row>1354</xdr:row>
      <xdr:rowOff>97800</xdr:rowOff>
    </xdr:to>
    <xdr:sp macro="_xll.PtreeEvent_ObjectClick" textlink="">
      <xdr:nvSpPr>
        <xdr:cNvPr id="2657" name="PTObj_DNode_1_670">
          <a:extLst>
            <a:ext uri="{FF2B5EF4-FFF2-40B4-BE49-F238E27FC236}">
              <a16:creationId xmlns:a16="http://schemas.microsoft.com/office/drawing/2014/main" id="{58376C25-B34D-4D3F-A449-7E29B81F8459}"/>
            </a:ext>
          </a:extLst>
        </xdr:cNvPr>
        <xdr:cNvSpPr/>
      </xdr:nvSpPr>
      <xdr:spPr>
        <a:xfrm>
          <a:off x="14219047" y="244962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1353</xdr:row>
      <xdr:rowOff>102721</xdr:rowOff>
    </xdr:from>
    <xdr:ext cx="566520" cy="180627"/>
    <xdr:sp macro="_xll.PtreeEvent_ObjectClick" textlink="">
      <xdr:nvSpPr>
        <xdr:cNvPr id="2660" name="PTObj_DBranchName_1_670">
          <a:extLst>
            <a:ext uri="{FF2B5EF4-FFF2-40B4-BE49-F238E27FC236}">
              <a16:creationId xmlns:a16="http://schemas.microsoft.com/office/drawing/2014/main" id="{1F0397B7-7640-429D-9B5F-A795D80094F0}"/>
            </a:ext>
          </a:extLst>
        </xdr:cNvPr>
        <xdr:cNvSpPr txBox="1"/>
      </xdr:nvSpPr>
      <xdr:spPr>
        <a:xfrm>
          <a:off x="13074777" y="244961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1343</xdr:row>
      <xdr:rowOff>84460</xdr:rowOff>
    </xdr:from>
    <xdr:to>
      <xdr:col>8</xdr:col>
      <xdr:colOff>167768</xdr:colOff>
      <xdr:row>1344</xdr:row>
      <xdr:rowOff>92085</xdr:rowOff>
    </xdr:to>
    <xdr:sp macro="_xll.PtreeEvent_ObjectClick" textlink="">
      <xdr:nvSpPr>
        <xdr:cNvPr id="2661" name="PTObj_DNode_1_665">
          <a:extLst>
            <a:ext uri="{FF2B5EF4-FFF2-40B4-BE49-F238E27FC236}">
              <a16:creationId xmlns:a16="http://schemas.microsoft.com/office/drawing/2014/main" id="{0F14E8FC-E487-40C6-A1C2-5FF21844EDCB}"/>
            </a:ext>
          </a:extLst>
        </xdr:cNvPr>
        <xdr:cNvSpPr/>
      </xdr:nvSpPr>
      <xdr:spPr>
        <a:xfrm>
          <a:off x="15643988" y="24313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1343</xdr:row>
      <xdr:rowOff>87481</xdr:rowOff>
    </xdr:from>
    <xdr:ext cx="566520" cy="180627"/>
    <xdr:sp macro="_xll.PtreeEvent_ObjectClick" textlink="">
      <xdr:nvSpPr>
        <xdr:cNvPr id="2664" name="PTObj_DBranchName_1_665">
          <a:extLst>
            <a:ext uri="{FF2B5EF4-FFF2-40B4-BE49-F238E27FC236}">
              <a16:creationId xmlns:a16="http://schemas.microsoft.com/office/drawing/2014/main" id="{75E213F4-3A71-4CE5-B67B-5E2F56DEE6C2}"/>
            </a:ext>
          </a:extLst>
        </xdr:cNvPr>
        <xdr:cNvSpPr txBox="1"/>
      </xdr:nvSpPr>
      <xdr:spPr>
        <a:xfrm>
          <a:off x="14500670" y="243136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1335</xdr:row>
      <xdr:rowOff>69205</xdr:rowOff>
    </xdr:from>
    <xdr:to>
      <xdr:col>9</xdr:col>
      <xdr:colOff>154432</xdr:colOff>
      <xdr:row>1336</xdr:row>
      <xdr:rowOff>59685</xdr:rowOff>
    </xdr:to>
    <xdr:sp macro="_xll.PtreeEvent_ObjectClick" textlink="">
      <xdr:nvSpPr>
        <xdr:cNvPr id="2665" name="PTObj_DNode_1_661">
          <a:extLst>
            <a:ext uri="{FF2B5EF4-FFF2-40B4-BE49-F238E27FC236}">
              <a16:creationId xmlns:a16="http://schemas.microsoft.com/office/drawing/2014/main" id="{8D4B7E6E-7AAC-4BAA-BB8A-F98E02325C6D}"/>
            </a:ext>
          </a:extLst>
        </xdr:cNvPr>
        <xdr:cNvSpPr/>
      </xdr:nvSpPr>
      <xdr:spPr>
        <a:xfrm>
          <a:off x="17068927" y="241670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1335</xdr:row>
      <xdr:rowOff>68441</xdr:rowOff>
    </xdr:from>
    <xdr:ext cx="566519" cy="180627"/>
    <xdr:sp macro="_xll.PtreeEvent_ObjectClick" textlink="">
      <xdr:nvSpPr>
        <xdr:cNvPr id="2668" name="PTObj_DBranchName_1_661">
          <a:extLst>
            <a:ext uri="{FF2B5EF4-FFF2-40B4-BE49-F238E27FC236}">
              <a16:creationId xmlns:a16="http://schemas.microsoft.com/office/drawing/2014/main" id="{34EABFD1-E00A-4E87-B7D4-86D2FCE72BDE}"/>
            </a:ext>
          </a:extLst>
        </xdr:cNvPr>
        <xdr:cNvSpPr txBox="1"/>
      </xdr:nvSpPr>
      <xdr:spPr>
        <a:xfrm>
          <a:off x="15922752" y="2416700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1337</xdr:row>
      <xdr:rowOff>73025</xdr:rowOff>
    </xdr:from>
    <xdr:to>
      <xdr:col>10</xdr:col>
      <xdr:colOff>150622</xdr:colOff>
      <xdr:row>1338</xdr:row>
      <xdr:rowOff>74935</xdr:rowOff>
    </xdr:to>
    <xdr:sp macro="_xll.PtreeEvent_ObjectClick" textlink="">
      <xdr:nvSpPr>
        <xdr:cNvPr id="2669" name="PTObj_DNode_1_662">
          <a:extLst>
            <a:ext uri="{FF2B5EF4-FFF2-40B4-BE49-F238E27FC236}">
              <a16:creationId xmlns:a16="http://schemas.microsoft.com/office/drawing/2014/main" id="{5B80F938-ED75-4BCA-B55A-EFDB5167E878}"/>
            </a:ext>
          </a:extLst>
        </xdr:cNvPr>
        <xdr:cNvSpPr/>
      </xdr:nvSpPr>
      <xdr:spPr>
        <a:xfrm>
          <a:off x="18493867" y="242036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1337</xdr:row>
      <xdr:rowOff>74141</xdr:rowOff>
    </xdr:from>
    <xdr:ext cx="514857" cy="180627"/>
    <xdr:sp macro="_xll.PtreeEvent_ObjectClick" textlink="">
      <xdr:nvSpPr>
        <xdr:cNvPr id="2672" name="PTObj_DBranchName_1_662">
          <a:extLst>
            <a:ext uri="{FF2B5EF4-FFF2-40B4-BE49-F238E27FC236}">
              <a16:creationId xmlns:a16="http://schemas.microsoft.com/office/drawing/2014/main" id="{33BE9347-FBF4-4041-826D-F83B33D66264}"/>
            </a:ext>
          </a:extLst>
        </xdr:cNvPr>
        <xdr:cNvSpPr txBox="1"/>
      </xdr:nvSpPr>
      <xdr:spPr>
        <a:xfrm>
          <a:off x="17344834" y="2420377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1339</xdr:row>
      <xdr:rowOff>76845</xdr:rowOff>
    </xdr:from>
    <xdr:to>
      <xdr:col>11</xdr:col>
      <xdr:colOff>135383</xdr:colOff>
      <xdr:row>1340</xdr:row>
      <xdr:rowOff>78755</xdr:rowOff>
    </xdr:to>
    <xdr:sp macro="_xll.PtreeEvent_ObjectClick" textlink="">
      <xdr:nvSpPr>
        <xdr:cNvPr id="2673" name="PTObj_DNode_1_663">
          <a:extLst>
            <a:ext uri="{FF2B5EF4-FFF2-40B4-BE49-F238E27FC236}">
              <a16:creationId xmlns:a16="http://schemas.microsoft.com/office/drawing/2014/main" id="{B1AF5F17-CCAA-4327-8B57-ED162D53833C}"/>
            </a:ext>
          </a:extLst>
        </xdr:cNvPr>
        <xdr:cNvSpPr/>
      </xdr:nvSpPr>
      <xdr:spPr>
        <a:xfrm>
          <a:off x="19918807" y="242402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1339</xdr:row>
      <xdr:rowOff>77961</xdr:rowOff>
    </xdr:from>
    <xdr:ext cx="514858" cy="180627"/>
    <xdr:sp macro="_xll.PtreeEvent_ObjectClick" textlink="">
      <xdr:nvSpPr>
        <xdr:cNvPr id="2676" name="PTObj_DBranchName_1_663">
          <a:extLst>
            <a:ext uri="{FF2B5EF4-FFF2-40B4-BE49-F238E27FC236}">
              <a16:creationId xmlns:a16="http://schemas.microsoft.com/office/drawing/2014/main" id="{9189DBE2-0672-4635-A3CA-90C610A99C36}"/>
            </a:ext>
          </a:extLst>
        </xdr:cNvPr>
        <xdr:cNvSpPr txBox="1"/>
      </xdr:nvSpPr>
      <xdr:spPr>
        <a:xfrm>
          <a:off x="18768820" y="242403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1341</xdr:row>
      <xdr:rowOff>85405</xdr:rowOff>
    </xdr:from>
    <xdr:to>
      <xdr:col>12</xdr:col>
      <xdr:colOff>132527</xdr:colOff>
      <xdr:row>1342</xdr:row>
      <xdr:rowOff>96835</xdr:rowOff>
    </xdr:to>
    <xdr:sp macro="_xll.PtreeEvent_ObjectClick" textlink="">
      <xdr:nvSpPr>
        <xdr:cNvPr id="2677" name="PTObj_DNode_1_664">
          <a:extLst>
            <a:ext uri="{FF2B5EF4-FFF2-40B4-BE49-F238E27FC236}">
              <a16:creationId xmlns:a16="http://schemas.microsoft.com/office/drawing/2014/main" id="{31D88FC1-F0BB-4612-BEDC-67DC515F5409}"/>
            </a:ext>
          </a:extLst>
        </xdr:cNvPr>
        <xdr:cNvSpPr/>
      </xdr:nvSpPr>
      <xdr:spPr>
        <a:xfrm rot="-5400000">
          <a:off x="21347557" y="2427700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1341</xdr:row>
      <xdr:rowOff>83686</xdr:rowOff>
    </xdr:from>
    <xdr:ext cx="514858" cy="180627"/>
    <xdr:sp macro="_xll.PtreeEvent_ObjectClick" textlink="">
      <xdr:nvSpPr>
        <xdr:cNvPr id="2680" name="PTObj_DBranchName_1_664">
          <a:extLst>
            <a:ext uri="{FF2B5EF4-FFF2-40B4-BE49-F238E27FC236}">
              <a16:creationId xmlns:a16="http://schemas.microsoft.com/office/drawing/2014/main" id="{FB43D151-61CC-4400-ABE9-5BCDD42C5EEE}"/>
            </a:ext>
          </a:extLst>
        </xdr:cNvPr>
        <xdr:cNvSpPr txBox="1"/>
      </xdr:nvSpPr>
      <xdr:spPr>
        <a:xfrm>
          <a:off x="20188045" y="2427711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1345</xdr:row>
      <xdr:rowOff>88255</xdr:rowOff>
    </xdr:from>
    <xdr:to>
      <xdr:col>9</xdr:col>
      <xdr:colOff>154432</xdr:colOff>
      <xdr:row>1346</xdr:row>
      <xdr:rowOff>93975</xdr:rowOff>
    </xdr:to>
    <xdr:sp macro="_xll.PtreeEvent_ObjectClick" textlink="">
      <xdr:nvSpPr>
        <xdr:cNvPr id="2681" name="PTObj_DNode_1_666">
          <a:extLst>
            <a:ext uri="{FF2B5EF4-FFF2-40B4-BE49-F238E27FC236}">
              <a16:creationId xmlns:a16="http://schemas.microsoft.com/office/drawing/2014/main" id="{717C1F4C-E14A-46DC-8C02-E7F3AA08854A}"/>
            </a:ext>
          </a:extLst>
        </xdr:cNvPr>
        <xdr:cNvSpPr/>
      </xdr:nvSpPr>
      <xdr:spPr>
        <a:xfrm>
          <a:off x="17068927" y="243499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1345</xdr:row>
      <xdr:rowOff>93206</xdr:rowOff>
    </xdr:from>
    <xdr:ext cx="566520" cy="180627"/>
    <xdr:sp macro="_xll.PtreeEvent_ObjectClick" textlink="">
      <xdr:nvSpPr>
        <xdr:cNvPr id="2684" name="PTObj_DBranchName_1_666">
          <a:extLst>
            <a:ext uri="{FF2B5EF4-FFF2-40B4-BE49-F238E27FC236}">
              <a16:creationId xmlns:a16="http://schemas.microsoft.com/office/drawing/2014/main" id="{B5D64D18-B83A-4003-B57A-2756127BCA0C}"/>
            </a:ext>
          </a:extLst>
        </xdr:cNvPr>
        <xdr:cNvSpPr txBox="1"/>
      </xdr:nvSpPr>
      <xdr:spPr>
        <a:xfrm>
          <a:off x="15926563" y="2435045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1347</xdr:row>
      <xdr:rowOff>92075</xdr:rowOff>
    </xdr:from>
    <xdr:to>
      <xdr:col>10</xdr:col>
      <xdr:colOff>150622</xdr:colOff>
      <xdr:row>1348</xdr:row>
      <xdr:rowOff>93985</xdr:rowOff>
    </xdr:to>
    <xdr:sp macro="_xll.PtreeEvent_ObjectClick" textlink="">
      <xdr:nvSpPr>
        <xdr:cNvPr id="2685" name="PTObj_DNode_1_667">
          <a:extLst>
            <a:ext uri="{FF2B5EF4-FFF2-40B4-BE49-F238E27FC236}">
              <a16:creationId xmlns:a16="http://schemas.microsoft.com/office/drawing/2014/main" id="{7358BD39-4ECA-4AFB-BF62-F9049DF950E0}"/>
            </a:ext>
          </a:extLst>
        </xdr:cNvPr>
        <xdr:cNvSpPr/>
      </xdr:nvSpPr>
      <xdr:spPr>
        <a:xfrm>
          <a:off x="18493867" y="243865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1347</xdr:row>
      <xdr:rowOff>97001</xdr:rowOff>
    </xdr:from>
    <xdr:ext cx="514857" cy="180627"/>
    <xdr:sp macro="_xll.PtreeEvent_ObjectClick" textlink="">
      <xdr:nvSpPr>
        <xdr:cNvPr id="2688" name="PTObj_DBranchName_1_667">
          <a:extLst>
            <a:ext uri="{FF2B5EF4-FFF2-40B4-BE49-F238E27FC236}">
              <a16:creationId xmlns:a16="http://schemas.microsoft.com/office/drawing/2014/main" id="{B6457560-FD32-4C20-B611-355A920D4D7B}"/>
            </a:ext>
          </a:extLst>
        </xdr:cNvPr>
        <xdr:cNvSpPr txBox="1"/>
      </xdr:nvSpPr>
      <xdr:spPr>
        <a:xfrm>
          <a:off x="17344834" y="2438703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1349</xdr:row>
      <xdr:rowOff>95895</xdr:rowOff>
    </xdr:from>
    <xdr:to>
      <xdr:col>11</xdr:col>
      <xdr:colOff>135383</xdr:colOff>
      <xdr:row>1350</xdr:row>
      <xdr:rowOff>93995</xdr:rowOff>
    </xdr:to>
    <xdr:sp macro="_xll.PtreeEvent_ObjectClick" textlink="">
      <xdr:nvSpPr>
        <xdr:cNvPr id="2689" name="PTObj_DNode_1_668">
          <a:extLst>
            <a:ext uri="{FF2B5EF4-FFF2-40B4-BE49-F238E27FC236}">
              <a16:creationId xmlns:a16="http://schemas.microsoft.com/office/drawing/2014/main" id="{78AC156E-752B-4B84-8283-720C4B894744}"/>
            </a:ext>
          </a:extLst>
        </xdr:cNvPr>
        <xdr:cNvSpPr/>
      </xdr:nvSpPr>
      <xdr:spPr>
        <a:xfrm>
          <a:off x="19918807" y="244231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1349</xdr:row>
      <xdr:rowOff>93201</xdr:rowOff>
    </xdr:from>
    <xdr:ext cx="514858" cy="180627"/>
    <xdr:sp macro="_xll.PtreeEvent_ObjectClick" textlink="">
      <xdr:nvSpPr>
        <xdr:cNvPr id="2692" name="PTObj_DBranchName_1_668">
          <a:extLst>
            <a:ext uri="{FF2B5EF4-FFF2-40B4-BE49-F238E27FC236}">
              <a16:creationId xmlns:a16="http://schemas.microsoft.com/office/drawing/2014/main" id="{70765DAE-62B2-40B5-9655-DDC3A007A9B2}"/>
            </a:ext>
          </a:extLst>
        </xdr:cNvPr>
        <xdr:cNvSpPr txBox="1"/>
      </xdr:nvSpPr>
      <xdr:spPr>
        <a:xfrm>
          <a:off x="18768820" y="244228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1351</xdr:row>
      <xdr:rowOff>98740</xdr:rowOff>
    </xdr:from>
    <xdr:to>
      <xdr:col>12</xdr:col>
      <xdr:colOff>132527</xdr:colOff>
      <xdr:row>1352</xdr:row>
      <xdr:rowOff>94930</xdr:rowOff>
    </xdr:to>
    <xdr:sp macro="_xll.PtreeEvent_ObjectClick" textlink="">
      <xdr:nvSpPr>
        <xdr:cNvPr id="2693" name="PTObj_DNode_1_669">
          <a:extLst>
            <a:ext uri="{FF2B5EF4-FFF2-40B4-BE49-F238E27FC236}">
              <a16:creationId xmlns:a16="http://schemas.microsoft.com/office/drawing/2014/main" id="{FF3453B0-A6A5-453A-B94D-5C69868C8FE1}"/>
            </a:ext>
          </a:extLst>
        </xdr:cNvPr>
        <xdr:cNvSpPr/>
      </xdr:nvSpPr>
      <xdr:spPr>
        <a:xfrm rot="-5400000">
          <a:off x="21347557" y="2445931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1351</xdr:row>
      <xdr:rowOff>97021</xdr:rowOff>
    </xdr:from>
    <xdr:ext cx="514858" cy="180627"/>
    <xdr:sp macro="_xll.PtreeEvent_ObjectClick" textlink="">
      <xdr:nvSpPr>
        <xdr:cNvPr id="2696" name="PTObj_DBranchName_1_669">
          <a:extLst>
            <a:ext uri="{FF2B5EF4-FFF2-40B4-BE49-F238E27FC236}">
              <a16:creationId xmlns:a16="http://schemas.microsoft.com/office/drawing/2014/main" id="{FD4E5ACE-D971-413B-B28B-121495443823}"/>
            </a:ext>
          </a:extLst>
        </xdr:cNvPr>
        <xdr:cNvSpPr txBox="1"/>
      </xdr:nvSpPr>
      <xdr:spPr>
        <a:xfrm>
          <a:off x="20188045" y="2445942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1363</xdr:row>
      <xdr:rowOff>122560</xdr:rowOff>
    </xdr:from>
    <xdr:to>
      <xdr:col>8</xdr:col>
      <xdr:colOff>171578</xdr:colOff>
      <xdr:row>1364</xdr:row>
      <xdr:rowOff>133995</xdr:rowOff>
    </xdr:to>
    <xdr:sp macro="_xll.PtreeEvent_ObjectClick" textlink="">
      <xdr:nvSpPr>
        <xdr:cNvPr id="2697" name="PTObj_DNode_1_675">
          <a:extLst>
            <a:ext uri="{FF2B5EF4-FFF2-40B4-BE49-F238E27FC236}">
              <a16:creationId xmlns:a16="http://schemas.microsoft.com/office/drawing/2014/main" id="{DD3A8C31-2563-4335-BB8E-C023FC47797C}"/>
            </a:ext>
          </a:extLst>
        </xdr:cNvPr>
        <xdr:cNvSpPr/>
      </xdr:nvSpPr>
      <xdr:spPr>
        <a:xfrm>
          <a:off x="15643988" y="246791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1363</xdr:row>
      <xdr:rowOff>125581</xdr:rowOff>
    </xdr:from>
    <xdr:ext cx="566520" cy="180627"/>
    <xdr:sp macro="_xll.PtreeEvent_ObjectClick" textlink="">
      <xdr:nvSpPr>
        <xdr:cNvPr id="2700" name="PTObj_DBranchName_1_675">
          <a:extLst>
            <a:ext uri="{FF2B5EF4-FFF2-40B4-BE49-F238E27FC236}">
              <a16:creationId xmlns:a16="http://schemas.microsoft.com/office/drawing/2014/main" id="{9B2B6D33-8DB7-49CB-BF87-FEB313BAC2B4}"/>
            </a:ext>
          </a:extLst>
        </xdr:cNvPr>
        <xdr:cNvSpPr txBox="1"/>
      </xdr:nvSpPr>
      <xdr:spPr>
        <a:xfrm>
          <a:off x="14498765" y="246794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1355</xdr:row>
      <xdr:rowOff>107305</xdr:rowOff>
    </xdr:from>
    <xdr:to>
      <xdr:col>9</xdr:col>
      <xdr:colOff>154432</xdr:colOff>
      <xdr:row>1356</xdr:row>
      <xdr:rowOff>93975</xdr:rowOff>
    </xdr:to>
    <xdr:sp macro="_xll.PtreeEvent_ObjectClick" textlink="">
      <xdr:nvSpPr>
        <xdr:cNvPr id="2701" name="PTObj_DNode_1_671">
          <a:extLst>
            <a:ext uri="{FF2B5EF4-FFF2-40B4-BE49-F238E27FC236}">
              <a16:creationId xmlns:a16="http://schemas.microsoft.com/office/drawing/2014/main" id="{89574822-A94E-4736-A549-16F6B8D8EA52}"/>
            </a:ext>
          </a:extLst>
        </xdr:cNvPr>
        <xdr:cNvSpPr/>
      </xdr:nvSpPr>
      <xdr:spPr>
        <a:xfrm>
          <a:off x="17068927" y="245328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1355</xdr:row>
      <xdr:rowOff>106541</xdr:rowOff>
    </xdr:from>
    <xdr:ext cx="566519" cy="180627"/>
    <xdr:sp macro="_xll.PtreeEvent_ObjectClick" textlink="">
      <xdr:nvSpPr>
        <xdr:cNvPr id="2704" name="PTObj_DBranchName_1_671">
          <a:extLst>
            <a:ext uri="{FF2B5EF4-FFF2-40B4-BE49-F238E27FC236}">
              <a16:creationId xmlns:a16="http://schemas.microsoft.com/office/drawing/2014/main" id="{E3FCCBF3-99E6-4184-A191-01D89F54AB24}"/>
            </a:ext>
          </a:extLst>
        </xdr:cNvPr>
        <xdr:cNvSpPr txBox="1"/>
      </xdr:nvSpPr>
      <xdr:spPr>
        <a:xfrm>
          <a:off x="15922752" y="2453276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1357</xdr:row>
      <xdr:rowOff>111125</xdr:rowOff>
    </xdr:from>
    <xdr:to>
      <xdr:col>10</xdr:col>
      <xdr:colOff>150622</xdr:colOff>
      <xdr:row>1358</xdr:row>
      <xdr:rowOff>113035</xdr:rowOff>
    </xdr:to>
    <xdr:sp macro="_xll.PtreeEvent_ObjectClick" textlink="">
      <xdr:nvSpPr>
        <xdr:cNvPr id="2705" name="PTObj_DNode_1_672">
          <a:extLst>
            <a:ext uri="{FF2B5EF4-FFF2-40B4-BE49-F238E27FC236}">
              <a16:creationId xmlns:a16="http://schemas.microsoft.com/office/drawing/2014/main" id="{9DC1B057-5494-42FC-8AFA-10C5E6F9371F}"/>
            </a:ext>
          </a:extLst>
        </xdr:cNvPr>
        <xdr:cNvSpPr/>
      </xdr:nvSpPr>
      <xdr:spPr>
        <a:xfrm>
          <a:off x="18493867" y="245694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1357</xdr:row>
      <xdr:rowOff>112241</xdr:rowOff>
    </xdr:from>
    <xdr:ext cx="514857" cy="180627"/>
    <xdr:sp macro="_xll.PtreeEvent_ObjectClick" textlink="">
      <xdr:nvSpPr>
        <xdr:cNvPr id="2708" name="PTObj_DBranchName_1_672">
          <a:extLst>
            <a:ext uri="{FF2B5EF4-FFF2-40B4-BE49-F238E27FC236}">
              <a16:creationId xmlns:a16="http://schemas.microsoft.com/office/drawing/2014/main" id="{835D953E-EEA3-427C-9226-D570C3B8C642}"/>
            </a:ext>
          </a:extLst>
        </xdr:cNvPr>
        <xdr:cNvSpPr txBox="1"/>
      </xdr:nvSpPr>
      <xdr:spPr>
        <a:xfrm>
          <a:off x="17344834" y="2456953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1359</xdr:row>
      <xdr:rowOff>114945</xdr:rowOff>
    </xdr:from>
    <xdr:to>
      <xdr:col>11</xdr:col>
      <xdr:colOff>131573</xdr:colOff>
      <xdr:row>1360</xdr:row>
      <xdr:rowOff>116855</xdr:rowOff>
    </xdr:to>
    <xdr:sp macro="_xll.PtreeEvent_ObjectClick" textlink="">
      <xdr:nvSpPr>
        <xdr:cNvPr id="2709" name="PTObj_DNode_1_673">
          <a:extLst>
            <a:ext uri="{FF2B5EF4-FFF2-40B4-BE49-F238E27FC236}">
              <a16:creationId xmlns:a16="http://schemas.microsoft.com/office/drawing/2014/main" id="{8ABED2F6-FA90-4D15-B734-D7B0CEA9F61D}"/>
            </a:ext>
          </a:extLst>
        </xdr:cNvPr>
        <xdr:cNvSpPr/>
      </xdr:nvSpPr>
      <xdr:spPr>
        <a:xfrm>
          <a:off x="19918807" y="246059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1359</xdr:row>
      <xdr:rowOff>116061</xdr:rowOff>
    </xdr:from>
    <xdr:ext cx="514858" cy="180627"/>
    <xdr:sp macro="_xll.PtreeEvent_ObjectClick" textlink="">
      <xdr:nvSpPr>
        <xdr:cNvPr id="2712" name="PTObj_DBranchName_1_673">
          <a:extLst>
            <a:ext uri="{FF2B5EF4-FFF2-40B4-BE49-F238E27FC236}">
              <a16:creationId xmlns:a16="http://schemas.microsoft.com/office/drawing/2014/main" id="{F22641C2-D079-423B-934D-062D043D4631}"/>
            </a:ext>
          </a:extLst>
        </xdr:cNvPr>
        <xdr:cNvSpPr txBox="1"/>
      </xdr:nvSpPr>
      <xdr:spPr>
        <a:xfrm>
          <a:off x="18768820" y="246061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1361</xdr:row>
      <xdr:rowOff>123505</xdr:rowOff>
    </xdr:from>
    <xdr:to>
      <xdr:col>12</xdr:col>
      <xdr:colOff>136337</xdr:colOff>
      <xdr:row>1362</xdr:row>
      <xdr:rowOff>131125</xdr:rowOff>
    </xdr:to>
    <xdr:sp macro="_xll.PtreeEvent_ObjectClick" textlink="">
      <xdr:nvSpPr>
        <xdr:cNvPr id="2713" name="PTObj_DNode_1_674">
          <a:extLst>
            <a:ext uri="{FF2B5EF4-FFF2-40B4-BE49-F238E27FC236}">
              <a16:creationId xmlns:a16="http://schemas.microsoft.com/office/drawing/2014/main" id="{ED142300-8CFC-412C-BA8A-6BE88728515E}"/>
            </a:ext>
          </a:extLst>
        </xdr:cNvPr>
        <xdr:cNvSpPr/>
      </xdr:nvSpPr>
      <xdr:spPr>
        <a:xfrm rot="-5400000">
          <a:off x="21347557" y="2464276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1361</xdr:row>
      <xdr:rowOff>121786</xdr:rowOff>
    </xdr:from>
    <xdr:ext cx="514858" cy="180627"/>
    <xdr:sp macro="_xll.PtreeEvent_ObjectClick" textlink="">
      <xdr:nvSpPr>
        <xdr:cNvPr id="2716" name="PTObj_DBranchName_1_674">
          <a:extLst>
            <a:ext uri="{FF2B5EF4-FFF2-40B4-BE49-F238E27FC236}">
              <a16:creationId xmlns:a16="http://schemas.microsoft.com/office/drawing/2014/main" id="{E7AB9141-136A-4F71-BEC9-0A8A323F39E9}"/>
            </a:ext>
          </a:extLst>
        </xdr:cNvPr>
        <xdr:cNvSpPr txBox="1"/>
      </xdr:nvSpPr>
      <xdr:spPr>
        <a:xfrm>
          <a:off x="20188045" y="2464287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1365</xdr:row>
      <xdr:rowOff>126355</xdr:rowOff>
    </xdr:from>
    <xdr:to>
      <xdr:col>9</xdr:col>
      <xdr:colOff>154432</xdr:colOff>
      <xdr:row>1366</xdr:row>
      <xdr:rowOff>135885</xdr:rowOff>
    </xdr:to>
    <xdr:sp macro="_xll.PtreeEvent_ObjectClick" textlink="">
      <xdr:nvSpPr>
        <xdr:cNvPr id="2717" name="PTObj_DNode_1_676">
          <a:extLst>
            <a:ext uri="{FF2B5EF4-FFF2-40B4-BE49-F238E27FC236}">
              <a16:creationId xmlns:a16="http://schemas.microsoft.com/office/drawing/2014/main" id="{AD851486-7228-4D26-8ACA-898069F8E643}"/>
            </a:ext>
          </a:extLst>
        </xdr:cNvPr>
        <xdr:cNvSpPr/>
      </xdr:nvSpPr>
      <xdr:spPr>
        <a:xfrm>
          <a:off x="17068927" y="247157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1365</xdr:row>
      <xdr:rowOff>131306</xdr:rowOff>
    </xdr:from>
    <xdr:ext cx="566520" cy="180627"/>
    <xdr:sp macro="_xll.PtreeEvent_ObjectClick" textlink="">
      <xdr:nvSpPr>
        <xdr:cNvPr id="2720" name="PTObj_DBranchName_1_676">
          <a:extLst>
            <a:ext uri="{FF2B5EF4-FFF2-40B4-BE49-F238E27FC236}">
              <a16:creationId xmlns:a16="http://schemas.microsoft.com/office/drawing/2014/main" id="{DE4EBE20-75CD-4E97-BD09-796D699694E2}"/>
            </a:ext>
          </a:extLst>
        </xdr:cNvPr>
        <xdr:cNvSpPr txBox="1"/>
      </xdr:nvSpPr>
      <xdr:spPr>
        <a:xfrm>
          <a:off x="15926563" y="2471621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1367</xdr:row>
      <xdr:rowOff>130175</xdr:rowOff>
    </xdr:from>
    <xdr:to>
      <xdr:col>10</xdr:col>
      <xdr:colOff>150622</xdr:colOff>
      <xdr:row>1368</xdr:row>
      <xdr:rowOff>135895</xdr:rowOff>
    </xdr:to>
    <xdr:sp macro="_xll.PtreeEvent_ObjectClick" textlink="">
      <xdr:nvSpPr>
        <xdr:cNvPr id="2721" name="PTObj_DNode_1_677">
          <a:extLst>
            <a:ext uri="{FF2B5EF4-FFF2-40B4-BE49-F238E27FC236}">
              <a16:creationId xmlns:a16="http://schemas.microsoft.com/office/drawing/2014/main" id="{58E7D943-4DB6-4EA0-AA67-26A1E552A610}"/>
            </a:ext>
          </a:extLst>
        </xdr:cNvPr>
        <xdr:cNvSpPr/>
      </xdr:nvSpPr>
      <xdr:spPr>
        <a:xfrm>
          <a:off x="18493867" y="247523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1367</xdr:row>
      <xdr:rowOff>135101</xdr:rowOff>
    </xdr:from>
    <xdr:ext cx="514857" cy="180627"/>
    <xdr:sp macro="_xll.PtreeEvent_ObjectClick" textlink="">
      <xdr:nvSpPr>
        <xdr:cNvPr id="2724" name="PTObj_DBranchName_1_677">
          <a:extLst>
            <a:ext uri="{FF2B5EF4-FFF2-40B4-BE49-F238E27FC236}">
              <a16:creationId xmlns:a16="http://schemas.microsoft.com/office/drawing/2014/main" id="{AC9725F1-C483-4B4F-961F-AACB04282DDB}"/>
            </a:ext>
          </a:extLst>
        </xdr:cNvPr>
        <xdr:cNvSpPr txBox="1"/>
      </xdr:nvSpPr>
      <xdr:spPr>
        <a:xfrm>
          <a:off x="17344834" y="2475279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1369</xdr:row>
      <xdr:rowOff>133995</xdr:rowOff>
    </xdr:from>
    <xdr:to>
      <xdr:col>11</xdr:col>
      <xdr:colOff>131573</xdr:colOff>
      <xdr:row>1370</xdr:row>
      <xdr:rowOff>135905</xdr:rowOff>
    </xdr:to>
    <xdr:sp macro="_xll.PtreeEvent_ObjectClick" textlink="">
      <xdr:nvSpPr>
        <xdr:cNvPr id="2725" name="PTObj_DNode_1_678">
          <a:extLst>
            <a:ext uri="{FF2B5EF4-FFF2-40B4-BE49-F238E27FC236}">
              <a16:creationId xmlns:a16="http://schemas.microsoft.com/office/drawing/2014/main" id="{BECEF728-3EF8-4832-8071-FA94B84A5163}"/>
            </a:ext>
          </a:extLst>
        </xdr:cNvPr>
        <xdr:cNvSpPr/>
      </xdr:nvSpPr>
      <xdr:spPr>
        <a:xfrm>
          <a:off x="19918807" y="247888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1369</xdr:row>
      <xdr:rowOff>131301</xdr:rowOff>
    </xdr:from>
    <xdr:ext cx="514858" cy="180627"/>
    <xdr:sp macro="_xll.PtreeEvent_ObjectClick" textlink="">
      <xdr:nvSpPr>
        <xdr:cNvPr id="2728" name="PTObj_DBranchName_1_678">
          <a:extLst>
            <a:ext uri="{FF2B5EF4-FFF2-40B4-BE49-F238E27FC236}">
              <a16:creationId xmlns:a16="http://schemas.microsoft.com/office/drawing/2014/main" id="{797A34F8-3267-449B-8E54-E358467051D1}"/>
            </a:ext>
          </a:extLst>
        </xdr:cNvPr>
        <xdr:cNvSpPr txBox="1"/>
      </xdr:nvSpPr>
      <xdr:spPr>
        <a:xfrm>
          <a:off x="18768820" y="247886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1371</xdr:row>
      <xdr:rowOff>136840</xdr:rowOff>
    </xdr:from>
    <xdr:to>
      <xdr:col>12</xdr:col>
      <xdr:colOff>136337</xdr:colOff>
      <xdr:row>1372</xdr:row>
      <xdr:rowOff>136840</xdr:rowOff>
    </xdr:to>
    <xdr:sp macro="_xll.PtreeEvent_ObjectClick" textlink="">
      <xdr:nvSpPr>
        <xdr:cNvPr id="2729" name="PTObj_DNode_1_679">
          <a:extLst>
            <a:ext uri="{FF2B5EF4-FFF2-40B4-BE49-F238E27FC236}">
              <a16:creationId xmlns:a16="http://schemas.microsoft.com/office/drawing/2014/main" id="{9906C525-E65A-44BC-8651-70F6092C4B30}"/>
            </a:ext>
          </a:extLst>
        </xdr:cNvPr>
        <xdr:cNvSpPr/>
      </xdr:nvSpPr>
      <xdr:spPr>
        <a:xfrm rot="-5400000">
          <a:off x="21347557" y="2482507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1371</xdr:row>
      <xdr:rowOff>135121</xdr:rowOff>
    </xdr:from>
    <xdr:ext cx="514858" cy="180627"/>
    <xdr:sp macro="_xll.PtreeEvent_ObjectClick" textlink="">
      <xdr:nvSpPr>
        <xdr:cNvPr id="2732" name="PTObj_DBranchName_1_679">
          <a:extLst>
            <a:ext uri="{FF2B5EF4-FFF2-40B4-BE49-F238E27FC236}">
              <a16:creationId xmlns:a16="http://schemas.microsoft.com/office/drawing/2014/main" id="{A0FD0DAC-38F0-409F-A74C-6B1052481563}"/>
            </a:ext>
          </a:extLst>
        </xdr:cNvPr>
        <xdr:cNvSpPr txBox="1"/>
      </xdr:nvSpPr>
      <xdr:spPr>
        <a:xfrm>
          <a:off x="20188045" y="2482518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1414</xdr:row>
      <xdr:rowOff>36835</xdr:rowOff>
    </xdr:from>
    <xdr:to>
      <xdr:col>6</xdr:col>
      <xdr:colOff>173482</xdr:colOff>
      <xdr:row>1415</xdr:row>
      <xdr:rowOff>38745</xdr:rowOff>
    </xdr:to>
    <xdr:sp macro="_xll.PtreeEvent_ObjectClick" textlink="">
      <xdr:nvSpPr>
        <xdr:cNvPr id="2733" name="PTObj_DNode_1_700">
          <a:extLst>
            <a:ext uri="{FF2B5EF4-FFF2-40B4-BE49-F238E27FC236}">
              <a16:creationId xmlns:a16="http://schemas.microsoft.com/office/drawing/2014/main" id="{3A7638B8-D477-4545-924F-400EBEFCBE3D}"/>
            </a:ext>
          </a:extLst>
        </xdr:cNvPr>
        <xdr:cNvSpPr/>
      </xdr:nvSpPr>
      <xdr:spPr>
        <a:xfrm>
          <a:off x="12794107" y="25593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1414</xdr:row>
      <xdr:rowOff>37951</xdr:rowOff>
    </xdr:from>
    <xdr:ext cx="566520" cy="180627"/>
    <xdr:sp macro="_xll.PtreeEvent_ObjectClick" textlink="">
      <xdr:nvSpPr>
        <xdr:cNvPr id="2736" name="PTObj_DBranchName_1_700">
          <a:extLst>
            <a:ext uri="{FF2B5EF4-FFF2-40B4-BE49-F238E27FC236}">
              <a16:creationId xmlns:a16="http://schemas.microsoft.com/office/drawing/2014/main" id="{F5CF6569-9B2D-4A1E-BE91-46B42EE48D37}"/>
            </a:ext>
          </a:extLst>
        </xdr:cNvPr>
        <xdr:cNvSpPr txBox="1"/>
      </xdr:nvSpPr>
      <xdr:spPr>
        <a:xfrm>
          <a:off x="11646980" y="2559366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1393</xdr:row>
      <xdr:rowOff>179710</xdr:rowOff>
    </xdr:from>
    <xdr:to>
      <xdr:col>7</xdr:col>
      <xdr:colOff>171577</xdr:colOff>
      <xdr:row>1395</xdr:row>
      <xdr:rowOff>645</xdr:rowOff>
    </xdr:to>
    <xdr:sp macro="_xll.PtreeEvent_ObjectClick" textlink="">
      <xdr:nvSpPr>
        <xdr:cNvPr id="2737" name="PTObj_DNode_1_690">
          <a:extLst>
            <a:ext uri="{FF2B5EF4-FFF2-40B4-BE49-F238E27FC236}">
              <a16:creationId xmlns:a16="http://schemas.microsoft.com/office/drawing/2014/main" id="{3BAEF14F-D4BE-441D-91EE-EE4F8DE4B4EB}"/>
            </a:ext>
          </a:extLst>
        </xdr:cNvPr>
        <xdr:cNvSpPr/>
      </xdr:nvSpPr>
      <xdr:spPr>
        <a:xfrm>
          <a:off x="14219047" y="25227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1393</xdr:row>
      <xdr:rowOff>178921</xdr:rowOff>
    </xdr:from>
    <xdr:ext cx="568424" cy="180627"/>
    <xdr:sp macro="_xll.PtreeEvent_ObjectClick" textlink="">
      <xdr:nvSpPr>
        <xdr:cNvPr id="2740" name="PTObj_DBranchName_1_690">
          <a:extLst>
            <a:ext uri="{FF2B5EF4-FFF2-40B4-BE49-F238E27FC236}">
              <a16:creationId xmlns:a16="http://schemas.microsoft.com/office/drawing/2014/main" id="{3B269E05-AAA9-428B-AEFE-116FEA2C4606}"/>
            </a:ext>
          </a:extLst>
        </xdr:cNvPr>
        <xdr:cNvSpPr txBox="1"/>
      </xdr:nvSpPr>
      <xdr:spPr>
        <a:xfrm>
          <a:off x="13072872" y="25227709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1383</xdr:row>
      <xdr:rowOff>160660</xdr:rowOff>
    </xdr:from>
    <xdr:to>
      <xdr:col>8</xdr:col>
      <xdr:colOff>167768</xdr:colOff>
      <xdr:row>1384</xdr:row>
      <xdr:rowOff>168285</xdr:rowOff>
    </xdr:to>
    <xdr:sp macro="_xll.PtreeEvent_ObjectClick" textlink="">
      <xdr:nvSpPr>
        <xdr:cNvPr id="2741" name="PTObj_DNode_1_685">
          <a:extLst>
            <a:ext uri="{FF2B5EF4-FFF2-40B4-BE49-F238E27FC236}">
              <a16:creationId xmlns:a16="http://schemas.microsoft.com/office/drawing/2014/main" id="{5CB0160A-33E5-4462-B948-C157204067C8}"/>
            </a:ext>
          </a:extLst>
        </xdr:cNvPr>
        <xdr:cNvSpPr/>
      </xdr:nvSpPr>
      <xdr:spPr>
        <a:xfrm>
          <a:off x="15643988" y="250449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1383</xdr:row>
      <xdr:rowOff>163681</xdr:rowOff>
    </xdr:from>
    <xdr:ext cx="566520" cy="180627"/>
    <xdr:sp macro="_xll.PtreeEvent_ObjectClick" textlink="">
      <xdr:nvSpPr>
        <xdr:cNvPr id="2744" name="PTObj_DBranchName_1_685">
          <a:extLst>
            <a:ext uri="{FF2B5EF4-FFF2-40B4-BE49-F238E27FC236}">
              <a16:creationId xmlns:a16="http://schemas.microsoft.com/office/drawing/2014/main" id="{63C15B9B-63BF-42E8-938C-5D9BD6535B14}"/>
            </a:ext>
          </a:extLst>
        </xdr:cNvPr>
        <xdr:cNvSpPr txBox="1"/>
      </xdr:nvSpPr>
      <xdr:spPr>
        <a:xfrm>
          <a:off x="14500670" y="250452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1375</xdr:row>
      <xdr:rowOff>145405</xdr:rowOff>
    </xdr:from>
    <xdr:to>
      <xdr:col>9</xdr:col>
      <xdr:colOff>154432</xdr:colOff>
      <xdr:row>1376</xdr:row>
      <xdr:rowOff>135885</xdr:rowOff>
    </xdr:to>
    <xdr:sp macro="_xll.PtreeEvent_ObjectClick" textlink="">
      <xdr:nvSpPr>
        <xdr:cNvPr id="2745" name="PTObj_DNode_1_681">
          <a:extLst>
            <a:ext uri="{FF2B5EF4-FFF2-40B4-BE49-F238E27FC236}">
              <a16:creationId xmlns:a16="http://schemas.microsoft.com/office/drawing/2014/main" id="{B94B1DEF-8CA6-4D2F-9F90-0DBE5D67F903}"/>
            </a:ext>
          </a:extLst>
        </xdr:cNvPr>
        <xdr:cNvSpPr/>
      </xdr:nvSpPr>
      <xdr:spPr>
        <a:xfrm>
          <a:off x="17068927" y="248986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1375</xdr:row>
      <xdr:rowOff>144641</xdr:rowOff>
    </xdr:from>
    <xdr:ext cx="566519" cy="180627"/>
    <xdr:sp macro="_xll.PtreeEvent_ObjectClick" textlink="">
      <xdr:nvSpPr>
        <xdr:cNvPr id="2748" name="PTObj_DBranchName_1_681">
          <a:extLst>
            <a:ext uri="{FF2B5EF4-FFF2-40B4-BE49-F238E27FC236}">
              <a16:creationId xmlns:a16="http://schemas.microsoft.com/office/drawing/2014/main" id="{E6925F5F-7A60-4382-8CEC-8BE07802D5ED}"/>
            </a:ext>
          </a:extLst>
        </xdr:cNvPr>
        <xdr:cNvSpPr txBox="1"/>
      </xdr:nvSpPr>
      <xdr:spPr>
        <a:xfrm>
          <a:off x="15922752" y="2489852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1377</xdr:row>
      <xdr:rowOff>149225</xdr:rowOff>
    </xdr:from>
    <xdr:to>
      <xdr:col>10</xdr:col>
      <xdr:colOff>150622</xdr:colOff>
      <xdr:row>1378</xdr:row>
      <xdr:rowOff>151135</xdr:rowOff>
    </xdr:to>
    <xdr:sp macro="_xll.PtreeEvent_ObjectClick" textlink="">
      <xdr:nvSpPr>
        <xdr:cNvPr id="2749" name="PTObj_DNode_1_682">
          <a:extLst>
            <a:ext uri="{FF2B5EF4-FFF2-40B4-BE49-F238E27FC236}">
              <a16:creationId xmlns:a16="http://schemas.microsoft.com/office/drawing/2014/main" id="{ABA8C63B-6D5A-47E4-A37D-D33587D3CCDF}"/>
            </a:ext>
          </a:extLst>
        </xdr:cNvPr>
        <xdr:cNvSpPr/>
      </xdr:nvSpPr>
      <xdr:spPr>
        <a:xfrm>
          <a:off x="18493867" y="249351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1377</xdr:row>
      <xdr:rowOff>150341</xdr:rowOff>
    </xdr:from>
    <xdr:ext cx="514857" cy="180627"/>
    <xdr:sp macro="_xll.PtreeEvent_ObjectClick" textlink="">
      <xdr:nvSpPr>
        <xdr:cNvPr id="2752" name="PTObj_DBranchName_1_682">
          <a:extLst>
            <a:ext uri="{FF2B5EF4-FFF2-40B4-BE49-F238E27FC236}">
              <a16:creationId xmlns:a16="http://schemas.microsoft.com/office/drawing/2014/main" id="{98578886-1539-46AA-B5FA-C972EE330A02}"/>
            </a:ext>
          </a:extLst>
        </xdr:cNvPr>
        <xdr:cNvSpPr txBox="1"/>
      </xdr:nvSpPr>
      <xdr:spPr>
        <a:xfrm>
          <a:off x="17344834" y="2493529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1379</xdr:row>
      <xdr:rowOff>153045</xdr:rowOff>
    </xdr:from>
    <xdr:to>
      <xdr:col>11</xdr:col>
      <xdr:colOff>135383</xdr:colOff>
      <xdr:row>1380</xdr:row>
      <xdr:rowOff>154955</xdr:rowOff>
    </xdr:to>
    <xdr:sp macro="_xll.PtreeEvent_ObjectClick" textlink="">
      <xdr:nvSpPr>
        <xdr:cNvPr id="2753" name="PTObj_DNode_1_683">
          <a:extLst>
            <a:ext uri="{FF2B5EF4-FFF2-40B4-BE49-F238E27FC236}">
              <a16:creationId xmlns:a16="http://schemas.microsoft.com/office/drawing/2014/main" id="{C598EAB6-07F7-46CB-86F4-3B7F006AFD15}"/>
            </a:ext>
          </a:extLst>
        </xdr:cNvPr>
        <xdr:cNvSpPr/>
      </xdr:nvSpPr>
      <xdr:spPr>
        <a:xfrm>
          <a:off x="19918807" y="249717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1379</xdr:row>
      <xdr:rowOff>154161</xdr:rowOff>
    </xdr:from>
    <xdr:ext cx="514858" cy="180627"/>
    <xdr:sp macro="_xll.PtreeEvent_ObjectClick" textlink="">
      <xdr:nvSpPr>
        <xdr:cNvPr id="2756" name="PTObj_DBranchName_1_683">
          <a:extLst>
            <a:ext uri="{FF2B5EF4-FFF2-40B4-BE49-F238E27FC236}">
              <a16:creationId xmlns:a16="http://schemas.microsoft.com/office/drawing/2014/main" id="{B88E3628-845C-4B49-8669-2C2157B22E2E}"/>
            </a:ext>
          </a:extLst>
        </xdr:cNvPr>
        <xdr:cNvSpPr txBox="1"/>
      </xdr:nvSpPr>
      <xdr:spPr>
        <a:xfrm>
          <a:off x="18768820" y="249718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1381</xdr:row>
      <xdr:rowOff>161605</xdr:rowOff>
    </xdr:from>
    <xdr:to>
      <xdr:col>12</xdr:col>
      <xdr:colOff>132527</xdr:colOff>
      <xdr:row>1382</xdr:row>
      <xdr:rowOff>173035</xdr:rowOff>
    </xdr:to>
    <xdr:sp macro="_xll.PtreeEvent_ObjectClick" textlink="">
      <xdr:nvSpPr>
        <xdr:cNvPr id="2757" name="PTObj_DNode_1_684">
          <a:extLst>
            <a:ext uri="{FF2B5EF4-FFF2-40B4-BE49-F238E27FC236}">
              <a16:creationId xmlns:a16="http://schemas.microsoft.com/office/drawing/2014/main" id="{5A85F6FE-C6E9-41EC-B255-C5184B003188}"/>
            </a:ext>
          </a:extLst>
        </xdr:cNvPr>
        <xdr:cNvSpPr/>
      </xdr:nvSpPr>
      <xdr:spPr>
        <a:xfrm rot="-5400000">
          <a:off x="21347557" y="2500852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1381</xdr:row>
      <xdr:rowOff>159886</xdr:rowOff>
    </xdr:from>
    <xdr:ext cx="514858" cy="180627"/>
    <xdr:sp macro="_xll.PtreeEvent_ObjectClick" textlink="">
      <xdr:nvSpPr>
        <xdr:cNvPr id="2760" name="PTObj_DBranchName_1_684">
          <a:extLst>
            <a:ext uri="{FF2B5EF4-FFF2-40B4-BE49-F238E27FC236}">
              <a16:creationId xmlns:a16="http://schemas.microsoft.com/office/drawing/2014/main" id="{889C9657-36EB-4334-8E98-DAD7AAFF8D38}"/>
            </a:ext>
          </a:extLst>
        </xdr:cNvPr>
        <xdr:cNvSpPr txBox="1"/>
      </xdr:nvSpPr>
      <xdr:spPr>
        <a:xfrm>
          <a:off x="20188045" y="2500863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1385</xdr:row>
      <xdr:rowOff>164455</xdr:rowOff>
    </xdr:from>
    <xdr:to>
      <xdr:col>9</xdr:col>
      <xdr:colOff>154432</xdr:colOff>
      <xdr:row>1386</xdr:row>
      <xdr:rowOff>170175</xdr:rowOff>
    </xdr:to>
    <xdr:sp macro="_xll.PtreeEvent_ObjectClick" textlink="">
      <xdr:nvSpPr>
        <xdr:cNvPr id="2761" name="PTObj_DNode_1_686">
          <a:extLst>
            <a:ext uri="{FF2B5EF4-FFF2-40B4-BE49-F238E27FC236}">
              <a16:creationId xmlns:a16="http://schemas.microsoft.com/office/drawing/2014/main" id="{327D99C8-C395-4AA7-8C71-1A2DBD0E8DF2}"/>
            </a:ext>
          </a:extLst>
        </xdr:cNvPr>
        <xdr:cNvSpPr/>
      </xdr:nvSpPr>
      <xdr:spPr>
        <a:xfrm>
          <a:off x="17068927" y="250814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1385</xdr:row>
      <xdr:rowOff>169406</xdr:rowOff>
    </xdr:from>
    <xdr:ext cx="566520" cy="180627"/>
    <xdr:sp macro="_xll.PtreeEvent_ObjectClick" textlink="">
      <xdr:nvSpPr>
        <xdr:cNvPr id="2764" name="PTObj_DBranchName_1_686">
          <a:extLst>
            <a:ext uri="{FF2B5EF4-FFF2-40B4-BE49-F238E27FC236}">
              <a16:creationId xmlns:a16="http://schemas.microsoft.com/office/drawing/2014/main" id="{2AE3CD40-797D-4E9C-A123-A7E0E61E9DE6}"/>
            </a:ext>
          </a:extLst>
        </xdr:cNvPr>
        <xdr:cNvSpPr txBox="1"/>
      </xdr:nvSpPr>
      <xdr:spPr>
        <a:xfrm>
          <a:off x="15926563" y="2508197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1387</xdr:row>
      <xdr:rowOff>168275</xdr:rowOff>
    </xdr:from>
    <xdr:to>
      <xdr:col>10</xdr:col>
      <xdr:colOff>150622</xdr:colOff>
      <xdr:row>1388</xdr:row>
      <xdr:rowOff>170185</xdr:rowOff>
    </xdr:to>
    <xdr:sp macro="_xll.PtreeEvent_ObjectClick" textlink="">
      <xdr:nvSpPr>
        <xdr:cNvPr id="2765" name="PTObj_DNode_1_687">
          <a:extLst>
            <a:ext uri="{FF2B5EF4-FFF2-40B4-BE49-F238E27FC236}">
              <a16:creationId xmlns:a16="http://schemas.microsoft.com/office/drawing/2014/main" id="{5C042C93-63AD-4532-8105-B295943F80F4}"/>
            </a:ext>
          </a:extLst>
        </xdr:cNvPr>
        <xdr:cNvSpPr/>
      </xdr:nvSpPr>
      <xdr:spPr>
        <a:xfrm>
          <a:off x="18493867" y="251180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1387</xdr:row>
      <xdr:rowOff>173201</xdr:rowOff>
    </xdr:from>
    <xdr:ext cx="514857" cy="180627"/>
    <xdr:sp macro="_xll.PtreeEvent_ObjectClick" textlink="">
      <xdr:nvSpPr>
        <xdr:cNvPr id="2768" name="PTObj_DBranchName_1_687">
          <a:extLst>
            <a:ext uri="{FF2B5EF4-FFF2-40B4-BE49-F238E27FC236}">
              <a16:creationId xmlns:a16="http://schemas.microsoft.com/office/drawing/2014/main" id="{0C2CE9FD-CA48-4780-AD4F-4A696CD5E81B}"/>
            </a:ext>
          </a:extLst>
        </xdr:cNvPr>
        <xdr:cNvSpPr txBox="1"/>
      </xdr:nvSpPr>
      <xdr:spPr>
        <a:xfrm>
          <a:off x="17344834" y="2511855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1389</xdr:row>
      <xdr:rowOff>172095</xdr:rowOff>
    </xdr:from>
    <xdr:to>
      <xdr:col>11</xdr:col>
      <xdr:colOff>135383</xdr:colOff>
      <xdr:row>1390</xdr:row>
      <xdr:rowOff>170195</xdr:rowOff>
    </xdr:to>
    <xdr:sp macro="_xll.PtreeEvent_ObjectClick" textlink="">
      <xdr:nvSpPr>
        <xdr:cNvPr id="2769" name="PTObj_DNode_1_688">
          <a:extLst>
            <a:ext uri="{FF2B5EF4-FFF2-40B4-BE49-F238E27FC236}">
              <a16:creationId xmlns:a16="http://schemas.microsoft.com/office/drawing/2014/main" id="{FF7096B3-FE1A-442B-AC6F-E25D93C45342}"/>
            </a:ext>
          </a:extLst>
        </xdr:cNvPr>
        <xdr:cNvSpPr/>
      </xdr:nvSpPr>
      <xdr:spPr>
        <a:xfrm>
          <a:off x="19918807" y="251546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1389</xdr:row>
      <xdr:rowOff>169401</xdr:rowOff>
    </xdr:from>
    <xdr:ext cx="514858" cy="180627"/>
    <xdr:sp macro="_xll.PtreeEvent_ObjectClick" textlink="">
      <xdr:nvSpPr>
        <xdr:cNvPr id="2772" name="PTObj_DBranchName_1_688">
          <a:extLst>
            <a:ext uri="{FF2B5EF4-FFF2-40B4-BE49-F238E27FC236}">
              <a16:creationId xmlns:a16="http://schemas.microsoft.com/office/drawing/2014/main" id="{60E40B5A-8921-4E3E-A26D-72F7A92B47AC}"/>
            </a:ext>
          </a:extLst>
        </xdr:cNvPr>
        <xdr:cNvSpPr txBox="1"/>
      </xdr:nvSpPr>
      <xdr:spPr>
        <a:xfrm>
          <a:off x="18768820" y="251543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1391</xdr:row>
      <xdr:rowOff>174940</xdr:rowOff>
    </xdr:from>
    <xdr:to>
      <xdr:col>12</xdr:col>
      <xdr:colOff>132527</xdr:colOff>
      <xdr:row>1392</xdr:row>
      <xdr:rowOff>171130</xdr:rowOff>
    </xdr:to>
    <xdr:sp macro="_xll.PtreeEvent_ObjectClick" textlink="">
      <xdr:nvSpPr>
        <xdr:cNvPr id="2773" name="PTObj_DNode_1_689">
          <a:extLst>
            <a:ext uri="{FF2B5EF4-FFF2-40B4-BE49-F238E27FC236}">
              <a16:creationId xmlns:a16="http://schemas.microsoft.com/office/drawing/2014/main" id="{29E6F505-59B1-4606-B8FF-49F0F3344DC2}"/>
            </a:ext>
          </a:extLst>
        </xdr:cNvPr>
        <xdr:cNvSpPr/>
      </xdr:nvSpPr>
      <xdr:spPr>
        <a:xfrm rot="-5400000">
          <a:off x="21347557" y="2519083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1391</xdr:row>
      <xdr:rowOff>173221</xdr:rowOff>
    </xdr:from>
    <xdr:ext cx="514858" cy="180627"/>
    <xdr:sp macro="_xll.PtreeEvent_ObjectClick" textlink="">
      <xdr:nvSpPr>
        <xdr:cNvPr id="2776" name="PTObj_DBranchName_1_689">
          <a:extLst>
            <a:ext uri="{FF2B5EF4-FFF2-40B4-BE49-F238E27FC236}">
              <a16:creationId xmlns:a16="http://schemas.microsoft.com/office/drawing/2014/main" id="{C812327A-5309-4D8C-AAC9-923F9F6D8016}"/>
            </a:ext>
          </a:extLst>
        </xdr:cNvPr>
        <xdr:cNvSpPr txBox="1"/>
      </xdr:nvSpPr>
      <xdr:spPr>
        <a:xfrm>
          <a:off x="20188045" y="2519094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1404</xdr:row>
      <xdr:rowOff>17785</xdr:rowOff>
    </xdr:from>
    <xdr:to>
      <xdr:col>8</xdr:col>
      <xdr:colOff>171578</xdr:colOff>
      <xdr:row>1405</xdr:row>
      <xdr:rowOff>15885</xdr:rowOff>
    </xdr:to>
    <xdr:sp macro="_xll.PtreeEvent_ObjectClick" textlink="">
      <xdr:nvSpPr>
        <xdr:cNvPr id="2777" name="PTObj_DNode_1_695">
          <a:extLst>
            <a:ext uri="{FF2B5EF4-FFF2-40B4-BE49-F238E27FC236}">
              <a16:creationId xmlns:a16="http://schemas.microsoft.com/office/drawing/2014/main" id="{2769F4A3-DD6E-4526-AB15-332BF783E3E6}"/>
            </a:ext>
          </a:extLst>
        </xdr:cNvPr>
        <xdr:cNvSpPr/>
      </xdr:nvSpPr>
      <xdr:spPr>
        <a:xfrm>
          <a:off x="15643988" y="254106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1404</xdr:row>
      <xdr:rowOff>22711</xdr:rowOff>
    </xdr:from>
    <xdr:ext cx="566520" cy="180627"/>
    <xdr:sp macro="_xll.PtreeEvent_ObjectClick" textlink="">
      <xdr:nvSpPr>
        <xdr:cNvPr id="2780" name="PTObj_DBranchName_1_695">
          <a:extLst>
            <a:ext uri="{FF2B5EF4-FFF2-40B4-BE49-F238E27FC236}">
              <a16:creationId xmlns:a16="http://schemas.microsoft.com/office/drawing/2014/main" id="{3921EF2D-9C19-400D-8F6A-C69C07C54DC8}"/>
            </a:ext>
          </a:extLst>
        </xdr:cNvPr>
        <xdr:cNvSpPr txBox="1"/>
      </xdr:nvSpPr>
      <xdr:spPr>
        <a:xfrm>
          <a:off x="14498765" y="2541116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1396</xdr:row>
      <xdr:rowOff>2530</xdr:rowOff>
    </xdr:from>
    <xdr:to>
      <xdr:col>9</xdr:col>
      <xdr:colOff>154432</xdr:colOff>
      <xdr:row>1397</xdr:row>
      <xdr:rowOff>19680</xdr:rowOff>
    </xdr:to>
    <xdr:sp macro="_xll.PtreeEvent_ObjectClick" textlink="">
      <xdr:nvSpPr>
        <xdr:cNvPr id="2781" name="PTObj_DNode_1_691">
          <a:extLst>
            <a:ext uri="{FF2B5EF4-FFF2-40B4-BE49-F238E27FC236}">
              <a16:creationId xmlns:a16="http://schemas.microsoft.com/office/drawing/2014/main" id="{05ABC541-56B9-473C-8623-9935750C387A}"/>
            </a:ext>
          </a:extLst>
        </xdr:cNvPr>
        <xdr:cNvSpPr/>
      </xdr:nvSpPr>
      <xdr:spPr>
        <a:xfrm>
          <a:off x="17068927" y="252643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1396</xdr:row>
      <xdr:rowOff>3671</xdr:rowOff>
    </xdr:from>
    <xdr:ext cx="566519" cy="180627"/>
    <xdr:sp macro="_xll.PtreeEvent_ObjectClick" textlink="">
      <xdr:nvSpPr>
        <xdr:cNvPr id="2784" name="PTObj_DBranchName_1_691">
          <a:extLst>
            <a:ext uri="{FF2B5EF4-FFF2-40B4-BE49-F238E27FC236}">
              <a16:creationId xmlns:a16="http://schemas.microsoft.com/office/drawing/2014/main" id="{9AC77BB4-5811-44E4-B18E-A84D5FA36FB3}"/>
            </a:ext>
          </a:extLst>
        </xdr:cNvPr>
        <xdr:cNvSpPr txBox="1"/>
      </xdr:nvSpPr>
      <xdr:spPr>
        <a:xfrm>
          <a:off x="15922752" y="2526447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1398</xdr:row>
      <xdr:rowOff>6350</xdr:rowOff>
    </xdr:from>
    <xdr:to>
      <xdr:col>10</xdr:col>
      <xdr:colOff>150622</xdr:colOff>
      <xdr:row>1399</xdr:row>
      <xdr:rowOff>15880</xdr:rowOff>
    </xdr:to>
    <xdr:sp macro="_xll.PtreeEvent_ObjectClick" textlink="">
      <xdr:nvSpPr>
        <xdr:cNvPr id="2785" name="PTObj_DNode_1_692">
          <a:extLst>
            <a:ext uri="{FF2B5EF4-FFF2-40B4-BE49-F238E27FC236}">
              <a16:creationId xmlns:a16="http://schemas.microsoft.com/office/drawing/2014/main" id="{C9D9F8AF-4794-4C99-A264-3C3CFC3199B2}"/>
            </a:ext>
          </a:extLst>
        </xdr:cNvPr>
        <xdr:cNvSpPr/>
      </xdr:nvSpPr>
      <xdr:spPr>
        <a:xfrm>
          <a:off x="18493867" y="253009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1398</xdr:row>
      <xdr:rowOff>9371</xdr:rowOff>
    </xdr:from>
    <xdr:ext cx="514857" cy="180627"/>
    <xdr:sp macro="_xll.PtreeEvent_ObjectClick" textlink="">
      <xdr:nvSpPr>
        <xdr:cNvPr id="2788" name="PTObj_DBranchName_1_692">
          <a:extLst>
            <a:ext uri="{FF2B5EF4-FFF2-40B4-BE49-F238E27FC236}">
              <a16:creationId xmlns:a16="http://schemas.microsoft.com/office/drawing/2014/main" id="{3D813C0F-E5C7-4D03-9739-3FDFB43BCB62}"/>
            </a:ext>
          </a:extLst>
        </xdr:cNvPr>
        <xdr:cNvSpPr txBox="1"/>
      </xdr:nvSpPr>
      <xdr:spPr>
        <a:xfrm>
          <a:off x="17344834" y="2530124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1400</xdr:row>
      <xdr:rowOff>10170</xdr:rowOff>
    </xdr:from>
    <xdr:to>
      <xdr:col>11</xdr:col>
      <xdr:colOff>131573</xdr:colOff>
      <xdr:row>1401</xdr:row>
      <xdr:rowOff>19700</xdr:rowOff>
    </xdr:to>
    <xdr:sp macro="_xll.PtreeEvent_ObjectClick" textlink="">
      <xdr:nvSpPr>
        <xdr:cNvPr id="2789" name="PTObj_DNode_1_693">
          <a:extLst>
            <a:ext uri="{FF2B5EF4-FFF2-40B4-BE49-F238E27FC236}">
              <a16:creationId xmlns:a16="http://schemas.microsoft.com/office/drawing/2014/main" id="{E73A78A8-65E9-4C16-85DE-3D134F1B2E3B}"/>
            </a:ext>
          </a:extLst>
        </xdr:cNvPr>
        <xdr:cNvSpPr/>
      </xdr:nvSpPr>
      <xdr:spPr>
        <a:xfrm>
          <a:off x="19918807" y="253375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1400</xdr:row>
      <xdr:rowOff>13191</xdr:rowOff>
    </xdr:from>
    <xdr:ext cx="514858" cy="180627"/>
    <xdr:sp macro="_xll.PtreeEvent_ObjectClick" textlink="">
      <xdr:nvSpPr>
        <xdr:cNvPr id="2792" name="PTObj_DBranchName_1_693">
          <a:extLst>
            <a:ext uri="{FF2B5EF4-FFF2-40B4-BE49-F238E27FC236}">
              <a16:creationId xmlns:a16="http://schemas.microsoft.com/office/drawing/2014/main" id="{63825A6E-5CD6-4776-8080-764F19D27CB8}"/>
            </a:ext>
          </a:extLst>
        </xdr:cNvPr>
        <xdr:cNvSpPr txBox="1"/>
      </xdr:nvSpPr>
      <xdr:spPr>
        <a:xfrm>
          <a:off x="18768820" y="253378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1402</xdr:row>
      <xdr:rowOff>20635</xdr:rowOff>
    </xdr:from>
    <xdr:to>
      <xdr:col>12</xdr:col>
      <xdr:colOff>136337</xdr:colOff>
      <xdr:row>1403</xdr:row>
      <xdr:rowOff>20635</xdr:rowOff>
    </xdr:to>
    <xdr:sp macro="_xll.PtreeEvent_ObjectClick" textlink="">
      <xdr:nvSpPr>
        <xdr:cNvPr id="2793" name="PTObj_DNode_1_694">
          <a:extLst>
            <a:ext uri="{FF2B5EF4-FFF2-40B4-BE49-F238E27FC236}">
              <a16:creationId xmlns:a16="http://schemas.microsoft.com/office/drawing/2014/main" id="{F0B97318-F115-414A-B4A0-EEA8636F9847}"/>
            </a:ext>
          </a:extLst>
        </xdr:cNvPr>
        <xdr:cNvSpPr/>
      </xdr:nvSpPr>
      <xdr:spPr>
        <a:xfrm rot="-5400000">
          <a:off x="21347557" y="2537447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1402</xdr:row>
      <xdr:rowOff>18916</xdr:rowOff>
    </xdr:from>
    <xdr:ext cx="514858" cy="180627"/>
    <xdr:sp macro="_xll.PtreeEvent_ObjectClick" textlink="">
      <xdr:nvSpPr>
        <xdr:cNvPr id="2796" name="PTObj_DBranchName_1_694">
          <a:extLst>
            <a:ext uri="{FF2B5EF4-FFF2-40B4-BE49-F238E27FC236}">
              <a16:creationId xmlns:a16="http://schemas.microsoft.com/office/drawing/2014/main" id="{EBB2AE9B-D957-412E-999A-C2C089955E81}"/>
            </a:ext>
          </a:extLst>
        </xdr:cNvPr>
        <xdr:cNvSpPr txBox="1"/>
      </xdr:nvSpPr>
      <xdr:spPr>
        <a:xfrm>
          <a:off x="20188045" y="2537458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1406</xdr:row>
      <xdr:rowOff>21580</xdr:rowOff>
    </xdr:from>
    <xdr:to>
      <xdr:col>9</xdr:col>
      <xdr:colOff>154432</xdr:colOff>
      <xdr:row>1407</xdr:row>
      <xdr:rowOff>15870</xdr:rowOff>
    </xdr:to>
    <xdr:sp macro="_xll.PtreeEvent_ObjectClick" textlink="">
      <xdr:nvSpPr>
        <xdr:cNvPr id="2797" name="PTObj_DNode_1_696">
          <a:extLst>
            <a:ext uri="{FF2B5EF4-FFF2-40B4-BE49-F238E27FC236}">
              <a16:creationId xmlns:a16="http://schemas.microsoft.com/office/drawing/2014/main" id="{A0EBFEA0-C546-47E0-9267-C9200F6EA08C}"/>
            </a:ext>
          </a:extLst>
        </xdr:cNvPr>
        <xdr:cNvSpPr/>
      </xdr:nvSpPr>
      <xdr:spPr>
        <a:xfrm>
          <a:off x="17068927" y="254472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1406</xdr:row>
      <xdr:rowOff>18911</xdr:rowOff>
    </xdr:from>
    <xdr:ext cx="566520" cy="180627"/>
    <xdr:sp macro="_xll.PtreeEvent_ObjectClick" textlink="">
      <xdr:nvSpPr>
        <xdr:cNvPr id="2800" name="PTObj_DBranchName_1_696">
          <a:extLst>
            <a:ext uri="{FF2B5EF4-FFF2-40B4-BE49-F238E27FC236}">
              <a16:creationId xmlns:a16="http://schemas.microsoft.com/office/drawing/2014/main" id="{B64E245D-3FCA-49C8-AD60-DE55F6024D06}"/>
            </a:ext>
          </a:extLst>
        </xdr:cNvPr>
        <xdr:cNvSpPr txBox="1"/>
      </xdr:nvSpPr>
      <xdr:spPr>
        <a:xfrm>
          <a:off x="15926563" y="2544697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1408</xdr:row>
      <xdr:rowOff>25400</xdr:rowOff>
    </xdr:from>
    <xdr:to>
      <xdr:col>10</xdr:col>
      <xdr:colOff>150622</xdr:colOff>
      <xdr:row>1409</xdr:row>
      <xdr:rowOff>17785</xdr:rowOff>
    </xdr:to>
    <xdr:sp macro="_xll.PtreeEvent_ObjectClick" textlink="">
      <xdr:nvSpPr>
        <xdr:cNvPr id="2801" name="PTObj_DNode_1_697">
          <a:extLst>
            <a:ext uri="{FF2B5EF4-FFF2-40B4-BE49-F238E27FC236}">
              <a16:creationId xmlns:a16="http://schemas.microsoft.com/office/drawing/2014/main" id="{340652AB-0A33-4CC3-AFCE-CBCC08C09E79}"/>
            </a:ext>
          </a:extLst>
        </xdr:cNvPr>
        <xdr:cNvSpPr/>
      </xdr:nvSpPr>
      <xdr:spPr>
        <a:xfrm>
          <a:off x="18493867" y="254838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1408</xdr:row>
      <xdr:rowOff>22706</xdr:rowOff>
    </xdr:from>
    <xdr:ext cx="514857" cy="180627"/>
    <xdr:sp macro="_xll.PtreeEvent_ObjectClick" textlink="">
      <xdr:nvSpPr>
        <xdr:cNvPr id="2804" name="PTObj_DBranchName_1_697">
          <a:extLst>
            <a:ext uri="{FF2B5EF4-FFF2-40B4-BE49-F238E27FC236}">
              <a16:creationId xmlns:a16="http://schemas.microsoft.com/office/drawing/2014/main" id="{8A59D0ED-C913-4DA7-82A9-BB9C7B0179B0}"/>
            </a:ext>
          </a:extLst>
        </xdr:cNvPr>
        <xdr:cNvSpPr txBox="1"/>
      </xdr:nvSpPr>
      <xdr:spPr>
        <a:xfrm>
          <a:off x="17344834" y="2548355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1410</xdr:row>
      <xdr:rowOff>29220</xdr:rowOff>
    </xdr:from>
    <xdr:to>
      <xdr:col>11</xdr:col>
      <xdr:colOff>131573</xdr:colOff>
      <xdr:row>1411</xdr:row>
      <xdr:rowOff>21605</xdr:rowOff>
    </xdr:to>
    <xdr:sp macro="_xll.PtreeEvent_ObjectClick" textlink="">
      <xdr:nvSpPr>
        <xdr:cNvPr id="2805" name="PTObj_DNode_1_698">
          <a:extLst>
            <a:ext uri="{FF2B5EF4-FFF2-40B4-BE49-F238E27FC236}">
              <a16:creationId xmlns:a16="http://schemas.microsoft.com/office/drawing/2014/main" id="{D807D5FE-C259-46E8-B23D-E4FC79984F47}"/>
            </a:ext>
          </a:extLst>
        </xdr:cNvPr>
        <xdr:cNvSpPr/>
      </xdr:nvSpPr>
      <xdr:spPr>
        <a:xfrm>
          <a:off x="19918807" y="255203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1410</xdr:row>
      <xdr:rowOff>28431</xdr:rowOff>
    </xdr:from>
    <xdr:ext cx="514858" cy="180627"/>
    <xdr:sp macro="_xll.PtreeEvent_ObjectClick" textlink="">
      <xdr:nvSpPr>
        <xdr:cNvPr id="2808" name="PTObj_DBranchName_1_698">
          <a:extLst>
            <a:ext uri="{FF2B5EF4-FFF2-40B4-BE49-F238E27FC236}">
              <a16:creationId xmlns:a16="http://schemas.microsoft.com/office/drawing/2014/main" id="{2A476654-6009-4CCC-88DC-18F31FAE82C7}"/>
            </a:ext>
          </a:extLst>
        </xdr:cNvPr>
        <xdr:cNvSpPr txBox="1"/>
      </xdr:nvSpPr>
      <xdr:spPr>
        <a:xfrm>
          <a:off x="18768820" y="255203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1412</xdr:row>
      <xdr:rowOff>34922</xdr:rowOff>
    </xdr:from>
    <xdr:to>
      <xdr:col>12</xdr:col>
      <xdr:colOff>131575</xdr:colOff>
      <xdr:row>1413</xdr:row>
      <xdr:rowOff>17777</xdr:rowOff>
    </xdr:to>
    <xdr:sp macro="_xll.PtreeEvent_ObjectClick" textlink="">
      <xdr:nvSpPr>
        <xdr:cNvPr id="2809" name="PTObj_DNode_1_699">
          <a:extLst>
            <a:ext uri="{FF2B5EF4-FFF2-40B4-BE49-F238E27FC236}">
              <a16:creationId xmlns:a16="http://schemas.microsoft.com/office/drawing/2014/main" id="{8F0D6888-F2E9-4D3A-952D-2C7F03917FCF}"/>
            </a:ext>
          </a:extLst>
        </xdr:cNvPr>
        <xdr:cNvSpPr/>
      </xdr:nvSpPr>
      <xdr:spPr>
        <a:xfrm rot="-5400000">
          <a:off x="21347557" y="2555678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1412</xdr:row>
      <xdr:rowOff>32251</xdr:rowOff>
    </xdr:from>
    <xdr:ext cx="514858" cy="180627"/>
    <xdr:sp macro="_xll.PtreeEvent_ObjectClick" textlink="">
      <xdr:nvSpPr>
        <xdr:cNvPr id="2812" name="PTObj_DBranchName_1_699">
          <a:extLst>
            <a:ext uri="{FF2B5EF4-FFF2-40B4-BE49-F238E27FC236}">
              <a16:creationId xmlns:a16="http://schemas.microsoft.com/office/drawing/2014/main" id="{02A24E4C-602D-4AAF-92CC-E332963B0DAB}"/>
            </a:ext>
          </a:extLst>
        </xdr:cNvPr>
        <xdr:cNvSpPr txBox="1"/>
      </xdr:nvSpPr>
      <xdr:spPr>
        <a:xfrm>
          <a:off x="20188045" y="2555689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1434</xdr:row>
      <xdr:rowOff>74935</xdr:rowOff>
    </xdr:from>
    <xdr:to>
      <xdr:col>7</xdr:col>
      <xdr:colOff>167767</xdr:colOff>
      <xdr:row>1435</xdr:row>
      <xdr:rowOff>76845</xdr:rowOff>
    </xdr:to>
    <xdr:sp macro="_xll.PtreeEvent_ObjectClick" textlink="">
      <xdr:nvSpPr>
        <xdr:cNvPr id="2813" name="PTObj_DNode_1_710">
          <a:extLst>
            <a:ext uri="{FF2B5EF4-FFF2-40B4-BE49-F238E27FC236}">
              <a16:creationId xmlns:a16="http://schemas.microsoft.com/office/drawing/2014/main" id="{AB52D771-4CDB-4C42-9ECB-119CDC1A813D}"/>
            </a:ext>
          </a:extLst>
        </xdr:cNvPr>
        <xdr:cNvSpPr/>
      </xdr:nvSpPr>
      <xdr:spPr>
        <a:xfrm>
          <a:off x="14219047" y="259593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1434</xdr:row>
      <xdr:rowOff>76051</xdr:rowOff>
    </xdr:from>
    <xdr:ext cx="566520" cy="180627"/>
    <xdr:sp macro="_xll.PtreeEvent_ObjectClick" textlink="">
      <xdr:nvSpPr>
        <xdr:cNvPr id="2816" name="PTObj_DBranchName_1_710">
          <a:extLst>
            <a:ext uri="{FF2B5EF4-FFF2-40B4-BE49-F238E27FC236}">
              <a16:creationId xmlns:a16="http://schemas.microsoft.com/office/drawing/2014/main" id="{37BB5D2E-5D83-496B-B11E-0097C83B82B8}"/>
            </a:ext>
          </a:extLst>
        </xdr:cNvPr>
        <xdr:cNvSpPr txBox="1"/>
      </xdr:nvSpPr>
      <xdr:spPr>
        <a:xfrm>
          <a:off x="13074777" y="2595942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1424</xdr:row>
      <xdr:rowOff>55885</xdr:rowOff>
    </xdr:from>
    <xdr:to>
      <xdr:col>8</xdr:col>
      <xdr:colOff>171578</xdr:colOff>
      <xdr:row>1425</xdr:row>
      <xdr:rowOff>53985</xdr:rowOff>
    </xdr:to>
    <xdr:sp macro="_xll.PtreeEvent_ObjectClick" textlink="">
      <xdr:nvSpPr>
        <xdr:cNvPr id="2817" name="PTObj_DNode_1_705">
          <a:extLst>
            <a:ext uri="{FF2B5EF4-FFF2-40B4-BE49-F238E27FC236}">
              <a16:creationId xmlns:a16="http://schemas.microsoft.com/office/drawing/2014/main" id="{7C609CB4-FF5C-41D6-A206-E6E9DDC76DBD}"/>
            </a:ext>
          </a:extLst>
        </xdr:cNvPr>
        <xdr:cNvSpPr/>
      </xdr:nvSpPr>
      <xdr:spPr>
        <a:xfrm>
          <a:off x="15643988" y="257764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1424</xdr:row>
      <xdr:rowOff>60811</xdr:rowOff>
    </xdr:from>
    <xdr:ext cx="566520" cy="180627"/>
    <xdr:sp macro="_xll.PtreeEvent_ObjectClick" textlink="">
      <xdr:nvSpPr>
        <xdr:cNvPr id="2820" name="PTObj_DBranchName_1_705">
          <a:extLst>
            <a:ext uri="{FF2B5EF4-FFF2-40B4-BE49-F238E27FC236}">
              <a16:creationId xmlns:a16="http://schemas.microsoft.com/office/drawing/2014/main" id="{28650782-4FCB-46A9-BD48-E76A917EC10B}"/>
            </a:ext>
          </a:extLst>
        </xdr:cNvPr>
        <xdr:cNvSpPr txBox="1"/>
      </xdr:nvSpPr>
      <xdr:spPr>
        <a:xfrm>
          <a:off x="14500670" y="257769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1416</xdr:row>
      <xdr:rowOff>40630</xdr:rowOff>
    </xdr:from>
    <xdr:to>
      <xdr:col>9</xdr:col>
      <xdr:colOff>154432</xdr:colOff>
      <xdr:row>1417</xdr:row>
      <xdr:rowOff>57780</xdr:rowOff>
    </xdr:to>
    <xdr:sp macro="_xll.PtreeEvent_ObjectClick" textlink="">
      <xdr:nvSpPr>
        <xdr:cNvPr id="2821" name="PTObj_DNode_1_701">
          <a:extLst>
            <a:ext uri="{FF2B5EF4-FFF2-40B4-BE49-F238E27FC236}">
              <a16:creationId xmlns:a16="http://schemas.microsoft.com/office/drawing/2014/main" id="{9F59FAA3-E30E-461B-9104-42D9BDFF8F18}"/>
            </a:ext>
          </a:extLst>
        </xdr:cNvPr>
        <xdr:cNvSpPr/>
      </xdr:nvSpPr>
      <xdr:spPr>
        <a:xfrm>
          <a:off x="17068927" y="256301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1416</xdr:row>
      <xdr:rowOff>41771</xdr:rowOff>
    </xdr:from>
    <xdr:ext cx="566519" cy="180627"/>
    <xdr:sp macro="_xll.PtreeEvent_ObjectClick" textlink="">
      <xdr:nvSpPr>
        <xdr:cNvPr id="2824" name="PTObj_DBranchName_1_701">
          <a:extLst>
            <a:ext uri="{FF2B5EF4-FFF2-40B4-BE49-F238E27FC236}">
              <a16:creationId xmlns:a16="http://schemas.microsoft.com/office/drawing/2014/main" id="{0C49A30E-BE64-4C53-94F1-A67BF4EBE191}"/>
            </a:ext>
          </a:extLst>
        </xdr:cNvPr>
        <xdr:cNvSpPr txBox="1"/>
      </xdr:nvSpPr>
      <xdr:spPr>
        <a:xfrm>
          <a:off x="15922752" y="2563023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1418</xdr:row>
      <xdr:rowOff>44450</xdr:rowOff>
    </xdr:from>
    <xdr:to>
      <xdr:col>10</xdr:col>
      <xdr:colOff>150622</xdr:colOff>
      <xdr:row>1419</xdr:row>
      <xdr:rowOff>53980</xdr:rowOff>
    </xdr:to>
    <xdr:sp macro="_xll.PtreeEvent_ObjectClick" textlink="">
      <xdr:nvSpPr>
        <xdr:cNvPr id="2825" name="PTObj_DNode_1_702">
          <a:extLst>
            <a:ext uri="{FF2B5EF4-FFF2-40B4-BE49-F238E27FC236}">
              <a16:creationId xmlns:a16="http://schemas.microsoft.com/office/drawing/2014/main" id="{97A557E4-047C-4728-801C-A02F13C895BF}"/>
            </a:ext>
          </a:extLst>
        </xdr:cNvPr>
        <xdr:cNvSpPr/>
      </xdr:nvSpPr>
      <xdr:spPr>
        <a:xfrm>
          <a:off x="18493867" y="256667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1418</xdr:row>
      <xdr:rowOff>47471</xdr:rowOff>
    </xdr:from>
    <xdr:ext cx="514857" cy="180627"/>
    <xdr:sp macro="_xll.PtreeEvent_ObjectClick" textlink="">
      <xdr:nvSpPr>
        <xdr:cNvPr id="2828" name="PTObj_DBranchName_1_702">
          <a:extLst>
            <a:ext uri="{FF2B5EF4-FFF2-40B4-BE49-F238E27FC236}">
              <a16:creationId xmlns:a16="http://schemas.microsoft.com/office/drawing/2014/main" id="{0FA383A0-7BFF-4F8E-9013-8A1A8EB038D8}"/>
            </a:ext>
          </a:extLst>
        </xdr:cNvPr>
        <xdr:cNvSpPr txBox="1"/>
      </xdr:nvSpPr>
      <xdr:spPr>
        <a:xfrm>
          <a:off x="17344834" y="2566700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1420</xdr:row>
      <xdr:rowOff>48270</xdr:rowOff>
    </xdr:from>
    <xdr:to>
      <xdr:col>11</xdr:col>
      <xdr:colOff>131573</xdr:colOff>
      <xdr:row>1421</xdr:row>
      <xdr:rowOff>57800</xdr:rowOff>
    </xdr:to>
    <xdr:sp macro="_xll.PtreeEvent_ObjectClick" textlink="">
      <xdr:nvSpPr>
        <xdr:cNvPr id="2829" name="PTObj_DNode_1_703">
          <a:extLst>
            <a:ext uri="{FF2B5EF4-FFF2-40B4-BE49-F238E27FC236}">
              <a16:creationId xmlns:a16="http://schemas.microsoft.com/office/drawing/2014/main" id="{03A68A8C-BF2E-407D-B674-9CFCA33C79E5}"/>
            </a:ext>
          </a:extLst>
        </xdr:cNvPr>
        <xdr:cNvSpPr/>
      </xdr:nvSpPr>
      <xdr:spPr>
        <a:xfrm>
          <a:off x="19918807" y="257032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1420</xdr:row>
      <xdr:rowOff>51291</xdr:rowOff>
    </xdr:from>
    <xdr:ext cx="514858" cy="180627"/>
    <xdr:sp macro="_xll.PtreeEvent_ObjectClick" textlink="">
      <xdr:nvSpPr>
        <xdr:cNvPr id="2832" name="PTObj_DBranchName_1_703">
          <a:extLst>
            <a:ext uri="{FF2B5EF4-FFF2-40B4-BE49-F238E27FC236}">
              <a16:creationId xmlns:a16="http://schemas.microsoft.com/office/drawing/2014/main" id="{ABA88149-F654-4F36-B2B8-37D2676011BD}"/>
            </a:ext>
          </a:extLst>
        </xdr:cNvPr>
        <xdr:cNvSpPr txBox="1"/>
      </xdr:nvSpPr>
      <xdr:spPr>
        <a:xfrm>
          <a:off x="18768820" y="257035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1422</xdr:row>
      <xdr:rowOff>58735</xdr:rowOff>
    </xdr:from>
    <xdr:to>
      <xdr:col>12</xdr:col>
      <xdr:colOff>136337</xdr:colOff>
      <xdr:row>1423</xdr:row>
      <xdr:rowOff>58735</xdr:rowOff>
    </xdr:to>
    <xdr:sp macro="_xll.PtreeEvent_ObjectClick" textlink="">
      <xdr:nvSpPr>
        <xdr:cNvPr id="2833" name="PTObj_DNode_1_704">
          <a:extLst>
            <a:ext uri="{FF2B5EF4-FFF2-40B4-BE49-F238E27FC236}">
              <a16:creationId xmlns:a16="http://schemas.microsoft.com/office/drawing/2014/main" id="{21640EEA-BDCD-400D-9538-24B7D81917FE}"/>
            </a:ext>
          </a:extLst>
        </xdr:cNvPr>
        <xdr:cNvSpPr/>
      </xdr:nvSpPr>
      <xdr:spPr>
        <a:xfrm rot="-5400000">
          <a:off x="21347557" y="2574023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1422</xdr:row>
      <xdr:rowOff>57016</xdr:rowOff>
    </xdr:from>
    <xdr:ext cx="514858" cy="180627"/>
    <xdr:sp macro="_xll.PtreeEvent_ObjectClick" textlink="">
      <xdr:nvSpPr>
        <xdr:cNvPr id="2836" name="PTObj_DBranchName_1_704">
          <a:extLst>
            <a:ext uri="{FF2B5EF4-FFF2-40B4-BE49-F238E27FC236}">
              <a16:creationId xmlns:a16="http://schemas.microsoft.com/office/drawing/2014/main" id="{D0152FBB-47AD-46D2-A526-8579C8FCB37A}"/>
            </a:ext>
          </a:extLst>
        </xdr:cNvPr>
        <xdr:cNvSpPr txBox="1"/>
      </xdr:nvSpPr>
      <xdr:spPr>
        <a:xfrm>
          <a:off x="20188045" y="2574034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1426</xdr:row>
      <xdr:rowOff>59680</xdr:rowOff>
    </xdr:from>
    <xdr:to>
      <xdr:col>9</xdr:col>
      <xdr:colOff>154432</xdr:colOff>
      <xdr:row>1427</xdr:row>
      <xdr:rowOff>53970</xdr:rowOff>
    </xdr:to>
    <xdr:sp macro="_xll.PtreeEvent_ObjectClick" textlink="">
      <xdr:nvSpPr>
        <xdr:cNvPr id="2837" name="PTObj_DNode_1_706">
          <a:extLst>
            <a:ext uri="{FF2B5EF4-FFF2-40B4-BE49-F238E27FC236}">
              <a16:creationId xmlns:a16="http://schemas.microsoft.com/office/drawing/2014/main" id="{D37D6928-DC28-4D62-8E2A-ED0D350B5E24}"/>
            </a:ext>
          </a:extLst>
        </xdr:cNvPr>
        <xdr:cNvSpPr/>
      </xdr:nvSpPr>
      <xdr:spPr>
        <a:xfrm>
          <a:off x="17068927" y="258130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1426</xdr:row>
      <xdr:rowOff>57011</xdr:rowOff>
    </xdr:from>
    <xdr:ext cx="566520" cy="180627"/>
    <xdr:sp macro="_xll.PtreeEvent_ObjectClick" textlink="">
      <xdr:nvSpPr>
        <xdr:cNvPr id="2840" name="PTObj_DBranchName_1_706">
          <a:extLst>
            <a:ext uri="{FF2B5EF4-FFF2-40B4-BE49-F238E27FC236}">
              <a16:creationId xmlns:a16="http://schemas.microsoft.com/office/drawing/2014/main" id="{366595F5-F1E5-4621-AE1B-197C0256B87D}"/>
            </a:ext>
          </a:extLst>
        </xdr:cNvPr>
        <xdr:cNvSpPr txBox="1"/>
      </xdr:nvSpPr>
      <xdr:spPr>
        <a:xfrm>
          <a:off x="15926563" y="2581273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1428</xdr:row>
      <xdr:rowOff>63500</xdr:rowOff>
    </xdr:from>
    <xdr:to>
      <xdr:col>10</xdr:col>
      <xdr:colOff>150622</xdr:colOff>
      <xdr:row>1429</xdr:row>
      <xdr:rowOff>55885</xdr:rowOff>
    </xdr:to>
    <xdr:sp macro="_xll.PtreeEvent_ObjectClick" textlink="">
      <xdr:nvSpPr>
        <xdr:cNvPr id="2841" name="PTObj_DNode_1_707">
          <a:extLst>
            <a:ext uri="{FF2B5EF4-FFF2-40B4-BE49-F238E27FC236}">
              <a16:creationId xmlns:a16="http://schemas.microsoft.com/office/drawing/2014/main" id="{9111579D-22AF-49B3-8DC3-F45A5B0814ED}"/>
            </a:ext>
          </a:extLst>
        </xdr:cNvPr>
        <xdr:cNvSpPr/>
      </xdr:nvSpPr>
      <xdr:spPr>
        <a:xfrm>
          <a:off x="18493867" y="258495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1428</xdr:row>
      <xdr:rowOff>60806</xdr:rowOff>
    </xdr:from>
    <xdr:ext cx="514857" cy="180627"/>
    <xdr:sp macro="_xll.PtreeEvent_ObjectClick" textlink="">
      <xdr:nvSpPr>
        <xdr:cNvPr id="2844" name="PTObj_DBranchName_1_707">
          <a:extLst>
            <a:ext uri="{FF2B5EF4-FFF2-40B4-BE49-F238E27FC236}">
              <a16:creationId xmlns:a16="http://schemas.microsoft.com/office/drawing/2014/main" id="{763FEE84-72A3-4E48-9FE3-DAE9DC11D81D}"/>
            </a:ext>
          </a:extLst>
        </xdr:cNvPr>
        <xdr:cNvSpPr txBox="1"/>
      </xdr:nvSpPr>
      <xdr:spPr>
        <a:xfrm>
          <a:off x="17344834" y="2584931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1430</xdr:row>
      <xdr:rowOff>67320</xdr:rowOff>
    </xdr:from>
    <xdr:to>
      <xdr:col>11</xdr:col>
      <xdr:colOff>131573</xdr:colOff>
      <xdr:row>1431</xdr:row>
      <xdr:rowOff>59705</xdr:rowOff>
    </xdr:to>
    <xdr:sp macro="_xll.PtreeEvent_ObjectClick" textlink="">
      <xdr:nvSpPr>
        <xdr:cNvPr id="2845" name="PTObj_DNode_1_708">
          <a:extLst>
            <a:ext uri="{FF2B5EF4-FFF2-40B4-BE49-F238E27FC236}">
              <a16:creationId xmlns:a16="http://schemas.microsoft.com/office/drawing/2014/main" id="{2A2EC36C-F411-4F73-92B0-1455B1559CB6}"/>
            </a:ext>
          </a:extLst>
        </xdr:cNvPr>
        <xdr:cNvSpPr/>
      </xdr:nvSpPr>
      <xdr:spPr>
        <a:xfrm>
          <a:off x="19918807" y="258861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1430</xdr:row>
      <xdr:rowOff>66531</xdr:rowOff>
    </xdr:from>
    <xdr:ext cx="514858" cy="180627"/>
    <xdr:sp macro="_xll.PtreeEvent_ObjectClick" textlink="">
      <xdr:nvSpPr>
        <xdr:cNvPr id="2848" name="PTObj_DBranchName_1_708">
          <a:extLst>
            <a:ext uri="{FF2B5EF4-FFF2-40B4-BE49-F238E27FC236}">
              <a16:creationId xmlns:a16="http://schemas.microsoft.com/office/drawing/2014/main" id="{1D1C7110-0182-45B3-85AB-47FFE9946D41}"/>
            </a:ext>
          </a:extLst>
        </xdr:cNvPr>
        <xdr:cNvSpPr txBox="1"/>
      </xdr:nvSpPr>
      <xdr:spPr>
        <a:xfrm>
          <a:off x="18768820" y="258860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1432</xdr:row>
      <xdr:rowOff>73022</xdr:rowOff>
    </xdr:from>
    <xdr:to>
      <xdr:col>12</xdr:col>
      <xdr:colOff>131575</xdr:colOff>
      <xdr:row>1433</xdr:row>
      <xdr:rowOff>55877</xdr:rowOff>
    </xdr:to>
    <xdr:sp macro="_xll.PtreeEvent_ObjectClick" textlink="">
      <xdr:nvSpPr>
        <xdr:cNvPr id="2849" name="PTObj_DNode_1_709">
          <a:extLst>
            <a:ext uri="{FF2B5EF4-FFF2-40B4-BE49-F238E27FC236}">
              <a16:creationId xmlns:a16="http://schemas.microsoft.com/office/drawing/2014/main" id="{1F5E48BC-2BD6-4147-8D24-FC3730017073}"/>
            </a:ext>
          </a:extLst>
        </xdr:cNvPr>
        <xdr:cNvSpPr/>
      </xdr:nvSpPr>
      <xdr:spPr>
        <a:xfrm rot="-5400000">
          <a:off x="21347557" y="2592254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1432</xdr:row>
      <xdr:rowOff>70351</xdr:rowOff>
    </xdr:from>
    <xdr:ext cx="514858" cy="180627"/>
    <xdr:sp macro="_xll.PtreeEvent_ObjectClick" textlink="">
      <xdr:nvSpPr>
        <xdr:cNvPr id="2852" name="PTObj_DBranchName_1_709">
          <a:extLst>
            <a:ext uri="{FF2B5EF4-FFF2-40B4-BE49-F238E27FC236}">
              <a16:creationId xmlns:a16="http://schemas.microsoft.com/office/drawing/2014/main" id="{590FBE8A-0441-443E-AB14-8348EA34F30B}"/>
            </a:ext>
          </a:extLst>
        </xdr:cNvPr>
        <xdr:cNvSpPr txBox="1"/>
      </xdr:nvSpPr>
      <xdr:spPr>
        <a:xfrm>
          <a:off x="20188045" y="2592265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1444</xdr:row>
      <xdr:rowOff>93985</xdr:rowOff>
    </xdr:from>
    <xdr:to>
      <xdr:col>8</xdr:col>
      <xdr:colOff>167768</xdr:colOff>
      <xdr:row>1445</xdr:row>
      <xdr:rowOff>95895</xdr:rowOff>
    </xdr:to>
    <xdr:sp macro="_xll.PtreeEvent_ObjectClick" textlink="">
      <xdr:nvSpPr>
        <xdr:cNvPr id="2853" name="PTObj_DNode_1_715">
          <a:extLst>
            <a:ext uri="{FF2B5EF4-FFF2-40B4-BE49-F238E27FC236}">
              <a16:creationId xmlns:a16="http://schemas.microsoft.com/office/drawing/2014/main" id="{F9A653F3-D0EA-4C34-8FA7-C9A7C25FFB55}"/>
            </a:ext>
          </a:extLst>
        </xdr:cNvPr>
        <xdr:cNvSpPr/>
      </xdr:nvSpPr>
      <xdr:spPr>
        <a:xfrm>
          <a:off x="15643988" y="261421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1444</xdr:row>
      <xdr:rowOff>98911</xdr:rowOff>
    </xdr:from>
    <xdr:ext cx="566520" cy="180627"/>
    <xdr:sp macro="_xll.PtreeEvent_ObjectClick" textlink="">
      <xdr:nvSpPr>
        <xdr:cNvPr id="2856" name="PTObj_DBranchName_1_715">
          <a:extLst>
            <a:ext uri="{FF2B5EF4-FFF2-40B4-BE49-F238E27FC236}">
              <a16:creationId xmlns:a16="http://schemas.microsoft.com/office/drawing/2014/main" id="{424727A0-81A4-44DB-8697-0604458D1D0D}"/>
            </a:ext>
          </a:extLst>
        </xdr:cNvPr>
        <xdr:cNvSpPr txBox="1"/>
      </xdr:nvSpPr>
      <xdr:spPr>
        <a:xfrm>
          <a:off x="14498765" y="261426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1436</xdr:row>
      <xdr:rowOff>78730</xdr:rowOff>
    </xdr:from>
    <xdr:to>
      <xdr:col>9</xdr:col>
      <xdr:colOff>154432</xdr:colOff>
      <xdr:row>1437</xdr:row>
      <xdr:rowOff>92070</xdr:rowOff>
    </xdr:to>
    <xdr:sp macro="_xll.PtreeEvent_ObjectClick" textlink="">
      <xdr:nvSpPr>
        <xdr:cNvPr id="2857" name="PTObj_DNode_1_711">
          <a:extLst>
            <a:ext uri="{FF2B5EF4-FFF2-40B4-BE49-F238E27FC236}">
              <a16:creationId xmlns:a16="http://schemas.microsoft.com/office/drawing/2014/main" id="{66A4D920-A09C-4319-B98C-815BC9DBA5C8}"/>
            </a:ext>
          </a:extLst>
        </xdr:cNvPr>
        <xdr:cNvSpPr/>
      </xdr:nvSpPr>
      <xdr:spPr>
        <a:xfrm>
          <a:off x="17068927" y="259958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1436</xdr:row>
      <xdr:rowOff>79871</xdr:rowOff>
    </xdr:from>
    <xdr:ext cx="566519" cy="180627"/>
    <xdr:sp macro="_xll.PtreeEvent_ObjectClick" textlink="">
      <xdr:nvSpPr>
        <xdr:cNvPr id="2860" name="PTObj_DBranchName_1_711">
          <a:extLst>
            <a:ext uri="{FF2B5EF4-FFF2-40B4-BE49-F238E27FC236}">
              <a16:creationId xmlns:a16="http://schemas.microsoft.com/office/drawing/2014/main" id="{A98B3C9B-4B2C-48B3-8E01-F5C9236ECD4C}"/>
            </a:ext>
          </a:extLst>
        </xdr:cNvPr>
        <xdr:cNvSpPr txBox="1"/>
      </xdr:nvSpPr>
      <xdr:spPr>
        <a:xfrm>
          <a:off x="15922752" y="2599599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1438</xdr:row>
      <xdr:rowOff>82550</xdr:rowOff>
    </xdr:from>
    <xdr:to>
      <xdr:col>10</xdr:col>
      <xdr:colOff>150622</xdr:colOff>
      <xdr:row>1439</xdr:row>
      <xdr:rowOff>95890</xdr:rowOff>
    </xdr:to>
    <xdr:sp macro="_xll.PtreeEvent_ObjectClick" textlink="">
      <xdr:nvSpPr>
        <xdr:cNvPr id="2861" name="PTObj_DNode_1_712">
          <a:extLst>
            <a:ext uri="{FF2B5EF4-FFF2-40B4-BE49-F238E27FC236}">
              <a16:creationId xmlns:a16="http://schemas.microsoft.com/office/drawing/2014/main" id="{56ADCC96-7285-4883-915F-CC97E433B82F}"/>
            </a:ext>
          </a:extLst>
        </xdr:cNvPr>
        <xdr:cNvSpPr/>
      </xdr:nvSpPr>
      <xdr:spPr>
        <a:xfrm>
          <a:off x="18493867" y="260324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1438</xdr:row>
      <xdr:rowOff>85571</xdr:rowOff>
    </xdr:from>
    <xdr:ext cx="514857" cy="180627"/>
    <xdr:sp macro="_xll.PtreeEvent_ObjectClick" textlink="">
      <xdr:nvSpPr>
        <xdr:cNvPr id="2864" name="PTObj_DBranchName_1_712">
          <a:extLst>
            <a:ext uri="{FF2B5EF4-FFF2-40B4-BE49-F238E27FC236}">
              <a16:creationId xmlns:a16="http://schemas.microsoft.com/office/drawing/2014/main" id="{3373DFDE-6446-4E2E-8A83-7E797BE1ECB7}"/>
            </a:ext>
          </a:extLst>
        </xdr:cNvPr>
        <xdr:cNvSpPr txBox="1"/>
      </xdr:nvSpPr>
      <xdr:spPr>
        <a:xfrm>
          <a:off x="17344834" y="2603276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1440</xdr:row>
      <xdr:rowOff>86370</xdr:rowOff>
    </xdr:from>
    <xdr:to>
      <xdr:col>11</xdr:col>
      <xdr:colOff>135383</xdr:colOff>
      <xdr:row>1441</xdr:row>
      <xdr:rowOff>92090</xdr:rowOff>
    </xdr:to>
    <xdr:sp macro="_xll.PtreeEvent_ObjectClick" textlink="">
      <xdr:nvSpPr>
        <xdr:cNvPr id="2865" name="PTObj_DNode_1_713">
          <a:extLst>
            <a:ext uri="{FF2B5EF4-FFF2-40B4-BE49-F238E27FC236}">
              <a16:creationId xmlns:a16="http://schemas.microsoft.com/office/drawing/2014/main" id="{E8A42D60-C673-490E-9611-D0BFE2A47B79}"/>
            </a:ext>
          </a:extLst>
        </xdr:cNvPr>
        <xdr:cNvSpPr/>
      </xdr:nvSpPr>
      <xdr:spPr>
        <a:xfrm>
          <a:off x="19918807" y="260690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1440</xdr:row>
      <xdr:rowOff>89391</xdr:rowOff>
    </xdr:from>
    <xdr:ext cx="514858" cy="180627"/>
    <xdr:sp macro="_xll.PtreeEvent_ObjectClick" textlink="">
      <xdr:nvSpPr>
        <xdr:cNvPr id="2868" name="PTObj_DBranchName_1_713">
          <a:extLst>
            <a:ext uri="{FF2B5EF4-FFF2-40B4-BE49-F238E27FC236}">
              <a16:creationId xmlns:a16="http://schemas.microsoft.com/office/drawing/2014/main" id="{61E7D4A1-2DEE-43F4-BC59-EC1EB0A399AF}"/>
            </a:ext>
          </a:extLst>
        </xdr:cNvPr>
        <xdr:cNvSpPr txBox="1"/>
      </xdr:nvSpPr>
      <xdr:spPr>
        <a:xfrm>
          <a:off x="18768820" y="260693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1442</xdr:row>
      <xdr:rowOff>96835</xdr:rowOff>
    </xdr:from>
    <xdr:to>
      <xdr:col>12</xdr:col>
      <xdr:colOff>132527</xdr:colOff>
      <xdr:row>1443</xdr:row>
      <xdr:rowOff>93025</xdr:rowOff>
    </xdr:to>
    <xdr:sp macro="_xll.PtreeEvent_ObjectClick" textlink="">
      <xdr:nvSpPr>
        <xdr:cNvPr id="2869" name="PTObj_DNode_1_714">
          <a:extLst>
            <a:ext uri="{FF2B5EF4-FFF2-40B4-BE49-F238E27FC236}">
              <a16:creationId xmlns:a16="http://schemas.microsoft.com/office/drawing/2014/main" id="{1E3B5410-7144-40F7-9FCE-B4B5387C6D49}"/>
            </a:ext>
          </a:extLst>
        </xdr:cNvPr>
        <xdr:cNvSpPr/>
      </xdr:nvSpPr>
      <xdr:spPr>
        <a:xfrm rot="-5400000">
          <a:off x="21347557" y="2610599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1442</xdr:row>
      <xdr:rowOff>95116</xdr:rowOff>
    </xdr:from>
    <xdr:ext cx="514858" cy="180627"/>
    <xdr:sp macro="_xll.PtreeEvent_ObjectClick" textlink="">
      <xdr:nvSpPr>
        <xdr:cNvPr id="2872" name="PTObj_DBranchName_1_714">
          <a:extLst>
            <a:ext uri="{FF2B5EF4-FFF2-40B4-BE49-F238E27FC236}">
              <a16:creationId xmlns:a16="http://schemas.microsoft.com/office/drawing/2014/main" id="{9527614D-750F-4528-A6FC-E5DF8E28FD6B}"/>
            </a:ext>
          </a:extLst>
        </xdr:cNvPr>
        <xdr:cNvSpPr txBox="1"/>
      </xdr:nvSpPr>
      <xdr:spPr>
        <a:xfrm>
          <a:off x="20188045" y="2610610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1446</xdr:row>
      <xdr:rowOff>97780</xdr:rowOff>
    </xdr:from>
    <xdr:to>
      <xdr:col>9</xdr:col>
      <xdr:colOff>154432</xdr:colOff>
      <xdr:row>1447</xdr:row>
      <xdr:rowOff>95880</xdr:rowOff>
    </xdr:to>
    <xdr:sp macro="_xll.PtreeEvent_ObjectClick" textlink="">
      <xdr:nvSpPr>
        <xdr:cNvPr id="2873" name="PTObj_DNode_1_716">
          <a:extLst>
            <a:ext uri="{FF2B5EF4-FFF2-40B4-BE49-F238E27FC236}">
              <a16:creationId xmlns:a16="http://schemas.microsoft.com/office/drawing/2014/main" id="{0B5BF448-E6E6-4710-88BD-553278E5121D}"/>
            </a:ext>
          </a:extLst>
        </xdr:cNvPr>
        <xdr:cNvSpPr/>
      </xdr:nvSpPr>
      <xdr:spPr>
        <a:xfrm>
          <a:off x="17068927" y="261787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1446</xdr:row>
      <xdr:rowOff>95111</xdr:rowOff>
    </xdr:from>
    <xdr:ext cx="566520" cy="180627"/>
    <xdr:sp macro="_xll.PtreeEvent_ObjectClick" textlink="">
      <xdr:nvSpPr>
        <xdr:cNvPr id="2876" name="PTObj_DBranchName_1_716">
          <a:extLst>
            <a:ext uri="{FF2B5EF4-FFF2-40B4-BE49-F238E27FC236}">
              <a16:creationId xmlns:a16="http://schemas.microsoft.com/office/drawing/2014/main" id="{ECBAF25A-665E-47A6-BC19-467C28A7E284}"/>
            </a:ext>
          </a:extLst>
        </xdr:cNvPr>
        <xdr:cNvSpPr txBox="1"/>
      </xdr:nvSpPr>
      <xdr:spPr>
        <a:xfrm>
          <a:off x="15926563" y="2617849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1448</xdr:row>
      <xdr:rowOff>101600</xdr:rowOff>
    </xdr:from>
    <xdr:to>
      <xdr:col>10</xdr:col>
      <xdr:colOff>150622</xdr:colOff>
      <xdr:row>1449</xdr:row>
      <xdr:rowOff>97795</xdr:rowOff>
    </xdr:to>
    <xdr:sp macro="_xll.PtreeEvent_ObjectClick" textlink="">
      <xdr:nvSpPr>
        <xdr:cNvPr id="2877" name="PTObj_DNode_1_717">
          <a:extLst>
            <a:ext uri="{FF2B5EF4-FFF2-40B4-BE49-F238E27FC236}">
              <a16:creationId xmlns:a16="http://schemas.microsoft.com/office/drawing/2014/main" id="{806CFBF2-3ED4-4898-B026-54CAB49BF466}"/>
            </a:ext>
          </a:extLst>
        </xdr:cNvPr>
        <xdr:cNvSpPr/>
      </xdr:nvSpPr>
      <xdr:spPr>
        <a:xfrm>
          <a:off x="18493867" y="262153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1448</xdr:row>
      <xdr:rowOff>98906</xdr:rowOff>
    </xdr:from>
    <xdr:ext cx="514857" cy="180627"/>
    <xdr:sp macro="_xll.PtreeEvent_ObjectClick" textlink="">
      <xdr:nvSpPr>
        <xdr:cNvPr id="2880" name="PTObj_DBranchName_1_717">
          <a:extLst>
            <a:ext uri="{FF2B5EF4-FFF2-40B4-BE49-F238E27FC236}">
              <a16:creationId xmlns:a16="http://schemas.microsoft.com/office/drawing/2014/main" id="{A8902CA6-A93D-42FB-BC35-6ECBD2B9DB80}"/>
            </a:ext>
          </a:extLst>
        </xdr:cNvPr>
        <xdr:cNvSpPr txBox="1"/>
      </xdr:nvSpPr>
      <xdr:spPr>
        <a:xfrm>
          <a:off x="17344834" y="2621507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1450</xdr:row>
      <xdr:rowOff>105420</xdr:rowOff>
    </xdr:from>
    <xdr:to>
      <xdr:col>11</xdr:col>
      <xdr:colOff>135383</xdr:colOff>
      <xdr:row>1451</xdr:row>
      <xdr:rowOff>93995</xdr:rowOff>
    </xdr:to>
    <xdr:sp macro="_xll.PtreeEvent_ObjectClick" textlink="">
      <xdr:nvSpPr>
        <xdr:cNvPr id="2881" name="PTObj_DNode_1_718">
          <a:extLst>
            <a:ext uri="{FF2B5EF4-FFF2-40B4-BE49-F238E27FC236}">
              <a16:creationId xmlns:a16="http://schemas.microsoft.com/office/drawing/2014/main" id="{72033772-C034-41AB-B969-3D1EF17E09D6}"/>
            </a:ext>
          </a:extLst>
        </xdr:cNvPr>
        <xdr:cNvSpPr/>
      </xdr:nvSpPr>
      <xdr:spPr>
        <a:xfrm>
          <a:off x="19918807" y="262519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1450</xdr:row>
      <xdr:rowOff>104631</xdr:rowOff>
    </xdr:from>
    <xdr:ext cx="514858" cy="180627"/>
    <xdr:sp macro="_xll.PtreeEvent_ObjectClick" textlink="">
      <xdr:nvSpPr>
        <xdr:cNvPr id="2884" name="PTObj_DBranchName_1_718">
          <a:extLst>
            <a:ext uri="{FF2B5EF4-FFF2-40B4-BE49-F238E27FC236}">
              <a16:creationId xmlns:a16="http://schemas.microsoft.com/office/drawing/2014/main" id="{3379E947-BDFD-4675-B7AB-E5AB1684199A}"/>
            </a:ext>
          </a:extLst>
        </xdr:cNvPr>
        <xdr:cNvSpPr txBox="1"/>
      </xdr:nvSpPr>
      <xdr:spPr>
        <a:xfrm>
          <a:off x="18768820" y="262518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1452</xdr:row>
      <xdr:rowOff>111122</xdr:rowOff>
    </xdr:from>
    <xdr:to>
      <xdr:col>12</xdr:col>
      <xdr:colOff>135385</xdr:colOff>
      <xdr:row>1453</xdr:row>
      <xdr:rowOff>97787</xdr:rowOff>
    </xdr:to>
    <xdr:sp macro="_xll.PtreeEvent_ObjectClick" textlink="">
      <xdr:nvSpPr>
        <xdr:cNvPr id="2885" name="PTObj_DNode_1_719">
          <a:extLst>
            <a:ext uri="{FF2B5EF4-FFF2-40B4-BE49-F238E27FC236}">
              <a16:creationId xmlns:a16="http://schemas.microsoft.com/office/drawing/2014/main" id="{67A925BD-71B4-4D53-AFBB-F172FDBEC77C}"/>
            </a:ext>
          </a:extLst>
        </xdr:cNvPr>
        <xdr:cNvSpPr/>
      </xdr:nvSpPr>
      <xdr:spPr>
        <a:xfrm rot="-5400000">
          <a:off x="21347557" y="2628830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1452</xdr:row>
      <xdr:rowOff>108451</xdr:rowOff>
    </xdr:from>
    <xdr:ext cx="514858" cy="180627"/>
    <xdr:sp macro="_xll.PtreeEvent_ObjectClick" textlink="">
      <xdr:nvSpPr>
        <xdr:cNvPr id="2888" name="PTObj_DBranchName_1_719">
          <a:extLst>
            <a:ext uri="{FF2B5EF4-FFF2-40B4-BE49-F238E27FC236}">
              <a16:creationId xmlns:a16="http://schemas.microsoft.com/office/drawing/2014/main" id="{EACB1229-A31B-45E4-804D-5C72F28894ED}"/>
            </a:ext>
          </a:extLst>
        </xdr:cNvPr>
        <xdr:cNvSpPr txBox="1"/>
      </xdr:nvSpPr>
      <xdr:spPr>
        <a:xfrm>
          <a:off x="20188045" y="2628841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1415542</xdr:colOff>
      <xdr:row>1535</xdr:row>
      <xdr:rowOff>84460</xdr:rowOff>
    </xdr:from>
    <xdr:to>
      <xdr:col>5</xdr:col>
      <xdr:colOff>173483</xdr:colOff>
      <xdr:row>1536</xdr:row>
      <xdr:rowOff>95895</xdr:rowOff>
    </xdr:to>
    <xdr:sp macro="_xll.PtreeEvent_ObjectClick" textlink="">
      <xdr:nvSpPr>
        <xdr:cNvPr id="2889" name="PTObj_DNode_1_760">
          <a:extLst>
            <a:ext uri="{FF2B5EF4-FFF2-40B4-BE49-F238E27FC236}">
              <a16:creationId xmlns:a16="http://schemas.microsoft.com/office/drawing/2014/main" id="{EF7E982A-E36E-483A-BDC7-B526CA6C7E4C}"/>
            </a:ext>
          </a:extLst>
        </xdr:cNvPr>
        <xdr:cNvSpPr/>
      </xdr:nvSpPr>
      <xdr:spPr>
        <a:xfrm>
          <a:off x="11369167" y="2778810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266509</xdr:colOff>
      <xdr:row>1535</xdr:row>
      <xdr:rowOff>87481</xdr:rowOff>
    </xdr:from>
    <xdr:ext cx="566520" cy="180627"/>
    <xdr:sp macro="_xll.PtreeEvent_ObjectClick" textlink="">
      <xdr:nvSpPr>
        <xdr:cNvPr id="2892" name="PTObj_DBranchName_1_760">
          <a:extLst>
            <a:ext uri="{FF2B5EF4-FFF2-40B4-BE49-F238E27FC236}">
              <a16:creationId xmlns:a16="http://schemas.microsoft.com/office/drawing/2014/main" id="{0B65CB8D-9DAF-4664-945B-278BD07A9CCD}"/>
            </a:ext>
          </a:extLst>
        </xdr:cNvPr>
        <xdr:cNvSpPr txBox="1"/>
      </xdr:nvSpPr>
      <xdr:spPr>
        <a:xfrm>
          <a:off x="10220134" y="277884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1411732</xdr:colOff>
      <xdr:row>1495</xdr:row>
      <xdr:rowOff>8260</xdr:rowOff>
    </xdr:from>
    <xdr:to>
      <xdr:col>6</xdr:col>
      <xdr:colOff>173482</xdr:colOff>
      <xdr:row>1496</xdr:row>
      <xdr:rowOff>15885</xdr:rowOff>
    </xdr:to>
    <xdr:sp macro="_xll.PtreeEvent_ObjectClick" textlink="">
      <xdr:nvSpPr>
        <xdr:cNvPr id="2893" name="PTObj_DNode_1_740">
          <a:extLst>
            <a:ext uri="{FF2B5EF4-FFF2-40B4-BE49-F238E27FC236}">
              <a16:creationId xmlns:a16="http://schemas.microsoft.com/office/drawing/2014/main" id="{3585604D-065E-4997-BE49-99D2124752C3}"/>
            </a:ext>
          </a:extLst>
        </xdr:cNvPr>
        <xdr:cNvSpPr/>
      </xdr:nvSpPr>
      <xdr:spPr>
        <a:xfrm>
          <a:off x="12794107" y="27056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1495</xdr:row>
      <xdr:rowOff>11281</xdr:rowOff>
    </xdr:from>
    <xdr:ext cx="566520" cy="180627"/>
    <xdr:sp macro="_xll.PtreeEvent_ObjectClick" textlink="">
      <xdr:nvSpPr>
        <xdr:cNvPr id="2896" name="PTObj_DBranchName_1_740">
          <a:extLst>
            <a:ext uri="{FF2B5EF4-FFF2-40B4-BE49-F238E27FC236}">
              <a16:creationId xmlns:a16="http://schemas.microsoft.com/office/drawing/2014/main" id="{26BF7BB3-73FA-4423-836B-43E948F2DEC3}"/>
            </a:ext>
          </a:extLst>
        </xdr:cNvPr>
        <xdr:cNvSpPr txBox="1"/>
      </xdr:nvSpPr>
      <xdr:spPr>
        <a:xfrm>
          <a:off x="11648885" y="270568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1474</xdr:row>
      <xdr:rowOff>151135</xdr:rowOff>
    </xdr:from>
    <xdr:to>
      <xdr:col>7</xdr:col>
      <xdr:colOff>171577</xdr:colOff>
      <xdr:row>1475</xdr:row>
      <xdr:rowOff>153045</xdr:rowOff>
    </xdr:to>
    <xdr:sp macro="_xll.PtreeEvent_ObjectClick" textlink="">
      <xdr:nvSpPr>
        <xdr:cNvPr id="2897" name="PTObj_DNode_1_730">
          <a:extLst>
            <a:ext uri="{FF2B5EF4-FFF2-40B4-BE49-F238E27FC236}">
              <a16:creationId xmlns:a16="http://schemas.microsoft.com/office/drawing/2014/main" id="{B58C9460-C562-4001-AF17-2FA63DE9878A}"/>
            </a:ext>
          </a:extLst>
        </xdr:cNvPr>
        <xdr:cNvSpPr/>
      </xdr:nvSpPr>
      <xdr:spPr>
        <a:xfrm>
          <a:off x="14219047" y="266908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1474</xdr:row>
      <xdr:rowOff>152251</xdr:rowOff>
    </xdr:from>
    <xdr:ext cx="568424" cy="180627"/>
    <xdr:sp macro="_xll.PtreeEvent_ObjectClick" textlink="">
      <xdr:nvSpPr>
        <xdr:cNvPr id="2900" name="PTObj_DBranchName_1_730">
          <a:extLst>
            <a:ext uri="{FF2B5EF4-FFF2-40B4-BE49-F238E27FC236}">
              <a16:creationId xmlns:a16="http://schemas.microsoft.com/office/drawing/2014/main" id="{C17E7690-D441-46D0-95E7-A5BD3317B7E9}"/>
            </a:ext>
          </a:extLst>
        </xdr:cNvPr>
        <xdr:cNvSpPr txBox="1"/>
      </xdr:nvSpPr>
      <xdr:spPr>
        <a:xfrm>
          <a:off x="13072872" y="26690940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1464</xdr:row>
      <xdr:rowOff>132085</xdr:rowOff>
    </xdr:from>
    <xdr:to>
      <xdr:col>8</xdr:col>
      <xdr:colOff>167768</xdr:colOff>
      <xdr:row>1465</xdr:row>
      <xdr:rowOff>133995</xdr:rowOff>
    </xdr:to>
    <xdr:sp macro="_xll.PtreeEvent_ObjectClick" textlink="">
      <xdr:nvSpPr>
        <xdr:cNvPr id="2901" name="PTObj_DNode_1_725">
          <a:extLst>
            <a:ext uri="{FF2B5EF4-FFF2-40B4-BE49-F238E27FC236}">
              <a16:creationId xmlns:a16="http://schemas.microsoft.com/office/drawing/2014/main" id="{7E6AC8BB-EE67-42E6-ABDD-7EA994D04B0E}"/>
            </a:ext>
          </a:extLst>
        </xdr:cNvPr>
        <xdr:cNvSpPr/>
      </xdr:nvSpPr>
      <xdr:spPr>
        <a:xfrm>
          <a:off x="15643988" y="26507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1464</xdr:row>
      <xdr:rowOff>137011</xdr:rowOff>
    </xdr:from>
    <xdr:ext cx="566520" cy="180627"/>
    <xdr:sp macro="_xll.PtreeEvent_ObjectClick" textlink="">
      <xdr:nvSpPr>
        <xdr:cNvPr id="2904" name="PTObj_DBranchName_1_725">
          <a:extLst>
            <a:ext uri="{FF2B5EF4-FFF2-40B4-BE49-F238E27FC236}">
              <a16:creationId xmlns:a16="http://schemas.microsoft.com/office/drawing/2014/main" id="{132A78A4-8FED-4E40-858A-302C08634D26}"/>
            </a:ext>
          </a:extLst>
        </xdr:cNvPr>
        <xdr:cNvSpPr txBox="1"/>
      </xdr:nvSpPr>
      <xdr:spPr>
        <a:xfrm>
          <a:off x="14500670" y="265084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1456</xdr:row>
      <xdr:rowOff>116830</xdr:rowOff>
    </xdr:from>
    <xdr:to>
      <xdr:col>9</xdr:col>
      <xdr:colOff>154432</xdr:colOff>
      <xdr:row>1457</xdr:row>
      <xdr:rowOff>130170</xdr:rowOff>
    </xdr:to>
    <xdr:sp macro="_xll.PtreeEvent_ObjectClick" textlink="">
      <xdr:nvSpPr>
        <xdr:cNvPr id="2905" name="PTObj_DNode_1_721">
          <a:extLst>
            <a:ext uri="{FF2B5EF4-FFF2-40B4-BE49-F238E27FC236}">
              <a16:creationId xmlns:a16="http://schemas.microsoft.com/office/drawing/2014/main" id="{33312522-8746-46DB-BCB0-2BD362B5EE33}"/>
            </a:ext>
          </a:extLst>
        </xdr:cNvPr>
        <xdr:cNvSpPr/>
      </xdr:nvSpPr>
      <xdr:spPr>
        <a:xfrm>
          <a:off x="17068927" y="263616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1456</xdr:row>
      <xdr:rowOff>117971</xdr:rowOff>
    </xdr:from>
    <xdr:ext cx="566519" cy="180627"/>
    <xdr:sp macro="_xll.PtreeEvent_ObjectClick" textlink="">
      <xdr:nvSpPr>
        <xdr:cNvPr id="2908" name="PTObj_DBranchName_1_721">
          <a:extLst>
            <a:ext uri="{FF2B5EF4-FFF2-40B4-BE49-F238E27FC236}">
              <a16:creationId xmlns:a16="http://schemas.microsoft.com/office/drawing/2014/main" id="{B822613D-8752-4B07-AFA3-B76829A1B29F}"/>
            </a:ext>
          </a:extLst>
        </xdr:cNvPr>
        <xdr:cNvSpPr txBox="1"/>
      </xdr:nvSpPr>
      <xdr:spPr>
        <a:xfrm>
          <a:off x="15922752" y="2636175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1458</xdr:row>
      <xdr:rowOff>120650</xdr:rowOff>
    </xdr:from>
    <xdr:to>
      <xdr:col>10</xdr:col>
      <xdr:colOff>150622</xdr:colOff>
      <xdr:row>1459</xdr:row>
      <xdr:rowOff>133990</xdr:rowOff>
    </xdr:to>
    <xdr:sp macro="_xll.PtreeEvent_ObjectClick" textlink="">
      <xdr:nvSpPr>
        <xdr:cNvPr id="2909" name="PTObj_DNode_1_722">
          <a:extLst>
            <a:ext uri="{FF2B5EF4-FFF2-40B4-BE49-F238E27FC236}">
              <a16:creationId xmlns:a16="http://schemas.microsoft.com/office/drawing/2014/main" id="{02439AAD-652A-451D-92FF-B2926295067E}"/>
            </a:ext>
          </a:extLst>
        </xdr:cNvPr>
        <xdr:cNvSpPr/>
      </xdr:nvSpPr>
      <xdr:spPr>
        <a:xfrm>
          <a:off x="18493867" y="263982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1458</xdr:row>
      <xdr:rowOff>123671</xdr:rowOff>
    </xdr:from>
    <xdr:ext cx="514857" cy="180627"/>
    <xdr:sp macro="_xll.PtreeEvent_ObjectClick" textlink="">
      <xdr:nvSpPr>
        <xdr:cNvPr id="2912" name="PTObj_DBranchName_1_722">
          <a:extLst>
            <a:ext uri="{FF2B5EF4-FFF2-40B4-BE49-F238E27FC236}">
              <a16:creationId xmlns:a16="http://schemas.microsoft.com/office/drawing/2014/main" id="{A9E80B07-53EF-4128-B7B1-86F5DDCFFE42}"/>
            </a:ext>
          </a:extLst>
        </xdr:cNvPr>
        <xdr:cNvSpPr txBox="1"/>
      </xdr:nvSpPr>
      <xdr:spPr>
        <a:xfrm>
          <a:off x="17344834" y="2639852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1460</xdr:row>
      <xdr:rowOff>124470</xdr:rowOff>
    </xdr:from>
    <xdr:to>
      <xdr:col>11</xdr:col>
      <xdr:colOff>135383</xdr:colOff>
      <xdr:row>1461</xdr:row>
      <xdr:rowOff>130190</xdr:rowOff>
    </xdr:to>
    <xdr:sp macro="_xll.PtreeEvent_ObjectClick" textlink="">
      <xdr:nvSpPr>
        <xdr:cNvPr id="2913" name="PTObj_DNode_1_723">
          <a:extLst>
            <a:ext uri="{FF2B5EF4-FFF2-40B4-BE49-F238E27FC236}">
              <a16:creationId xmlns:a16="http://schemas.microsoft.com/office/drawing/2014/main" id="{E6661316-CFEF-4B44-8FEB-ED3676D796F4}"/>
            </a:ext>
          </a:extLst>
        </xdr:cNvPr>
        <xdr:cNvSpPr/>
      </xdr:nvSpPr>
      <xdr:spPr>
        <a:xfrm>
          <a:off x="19918807" y="264347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1460</xdr:row>
      <xdr:rowOff>127491</xdr:rowOff>
    </xdr:from>
    <xdr:ext cx="514858" cy="180627"/>
    <xdr:sp macro="_xll.PtreeEvent_ObjectClick" textlink="">
      <xdr:nvSpPr>
        <xdr:cNvPr id="2916" name="PTObj_DBranchName_1_723">
          <a:extLst>
            <a:ext uri="{FF2B5EF4-FFF2-40B4-BE49-F238E27FC236}">
              <a16:creationId xmlns:a16="http://schemas.microsoft.com/office/drawing/2014/main" id="{9F5C9F67-C990-4F41-8E56-2CDF42AC4153}"/>
            </a:ext>
          </a:extLst>
        </xdr:cNvPr>
        <xdr:cNvSpPr txBox="1"/>
      </xdr:nvSpPr>
      <xdr:spPr>
        <a:xfrm>
          <a:off x="18768820" y="264350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1462</xdr:row>
      <xdr:rowOff>134935</xdr:rowOff>
    </xdr:from>
    <xdr:to>
      <xdr:col>12</xdr:col>
      <xdr:colOff>132527</xdr:colOff>
      <xdr:row>1463</xdr:row>
      <xdr:rowOff>131125</xdr:rowOff>
    </xdr:to>
    <xdr:sp macro="_xll.PtreeEvent_ObjectClick" textlink="">
      <xdr:nvSpPr>
        <xdr:cNvPr id="2917" name="PTObj_DNode_1_724">
          <a:extLst>
            <a:ext uri="{FF2B5EF4-FFF2-40B4-BE49-F238E27FC236}">
              <a16:creationId xmlns:a16="http://schemas.microsoft.com/office/drawing/2014/main" id="{006DC5F4-7BF8-4D7B-A7F3-71621B0ACB2D}"/>
            </a:ext>
          </a:extLst>
        </xdr:cNvPr>
        <xdr:cNvSpPr/>
      </xdr:nvSpPr>
      <xdr:spPr>
        <a:xfrm rot="-5400000">
          <a:off x="21347557" y="2647175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1462</xdr:row>
      <xdr:rowOff>133216</xdr:rowOff>
    </xdr:from>
    <xdr:ext cx="514858" cy="180627"/>
    <xdr:sp macro="_xll.PtreeEvent_ObjectClick" textlink="">
      <xdr:nvSpPr>
        <xdr:cNvPr id="2920" name="PTObj_DBranchName_1_724">
          <a:extLst>
            <a:ext uri="{FF2B5EF4-FFF2-40B4-BE49-F238E27FC236}">
              <a16:creationId xmlns:a16="http://schemas.microsoft.com/office/drawing/2014/main" id="{00D6E976-6171-4F84-8901-DBD7E9654ECF}"/>
            </a:ext>
          </a:extLst>
        </xdr:cNvPr>
        <xdr:cNvSpPr txBox="1"/>
      </xdr:nvSpPr>
      <xdr:spPr>
        <a:xfrm>
          <a:off x="20188045" y="2647186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1466</xdr:row>
      <xdr:rowOff>135880</xdr:rowOff>
    </xdr:from>
    <xdr:to>
      <xdr:col>9</xdr:col>
      <xdr:colOff>154432</xdr:colOff>
      <xdr:row>1467</xdr:row>
      <xdr:rowOff>133980</xdr:rowOff>
    </xdr:to>
    <xdr:sp macro="_xll.PtreeEvent_ObjectClick" textlink="">
      <xdr:nvSpPr>
        <xdr:cNvPr id="2921" name="PTObj_DNode_1_726">
          <a:extLst>
            <a:ext uri="{FF2B5EF4-FFF2-40B4-BE49-F238E27FC236}">
              <a16:creationId xmlns:a16="http://schemas.microsoft.com/office/drawing/2014/main" id="{C5D2D1F8-1298-4BC7-9AA8-BD5750C8F659}"/>
            </a:ext>
          </a:extLst>
        </xdr:cNvPr>
        <xdr:cNvSpPr/>
      </xdr:nvSpPr>
      <xdr:spPr>
        <a:xfrm>
          <a:off x="17068927" y="265445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1466</xdr:row>
      <xdr:rowOff>133211</xdr:rowOff>
    </xdr:from>
    <xdr:ext cx="566520" cy="180627"/>
    <xdr:sp macro="_xll.PtreeEvent_ObjectClick" textlink="">
      <xdr:nvSpPr>
        <xdr:cNvPr id="2924" name="PTObj_DBranchName_1_726">
          <a:extLst>
            <a:ext uri="{FF2B5EF4-FFF2-40B4-BE49-F238E27FC236}">
              <a16:creationId xmlns:a16="http://schemas.microsoft.com/office/drawing/2014/main" id="{A9ECBC20-FD4B-41A1-AC25-BAB583ADD48E}"/>
            </a:ext>
          </a:extLst>
        </xdr:cNvPr>
        <xdr:cNvSpPr txBox="1"/>
      </xdr:nvSpPr>
      <xdr:spPr>
        <a:xfrm>
          <a:off x="15926563" y="2654425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1468</xdr:row>
      <xdr:rowOff>139700</xdr:rowOff>
    </xdr:from>
    <xdr:to>
      <xdr:col>10</xdr:col>
      <xdr:colOff>150622</xdr:colOff>
      <xdr:row>1469</xdr:row>
      <xdr:rowOff>135895</xdr:rowOff>
    </xdr:to>
    <xdr:sp macro="_xll.PtreeEvent_ObjectClick" textlink="">
      <xdr:nvSpPr>
        <xdr:cNvPr id="2925" name="PTObj_DNode_1_727">
          <a:extLst>
            <a:ext uri="{FF2B5EF4-FFF2-40B4-BE49-F238E27FC236}">
              <a16:creationId xmlns:a16="http://schemas.microsoft.com/office/drawing/2014/main" id="{D15115D0-ACDA-4D7D-97D7-84C445D25C83}"/>
            </a:ext>
          </a:extLst>
        </xdr:cNvPr>
        <xdr:cNvSpPr/>
      </xdr:nvSpPr>
      <xdr:spPr>
        <a:xfrm>
          <a:off x="18493867" y="265811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1468</xdr:row>
      <xdr:rowOff>137006</xdr:rowOff>
    </xdr:from>
    <xdr:ext cx="514857" cy="180627"/>
    <xdr:sp macro="_xll.PtreeEvent_ObjectClick" textlink="">
      <xdr:nvSpPr>
        <xdr:cNvPr id="2928" name="PTObj_DBranchName_1_727">
          <a:extLst>
            <a:ext uri="{FF2B5EF4-FFF2-40B4-BE49-F238E27FC236}">
              <a16:creationId xmlns:a16="http://schemas.microsoft.com/office/drawing/2014/main" id="{3BD06EF3-228B-437F-9800-88D0D6F277EF}"/>
            </a:ext>
          </a:extLst>
        </xdr:cNvPr>
        <xdr:cNvSpPr txBox="1"/>
      </xdr:nvSpPr>
      <xdr:spPr>
        <a:xfrm>
          <a:off x="17344834" y="2658083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1470</xdr:row>
      <xdr:rowOff>143520</xdr:rowOff>
    </xdr:from>
    <xdr:to>
      <xdr:col>11</xdr:col>
      <xdr:colOff>135383</xdr:colOff>
      <xdr:row>1471</xdr:row>
      <xdr:rowOff>132095</xdr:rowOff>
    </xdr:to>
    <xdr:sp macro="_xll.PtreeEvent_ObjectClick" textlink="">
      <xdr:nvSpPr>
        <xdr:cNvPr id="2929" name="PTObj_DNode_1_728">
          <a:extLst>
            <a:ext uri="{FF2B5EF4-FFF2-40B4-BE49-F238E27FC236}">
              <a16:creationId xmlns:a16="http://schemas.microsoft.com/office/drawing/2014/main" id="{2C8F526B-0906-412A-BAB2-49AE455BEFD5}"/>
            </a:ext>
          </a:extLst>
        </xdr:cNvPr>
        <xdr:cNvSpPr/>
      </xdr:nvSpPr>
      <xdr:spPr>
        <a:xfrm>
          <a:off x="19918807" y="266176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1470</xdr:row>
      <xdr:rowOff>142731</xdr:rowOff>
    </xdr:from>
    <xdr:ext cx="514858" cy="180627"/>
    <xdr:sp macro="_xll.PtreeEvent_ObjectClick" textlink="">
      <xdr:nvSpPr>
        <xdr:cNvPr id="2932" name="PTObj_DBranchName_1_728">
          <a:extLst>
            <a:ext uri="{FF2B5EF4-FFF2-40B4-BE49-F238E27FC236}">
              <a16:creationId xmlns:a16="http://schemas.microsoft.com/office/drawing/2014/main" id="{D3929EE1-6D7C-4B9D-A6FF-35E7BC91D5F8}"/>
            </a:ext>
          </a:extLst>
        </xdr:cNvPr>
        <xdr:cNvSpPr txBox="1"/>
      </xdr:nvSpPr>
      <xdr:spPr>
        <a:xfrm>
          <a:off x="18768820" y="266175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1472</xdr:row>
      <xdr:rowOff>149222</xdr:rowOff>
    </xdr:from>
    <xdr:to>
      <xdr:col>12</xdr:col>
      <xdr:colOff>135385</xdr:colOff>
      <xdr:row>1473</xdr:row>
      <xdr:rowOff>135887</xdr:rowOff>
    </xdr:to>
    <xdr:sp macro="_xll.PtreeEvent_ObjectClick" textlink="">
      <xdr:nvSpPr>
        <xdr:cNvPr id="2933" name="PTObj_DNode_1_729">
          <a:extLst>
            <a:ext uri="{FF2B5EF4-FFF2-40B4-BE49-F238E27FC236}">
              <a16:creationId xmlns:a16="http://schemas.microsoft.com/office/drawing/2014/main" id="{B939BB49-979D-4949-AA24-F9A3D255DB5C}"/>
            </a:ext>
          </a:extLst>
        </xdr:cNvPr>
        <xdr:cNvSpPr/>
      </xdr:nvSpPr>
      <xdr:spPr>
        <a:xfrm rot="-5400000">
          <a:off x="21347557" y="2665406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1472</xdr:row>
      <xdr:rowOff>146551</xdr:rowOff>
    </xdr:from>
    <xdr:ext cx="514858" cy="180627"/>
    <xdr:sp macro="_xll.PtreeEvent_ObjectClick" textlink="">
      <xdr:nvSpPr>
        <xdr:cNvPr id="2936" name="PTObj_DBranchName_1_729">
          <a:extLst>
            <a:ext uri="{FF2B5EF4-FFF2-40B4-BE49-F238E27FC236}">
              <a16:creationId xmlns:a16="http://schemas.microsoft.com/office/drawing/2014/main" id="{BDC2D1FF-7EA4-4A95-9D5E-CC020B695839}"/>
            </a:ext>
          </a:extLst>
        </xdr:cNvPr>
        <xdr:cNvSpPr txBox="1"/>
      </xdr:nvSpPr>
      <xdr:spPr>
        <a:xfrm>
          <a:off x="20188045" y="2665417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1484</xdr:row>
      <xdr:rowOff>170185</xdr:rowOff>
    </xdr:from>
    <xdr:to>
      <xdr:col>8</xdr:col>
      <xdr:colOff>171578</xdr:colOff>
      <xdr:row>1485</xdr:row>
      <xdr:rowOff>168285</xdr:rowOff>
    </xdr:to>
    <xdr:sp macro="_xll.PtreeEvent_ObjectClick" textlink="">
      <xdr:nvSpPr>
        <xdr:cNvPr id="2937" name="PTObj_DNode_1_735">
          <a:extLst>
            <a:ext uri="{FF2B5EF4-FFF2-40B4-BE49-F238E27FC236}">
              <a16:creationId xmlns:a16="http://schemas.microsoft.com/office/drawing/2014/main" id="{248077B1-3D2C-429A-A929-66984305EEB6}"/>
            </a:ext>
          </a:extLst>
        </xdr:cNvPr>
        <xdr:cNvSpPr/>
      </xdr:nvSpPr>
      <xdr:spPr>
        <a:xfrm>
          <a:off x="15643988" y="26873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1484</xdr:row>
      <xdr:rowOff>175111</xdr:rowOff>
    </xdr:from>
    <xdr:ext cx="566520" cy="180627"/>
    <xdr:sp macro="_xll.PtreeEvent_ObjectClick" textlink="">
      <xdr:nvSpPr>
        <xdr:cNvPr id="2940" name="PTObj_DBranchName_1_735">
          <a:extLst>
            <a:ext uri="{FF2B5EF4-FFF2-40B4-BE49-F238E27FC236}">
              <a16:creationId xmlns:a16="http://schemas.microsoft.com/office/drawing/2014/main" id="{260EAD45-7D85-42AF-AC0F-1E127CE3A2B4}"/>
            </a:ext>
          </a:extLst>
        </xdr:cNvPr>
        <xdr:cNvSpPr txBox="1"/>
      </xdr:nvSpPr>
      <xdr:spPr>
        <a:xfrm>
          <a:off x="14498765" y="2687420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1476</xdr:row>
      <xdr:rowOff>154930</xdr:rowOff>
    </xdr:from>
    <xdr:to>
      <xdr:col>9</xdr:col>
      <xdr:colOff>154432</xdr:colOff>
      <xdr:row>1477</xdr:row>
      <xdr:rowOff>172080</xdr:rowOff>
    </xdr:to>
    <xdr:sp macro="_xll.PtreeEvent_ObjectClick" textlink="">
      <xdr:nvSpPr>
        <xdr:cNvPr id="2941" name="PTObj_DNode_1_731">
          <a:extLst>
            <a:ext uri="{FF2B5EF4-FFF2-40B4-BE49-F238E27FC236}">
              <a16:creationId xmlns:a16="http://schemas.microsoft.com/office/drawing/2014/main" id="{EE77D3E5-6F5E-49A0-8952-A74B60B1E014}"/>
            </a:ext>
          </a:extLst>
        </xdr:cNvPr>
        <xdr:cNvSpPr/>
      </xdr:nvSpPr>
      <xdr:spPr>
        <a:xfrm>
          <a:off x="17068927" y="267274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1476</xdr:row>
      <xdr:rowOff>156071</xdr:rowOff>
    </xdr:from>
    <xdr:ext cx="566519" cy="180627"/>
    <xdr:sp macro="_xll.PtreeEvent_ObjectClick" textlink="">
      <xdr:nvSpPr>
        <xdr:cNvPr id="2944" name="PTObj_DBranchName_1_731">
          <a:extLst>
            <a:ext uri="{FF2B5EF4-FFF2-40B4-BE49-F238E27FC236}">
              <a16:creationId xmlns:a16="http://schemas.microsoft.com/office/drawing/2014/main" id="{F2C0D1DD-9CDC-4968-9939-E46EFBF74B6E}"/>
            </a:ext>
          </a:extLst>
        </xdr:cNvPr>
        <xdr:cNvSpPr txBox="1"/>
      </xdr:nvSpPr>
      <xdr:spPr>
        <a:xfrm>
          <a:off x="15922752" y="2672751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1478</xdr:row>
      <xdr:rowOff>158750</xdr:rowOff>
    </xdr:from>
    <xdr:to>
      <xdr:col>10</xdr:col>
      <xdr:colOff>150622</xdr:colOff>
      <xdr:row>1479</xdr:row>
      <xdr:rowOff>168280</xdr:rowOff>
    </xdr:to>
    <xdr:sp macro="_xll.PtreeEvent_ObjectClick" textlink="">
      <xdr:nvSpPr>
        <xdr:cNvPr id="2945" name="PTObj_DNode_1_732">
          <a:extLst>
            <a:ext uri="{FF2B5EF4-FFF2-40B4-BE49-F238E27FC236}">
              <a16:creationId xmlns:a16="http://schemas.microsoft.com/office/drawing/2014/main" id="{6F03C11E-9681-4A99-B09A-2BF2DE1BC0EE}"/>
            </a:ext>
          </a:extLst>
        </xdr:cNvPr>
        <xdr:cNvSpPr/>
      </xdr:nvSpPr>
      <xdr:spPr>
        <a:xfrm>
          <a:off x="18493867" y="267639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1478</xdr:row>
      <xdr:rowOff>161771</xdr:rowOff>
    </xdr:from>
    <xdr:ext cx="514857" cy="180627"/>
    <xdr:sp macro="_xll.PtreeEvent_ObjectClick" textlink="">
      <xdr:nvSpPr>
        <xdr:cNvPr id="2948" name="PTObj_DBranchName_1_732">
          <a:extLst>
            <a:ext uri="{FF2B5EF4-FFF2-40B4-BE49-F238E27FC236}">
              <a16:creationId xmlns:a16="http://schemas.microsoft.com/office/drawing/2014/main" id="{388EF5C7-E18F-48E7-8CCE-2946427E6A65}"/>
            </a:ext>
          </a:extLst>
        </xdr:cNvPr>
        <xdr:cNvSpPr txBox="1"/>
      </xdr:nvSpPr>
      <xdr:spPr>
        <a:xfrm>
          <a:off x="17344834" y="2676428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1480</xdr:row>
      <xdr:rowOff>162570</xdr:rowOff>
    </xdr:from>
    <xdr:to>
      <xdr:col>11</xdr:col>
      <xdr:colOff>131573</xdr:colOff>
      <xdr:row>1481</xdr:row>
      <xdr:rowOff>172100</xdr:rowOff>
    </xdr:to>
    <xdr:sp macro="_xll.PtreeEvent_ObjectClick" textlink="">
      <xdr:nvSpPr>
        <xdr:cNvPr id="2949" name="PTObj_DNode_1_733">
          <a:extLst>
            <a:ext uri="{FF2B5EF4-FFF2-40B4-BE49-F238E27FC236}">
              <a16:creationId xmlns:a16="http://schemas.microsoft.com/office/drawing/2014/main" id="{8D5E453E-F8F7-42DC-8B9D-805D01BA960E}"/>
            </a:ext>
          </a:extLst>
        </xdr:cNvPr>
        <xdr:cNvSpPr/>
      </xdr:nvSpPr>
      <xdr:spPr>
        <a:xfrm>
          <a:off x="19918807" y="268005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1480</xdr:row>
      <xdr:rowOff>165591</xdr:rowOff>
    </xdr:from>
    <xdr:ext cx="514858" cy="180627"/>
    <xdr:sp macro="_xll.PtreeEvent_ObjectClick" textlink="">
      <xdr:nvSpPr>
        <xdr:cNvPr id="2952" name="PTObj_DBranchName_1_733">
          <a:extLst>
            <a:ext uri="{FF2B5EF4-FFF2-40B4-BE49-F238E27FC236}">
              <a16:creationId xmlns:a16="http://schemas.microsoft.com/office/drawing/2014/main" id="{3084C179-2472-409A-B685-C55BC71FF42E}"/>
            </a:ext>
          </a:extLst>
        </xdr:cNvPr>
        <xdr:cNvSpPr txBox="1"/>
      </xdr:nvSpPr>
      <xdr:spPr>
        <a:xfrm>
          <a:off x="18768820" y="268008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1482</xdr:row>
      <xdr:rowOff>173035</xdr:rowOff>
    </xdr:from>
    <xdr:to>
      <xdr:col>12</xdr:col>
      <xdr:colOff>136337</xdr:colOff>
      <xdr:row>1483</xdr:row>
      <xdr:rowOff>173035</xdr:rowOff>
    </xdr:to>
    <xdr:sp macro="_xll.PtreeEvent_ObjectClick" textlink="">
      <xdr:nvSpPr>
        <xdr:cNvPr id="2953" name="PTObj_DNode_1_734">
          <a:extLst>
            <a:ext uri="{FF2B5EF4-FFF2-40B4-BE49-F238E27FC236}">
              <a16:creationId xmlns:a16="http://schemas.microsoft.com/office/drawing/2014/main" id="{3D4682C5-16FB-459C-B5B6-8D07B0A23F3D}"/>
            </a:ext>
          </a:extLst>
        </xdr:cNvPr>
        <xdr:cNvSpPr/>
      </xdr:nvSpPr>
      <xdr:spPr>
        <a:xfrm rot="-5400000">
          <a:off x="21347557" y="2683751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1482</xdr:row>
      <xdr:rowOff>171316</xdr:rowOff>
    </xdr:from>
    <xdr:ext cx="514858" cy="180627"/>
    <xdr:sp macro="_xll.PtreeEvent_ObjectClick" textlink="">
      <xdr:nvSpPr>
        <xdr:cNvPr id="2956" name="PTObj_DBranchName_1_734">
          <a:extLst>
            <a:ext uri="{FF2B5EF4-FFF2-40B4-BE49-F238E27FC236}">
              <a16:creationId xmlns:a16="http://schemas.microsoft.com/office/drawing/2014/main" id="{FE19862D-B203-4B82-957A-CA7CB5B65587}"/>
            </a:ext>
          </a:extLst>
        </xdr:cNvPr>
        <xdr:cNvSpPr txBox="1"/>
      </xdr:nvSpPr>
      <xdr:spPr>
        <a:xfrm>
          <a:off x="20188045" y="2683762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1486</xdr:row>
      <xdr:rowOff>173980</xdr:rowOff>
    </xdr:from>
    <xdr:to>
      <xdr:col>9</xdr:col>
      <xdr:colOff>154432</xdr:colOff>
      <xdr:row>1487</xdr:row>
      <xdr:rowOff>168270</xdr:rowOff>
    </xdr:to>
    <xdr:sp macro="_xll.PtreeEvent_ObjectClick" textlink="">
      <xdr:nvSpPr>
        <xdr:cNvPr id="2957" name="PTObj_DNode_1_736">
          <a:extLst>
            <a:ext uri="{FF2B5EF4-FFF2-40B4-BE49-F238E27FC236}">
              <a16:creationId xmlns:a16="http://schemas.microsoft.com/office/drawing/2014/main" id="{0E100E7B-6B4B-424F-BD92-BDF1E2768D33}"/>
            </a:ext>
          </a:extLst>
        </xdr:cNvPr>
        <xdr:cNvSpPr/>
      </xdr:nvSpPr>
      <xdr:spPr>
        <a:xfrm>
          <a:off x="17068927" y="269102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1486</xdr:row>
      <xdr:rowOff>171311</xdr:rowOff>
    </xdr:from>
    <xdr:ext cx="566520" cy="180627"/>
    <xdr:sp macro="_xll.PtreeEvent_ObjectClick" textlink="">
      <xdr:nvSpPr>
        <xdr:cNvPr id="2960" name="PTObj_DBranchName_1_736">
          <a:extLst>
            <a:ext uri="{FF2B5EF4-FFF2-40B4-BE49-F238E27FC236}">
              <a16:creationId xmlns:a16="http://schemas.microsoft.com/office/drawing/2014/main" id="{0ABE56F5-B63C-4086-9C84-D98A42768A4A}"/>
            </a:ext>
          </a:extLst>
        </xdr:cNvPr>
        <xdr:cNvSpPr txBox="1"/>
      </xdr:nvSpPr>
      <xdr:spPr>
        <a:xfrm>
          <a:off x="15926563" y="2691001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1488</xdr:row>
      <xdr:rowOff>177800</xdr:rowOff>
    </xdr:from>
    <xdr:to>
      <xdr:col>10</xdr:col>
      <xdr:colOff>150622</xdr:colOff>
      <xdr:row>1489</xdr:row>
      <xdr:rowOff>170185</xdr:rowOff>
    </xdr:to>
    <xdr:sp macro="_xll.PtreeEvent_ObjectClick" textlink="">
      <xdr:nvSpPr>
        <xdr:cNvPr id="2961" name="PTObj_DNode_1_737">
          <a:extLst>
            <a:ext uri="{FF2B5EF4-FFF2-40B4-BE49-F238E27FC236}">
              <a16:creationId xmlns:a16="http://schemas.microsoft.com/office/drawing/2014/main" id="{1BB845AD-C48D-4C8B-AA88-846A5D68CC54}"/>
            </a:ext>
          </a:extLst>
        </xdr:cNvPr>
        <xdr:cNvSpPr/>
      </xdr:nvSpPr>
      <xdr:spPr>
        <a:xfrm>
          <a:off x="18493867" y="269468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1488</xdr:row>
      <xdr:rowOff>175106</xdr:rowOff>
    </xdr:from>
    <xdr:ext cx="514857" cy="180627"/>
    <xdr:sp macro="_xll.PtreeEvent_ObjectClick" textlink="">
      <xdr:nvSpPr>
        <xdr:cNvPr id="2964" name="PTObj_DBranchName_1_737">
          <a:extLst>
            <a:ext uri="{FF2B5EF4-FFF2-40B4-BE49-F238E27FC236}">
              <a16:creationId xmlns:a16="http://schemas.microsoft.com/office/drawing/2014/main" id="{6F5A37E7-F081-472F-B26B-42C0134A21AB}"/>
            </a:ext>
          </a:extLst>
        </xdr:cNvPr>
        <xdr:cNvSpPr txBox="1"/>
      </xdr:nvSpPr>
      <xdr:spPr>
        <a:xfrm>
          <a:off x="17344834" y="2694659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1491</xdr:row>
      <xdr:rowOff>645</xdr:rowOff>
    </xdr:from>
    <xdr:to>
      <xdr:col>11</xdr:col>
      <xdr:colOff>131573</xdr:colOff>
      <xdr:row>1492</xdr:row>
      <xdr:rowOff>2555</xdr:rowOff>
    </xdr:to>
    <xdr:sp macro="_xll.PtreeEvent_ObjectClick" textlink="">
      <xdr:nvSpPr>
        <xdr:cNvPr id="2965" name="PTObj_DNode_1_738">
          <a:extLst>
            <a:ext uri="{FF2B5EF4-FFF2-40B4-BE49-F238E27FC236}">
              <a16:creationId xmlns:a16="http://schemas.microsoft.com/office/drawing/2014/main" id="{0FC26B07-C80C-41A1-8C6D-2842E471999A}"/>
            </a:ext>
          </a:extLst>
        </xdr:cNvPr>
        <xdr:cNvSpPr/>
      </xdr:nvSpPr>
      <xdr:spPr>
        <a:xfrm>
          <a:off x="19918807" y="269834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1491</xdr:row>
      <xdr:rowOff>1761</xdr:rowOff>
    </xdr:from>
    <xdr:ext cx="514858" cy="180627"/>
    <xdr:sp macro="_xll.PtreeEvent_ObjectClick" textlink="">
      <xdr:nvSpPr>
        <xdr:cNvPr id="2968" name="PTObj_DBranchName_1_738">
          <a:extLst>
            <a:ext uri="{FF2B5EF4-FFF2-40B4-BE49-F238E27FC236}">
              <a16:creationId xmlns:a16="http://schemas.microsoft.com/office/drawing/2014/main" id="{82A02CA5-7C42-443B-A4E6-54E4FF8FBC7E}"/>
            </a:ext>
          </a:extLst>
        </xdr:cNvPr>
        <xdr:cNvSpPr txBox="1"/>
      </xdr:nvSpPr>
      <xdr:spPr>
        <a:xfrm>
          <a:off x="18768820" y="269835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1493</xdr:row>
      <xdr:rowOff>9205</xdr:rowOff>
    </xdr:from>
    <xdr:to>
      <xdr:col>12</xdr:col>
      <xdr:colOff>136337</xdr:colOff>
      <xdr:row>1494</xdr:row>
      <xdr:rowOff>16825</xdr:rowOff>
    </xdr:to>
    <xdr:sp macro="_xll.PtreeEvent_ObjectClick" textlink="">
      <xdr:nvSpPr>
        <xdr:cNvPr id="2969" name="PTObj_DNode_1_739">
          <a:extLst>
            <a:ext uri="{FF2B5EF4-FFF2-40B4-BE49-F238E27FC236}">
              <a16:creationId xmlns:a16="http://schemas.microsoft.com/office/drawing/2014/main" id="{105326FC-9396-441E-AA1D-7CE1CC426C7F}"/>
            </a:ext>
          </a:extLst>
        </xdr:cNvPr>
        <xdr:cNvSpPr/>
      </xdr:nvSpPr>
      <xdr:spPr>
        <a:xfrm rot="-5400000">
          <a:off x="21347557" y="2702020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1493</xdr:row>
      <xdr:rowOff>7486</xdr:rowOff>
    </xdr:from>
    <xdr:ext cx="514858" cy="180627"/>
    <xdr:sp macro="_xll.PtreeEvent_ObjectClick" textlink="">
      <xdr:nvSpPr>
        <xdr:cNvPr id="2972" name="PTObj_DBranchName_1_739">
          <a:extLst>
            <a:ext uri="{FF2B5EF4-FFF2-40B4-BE49-F238E27FC236}">
              <a16:creationId xmlns:a16="http://schemas.microsoft.com/office/drawing/2014/main" id="{1B73E8CE-09DC-46A9-ADF1-99BD6D6B3A4C}"/>
            </a:ext>
          </a:extLst>
        </xdr:cNvPr>
        <xdr:cNvSpPr txBox="1"/>
      </xdr:nvSpPr>
      <xdr:spPr>
        <a:xfrm>
          <a:off x="20188045" y="2702031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1515</xdr:row>
      <xdr:rowOff>46360</xdr:rowOff>
    </xdr:from>
    <xdr:to>
      <xdr:col>7</xdr:col>
      <xdr:colOff>167767</xdr:colOff>
      <xdr:row>1516</xdr:row>
      <xdr:rowOff>53985</xdr:rowOff>
    </xdr:to>
    <xdr:sp macro="_xll.PtreeEvent_ObjectClick" textlink="">
      <xdr:nvSpPr>
        <xdr:cNvPr id="2973" name="PTObj_DNode_1_750">
          <a:extLst>
            <a:ext uri="{FF2B5EF4-FFF2-40B4-BE49-F238E27FC236}">
              <a16:creationId xmlns:a16="http://schemas.microsoft.com/office/drawing/2014/main" id="{0C4FAA08-CD2D-43AF-BD38-E7EEDEF89C97}"/>
            </a:ext>
          </a:extLst>
        </xdr:cNvPr>
        <xdr:cNvSpPr/>
      </xdr:nvSpPr>
      <xdr:spPr>
        <a:xfrm>
          <a:off x="14219047" y="274223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1515</xdr:row>
      <xdr:rowOff>49381</xdr:rowOff>
    </xdr:from>
    <xdr:ext cx="566520" cy="180627"/>
    <xdr:sp macro="_xll.PtreeEvent_ObjectClick" textlink="">
      <xdr:nvSpPr>
        <xdr:cNvPr id="2976" name="PTObj_DBranchName_1_750">
          <a:extLst>
            <a:ext uri="{FF2B5EF4-FFF2-40B4-BE49-F238E27FC236}">
              <a16:creationId xmlns:a16="http://schemas.microsoft.com/office/drawing/2014/main" id="{714ACCDA-C0D0-42F8-8BB8-33F81BFB9823}"/>
            </a:ext>
          </a:extLst>
        </xdr:cNvPr>
        <xdr:cNvSpPr txBox="1"/>
      </xdr:nvSpPr>
      <xdr:spPr>
        <a:xfrm>
          <a:off x="13074777" y="274226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1505</xdr:row>
      <xdr:rowOff>27310</xdr:rowOff>
    </xdr:from>
    <xdr:to>
      <xdr:col>8</xdr:col>
      <xdr:colOff>171578</xdr:colOff>
      <xdr:row>1506</xdr:row>
      <xdr:rowOff>21600</xdr:rowOff>
    </xdr:to>
    <xdr:sp macro="_xll.PtreeEvent_ObjectClick" textlink="">
      <xdr:nvSpPr>
        <xdr:cNvPr id="2977" name="PTObj_DNode_1_745">
          <a:extLst>
            <a:ext uri="{FF2B5EF4-FFF2-40B4-BE49-F238E27FC236}">
              <a16:creationId xmlns:a16="http://schemas.microsoft.com/office/drawing/2014/main" id="{EDC5A4A2-14EB-47D1-9B22-5FBEEFF7BFD5}"/>
            </a:ext>
          </a:extLst>
        </xdr:cNvPr>
        <xdr:cNvSpPr/>
      </xdr:nvSpPr>
      <xdr:spPr>
        <a:xfrm>
          <a:off x="15643988" y="272394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1505</xdr:row>
      <xdr:rowOff>26521</xdr:rowOff>
    </xdr:from>
    <xdr:ext cx="566520" cy="180627"/>
    <xdr:sp macro="_xll.PtreeEvent_ObjectClick" textlink="">
      <xdr:nvSpPr>
        <xdr:cNvPr id="2980" name="PTObj_DBranchName_1_745">
          <a:extLst>
            <a:ext uri="{FF2B5EF4-FFF2-40B4-BE49-F238E27FC236}">
              <a16:creationId xmlns:a16="http://schemas.microsoft.com/office/drawing/2014/main" id="{4DCA25B9-3122-4FC2-AEA6-C717CB443E5D}"/>
            </a:ext>
          </a:extLst>
        </xdr:cNvPr>
        <xdr:cNvSpPr txBox="1"/>
      </xdr:nvSpPr>
      <xdr:spPr>
        <a:xfrm>
          <a:off x="14500670" y="272393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1497</xdr:row>
      <xdr:rowOff>12055</xdr:rowOff>
    </xdr:from>
    <xdr:to>
      <xdr:col>9</xdr:col>
      <xdr:colOff>154432</xdr:colOff>
      <xdr:row>1498</xdr:row>
      <xdr:rowOff>21585</xdr:rowOff>
    </xdr:to>
    <xdr:sp macro="_xll.PtreeEvent_ObjectClick" textlink="">
      <xdr:nvSpPr>
        <xdr:cNvPr id="2981" name="PTObj_DNode_1_741">
          <a:extLst>
            <a:ext uri="{FF2B5EF4-FFF2-40B4-BE49-F238E27FC236}">
              <a16:creationId xmlns:a16="http://schemas.microsoft.com/office/drawing/2014/main" id="{DF2159E1-3BA1-46D7-8610-A711AD9FCF9D}"/>
            </a:ext>
          </a:extLst>
        </xdr:cNvPr>
        <xdr:cNvSpPr/>
      </xdr:nvSpPr>
      <xdr:spPr>
        <a:xfrm>
          <a:off x="17068927" y="270931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1497</xdr:row>
      <xdr:rowOff>17006</xdr:rowOff>
    </xdr:from>
    <xdr:ext cx="566519" cy="180627"/>
    <xdr:sp macro="_xll.PtreeEvent_ObjectClick" textlink="">
      <xdr:nvSpPr>
        <xdr:cNvPr id="2984" name="PTObj_DBranchName_1_741">
          <a:extLst>
            <a:ext uri="{FF2B5EF4-FFF2-40B4-BE49-F238E27FC236}">
              <a16:creationId xmlns:a16="http://schemas.microsoft.com/office/drawing/2014/main" id="{5D3F17B7-C80A-4673-9178-8721BA5D3774}"/>
            </a:ext>
          </a:extLst>
        </xdr:cNvPr>
        <xdr:cNvSpPr txBox="1"/>
      </xdr:nvSpPr>
      <xdr:spPr>
        <a:xfrm>
          <a:off x="15922752" y="2709365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1499</xdr:row>
      <xdr:rowOff>15875</xdr:rowOff>
    </xdr:from>
    <xdr:to>
      <xdr:col>10</xdr:col>
      <xdr:colOff>150622</xdr:colOff>
      <xdr:row>1500</xdr:row>
      <xdr:rowOff>21595</xdr:rowOff>
    </xdr:to>
    <xdr:sp macro="_xll.PtreeEvent_ObjectClick" textlink="">
      <xdr:nvSpPr>
        <xdr:cNvPr id="2985" name="PTObj_DNode_1_742">
          <a:extLst>
            <a:ext uri="{FF2B5EF4-FFF2-40B4-BE49-F238E27FC236}">
              <a16:creationId xmlns:a16="http://schemas.microsoft.com/office/drawing/2014/main" id="{BC4267D3-2C43-4783-9E47-97C263454B04}"/>
            </a:ext>
          </a:extLst>
        </xdr:cNvPr>
        <xdr:cNvSpPr/>
      </xdr:nvSpPr>
      <xdr:spPr>
        <a:xfrm>
          <a:off x="18493867" y="271297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1499</xdr:row>
      <xdr:rowOff>20801</xdr:rowOff>
    </xdr:from>
    <xdr:ext cx="514857" cy="180627"/>
    <xdr:sp macro="_xll.PtreeEvent_ObjectClick" textlink="">
      <xdr:nvSpPr>
        <xdr:cNvPr id="2988" name="PTObj_DBranchName_1_742">
          <a:extLst>
            <a:ext uri="{FF2B5EF4-FFF2-40B4-BE49-F238E27FC236}">
              <a16:creationId xmlns:a16="http://schemas.microsoft.com/office/drawing/2014/main" id="{7A6F2036-DA0F-4D79-BAEC-1E3177932660}"/>
            </a:ext>
          </a:extLst>
        </xdr:cNvPr>
        <xdr:cNvSpPr txBox="1"/>
      </xdr:nvSpPr>
      <xdr:spPr>
        <a:xfrm>
          <a:off x="17344834" y="2713023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1501</xdr:row>
      <xdr:rowOff>19695</xdr:rowOff>
    </xdr:from>
    <xdr:to>
      <xdr:col>11</xdr:col>
      <xdr:colOff>131573</xdr:colOff>
      <xdr:row>1502</xdr:row>
      <xdr:rowOff>21605</xdr:rowOff>
    </xdr:to>
    <xdr:sp macro="_xll.PtreeEvent_ObjectClick" textlink="">
      <xdr:nvSpPr>
        <xdr:cNvPr id="2989" name="PTObj_DNode_1_743">
          <a:extLst>
            <a:ext uri="{FF2B5EF4-FFF2-40B4-BE49-F238E27FC236}">
              <a16:creationId xmlns:a16="http://schemas.microsoft.com/office/drawing/2014/main" id="{09802B11-6556-4626-8750-B73A749219D3}"/>
            </a:ext>
          </a:extLst>
        </xdr:cNvPr>
        <xdr:cNvSpPr/>
      </xdr:nvSpPr>
      <xdr:spPr>
        <a:xfrm>
          <a:off x="19918807" y="271663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1501</xdr:row>
      <xdr:rowOff>17001</xdr:rowOff>
    </xdr:from>
    <xdr:ext cx="514858" cy="180627"/>
    <xdr:sp macro="_xll.PtreeEvent_ObjectClick" textlink="">
      <xdr:nvSpPr>
        <xdr:cNvPr id="2992" name="PTObj_DBranchName_1_743">
          <a:extLst>
            <a:ext uri="{FF2B5EF4-FFF2-40B4-BE49-F238E27FC236}">
              <a16:creationId xmlns:a16="http://schemas.microsoft.com/office/drawing/2014/main" id="{669E41A8-6F32-4739-A19E-3733686CFD72}"/>
            </a:ext>
          </a:extLst>
        </xdr:cNvPr>
        <xdr:cNvSpPr txBox="1"/>
      </xdr:nvSpPr>
      <xdr:spPr>
        <a:xfrm>
          <a:off x="18768820" y="271660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1503</xdr:row>
      <xdr:rowOff>22540</xdr:rowOff>
    </xdr:from>
    <xdr:to>
      <xdr:col>12</xdr:col>
      <xdr:colOff>136337</xdr:colOff>
      <xdr:row>1504</xdr:row>
      <xdr:rowOff>22540</xdr:rowOff>
    </xdr:to>
    <xdr:sp macro="_xll.PtreeEvent_ObjectClick" textlink="">
      <xdr:nvSpPr>
        <xdr:cNvPr id="2993" name="PTObj_DNode_1_744">
          <a:extLst>
            <a:ext uri="{FF2B5EF4-FFF2-40B4-BE49-F238E27FC236}">
              <a16:creationId xmlns:a16="http://schemas.microsoft.com/office/drawing/2014/main" id="{60CDCDB9-57B6-4C92-AD60-0C8B79A7110E}"/>
            </a:ext>
          </a:extLst>
        </xdr:cNvPr>
        <xdr:cNvSpPr/>
      </xdr:nvSpPr>
      <xdr:spPr>
        <a:xfrm rot="-5400000">
          <a:off x="21347557" y="2720251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1503</xdr:row>
      <xdr:rowOff>20821</xdr:rowOff>
    </xdr:from>
    <xdr:ext cx="514858" cy="180627"/>
    <xdr:sp macro="_xll.PtreeEvent_ObjectClick" textlink="">
      <xdr:nvSpPr>
        <xdr:cNvPr id="2996" name="PTObj_DBranchName_1_744">
          <a:extLst>
            <a:ext uri="{FF2B5EF4-FFF2-40B4-BE49-F238E27FC236}">
              <a16:creationId xmlns:a16="http://schemas.microsoft.com/office/drawing/2014/main" id="{20FA21AE-2851-4F10-8D5E-C3E985790424}"/>
            </a:ext>
          </a:extLst>
        </xdr:cNvPr>
        <xdr:cNvSpPr txBox="1"/>
      </xdr:nvSpPr>
      <xdr:spPr>
        <a:xfrm>
          <a:off x="20188045" y="2720262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1507</xdr:row>
      <xdr:rowOff>31105</xdr:rowOff>
    </xdr:from>
    <xdr:to>
      <xdr:col>9</xdr:col>
      <xdr:colOff>154432</xdr:colOff>
      <xdr:row>1508</xdr:row>
      <xdr:rowOff>17775</xdr:rowOff>
    </xdr:to>
    <xdr:sp macro="_xll.PtreeEvent_ObjectClick" textlink="">
      <xdr:nvSpPr>
        <xdr:cNvPr id="2997" name="PTObj_DNode_1_746">
          <a:extLst>
            <a:ext uri="{FF2B5EF4-FFF2-40B4-BE49-F238E27FC236}">
              <a16:creationId xmlns:a16="http://schemas.microsoft.com/office/drawing/2014/main" id="{4313A54C-D97D-4230-B0D9-16EFB704CD10}"/>
            </a:ext>
          </a:extLst>
        </xdr:cNvPr>
        <xdr:cNvSpPr/>
      </xdr:nvSpPr>
      <xdr:spPr>
        <a:xfrm>
          <a:off x="17068927" y="272760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1507</xdr:row>
      <xdr:rowOff>30341</xdr:rowOff>
    </xdr:from>
    <xdr:ext cx="566520" cy="180627"/>
    <xdr:sp macro="_xll.PtreeEvent_ObjectClick" textlink="">
      <xdr:nvSpPr>
        <xdr:cNvPr id="3000" name="PTObj_DBranchName_1_746">
          <a:extLst>
            <a:ext uri="{FF2B5EF4-FFF2-40B4-BE49-F238E27FC236}">
              <a16:creationId xmlns:a16="http://schemas.microsoft.com/office/drawing/2014/main" id="{D500F170-116A-4BDF-B18F-D5C5A450A206}"/>
            </a:ext>
          </a:extLst>
        </xdr:cNvPr>
        <xdr:cNvSpPr txBox="1"/>
      </xdr:nvSpPr>
      <xdr:spPr>
        <a:xfrm>
          <a:off x="15926563" y="2727596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1509</xdr:row>
      <xdr:rowOff>34925</xdr:rowOff>
    </xdr:from>
    <xdr:to>
      <xdr:col>10</xdr:col>
      <xdr:colOff>150622</xdr:colOff>
      <xdr:row>1510</xdr:row>
      <xdr:rowOff>36835</xdr:rowOff>
    </xdr:to>
    <xdr:sp macro="_xll.PtreeEvent_ObjectClick" textlink="">
      <xdr:nvSpPr>
        <xdr:cNvPr id="3001" name="PTObj_DNode_1_747">
          <a:extLst>
            <a:ext uri="{FF2B5EF4-FFF2-40B4-BE49-F238E27FC236}">
              <a16:creationId xmlns:a16="http://schemas.microsoft.com/office/drawing/2014/main" id="{08B51A61-8BD7-4D0E-8442-5AF5ADAD2640}"/>
            </a:ext>
          </a:extLst>
        </xdr:cNvPr>
        <xdr:cNvSpPr/>
      </xdr:nvSpPr>
      <xdr:spPr>
        <a:xfrm>
          <a:off x="18493867" y="273126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1509</xdr:row>
      <xdr:rowOff>36041</xdr:rowOff>
    </xdr:from>
    <xdr:ext cx="514857" cy="180627"/>
    <xdr:sp macro="_xll.PtreeEvent_ObjectClick" textlink="">
      <xdr:nvSpPr>
        <xdr:cNvPr id="3004" name="PTObj_DBranchName_1_747">
          <a:extLst>
            <a:ext uri="{FF2B5EF4-FFF2-40B4-BE49-F238E27FC236}">
              <a16:creationId xmlns:a16="http://schemas.microsoft.com/office/drawing/2014/main" id="{341659BE-4B84-4947-9043-68EDB5C3F277}"/>
            </a:ext>
          </a:extLst>
        </xdr:cNvPr>
        <xdr:cNvSpPr txBox="1"/>
      </xdr:nvSpPr>
      <xdr:spPr>
        <a:xfrm>
          <a:off x="17344834" y="2731273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1511</xdr:row>
      <xdr:rowOff>38745</xdr:rowOff>
    </xdr:from>
    <xdr:to>
      <xdr:col>11</xdr:col>
      <xdr:colOff>131573</xdr:colOff>
      <xdr:row>1512</xdr:row>
      <xdr:rowOff>40655</xdr:rowOff>
    </xdr:to>
    <xdr:sp macro="_xll.PtreeEvent_ObjectClick" textlink="">
      <xdr:nvSpPr>
        <xdr:cNvPr id="3005" name="PTObj_DNode_1_748">
          <a:extLst>
            <a:ext uri="{FF2B5EF4-FFF2-40B4-BE49-F238E27FC236}">
              <a16:creationId xmlns:a16="http://schemas.microsoft.com/office/drawing/2014/main" id="{E6F3FA0D-D831-4BF2-836D-21E942EA9ED7}"/>
            </a:ext>
          </a:extLst>
        </xdr:cNvPr>
        <xdr:cNvSpPr/>
      </xdr:nvSpPr>
      <xdr:spPr>
        <a:xfrm>
          <a:off x="19918807" y="273491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1511</xdr:row>
      <xdr:rowOff>39861</xdr:rowOff>
    </xdr:from>
    <xdr:ext cx="514858" cy="180627"/>
    <xdr:sp macro="_xll.PtreeEvent_ObjectClick" textlink="">
      <xdr:nvSpPr>
        <xdr:cNvPr id="3008" name="PTObj_DBranchName_1_748">
          <a:extLst>
            <a:ext uri="{FF2B5EF4-FFF2-40B4-BE49-F238E27FC236}">
              <a16:creationId xmlns:a16="http://schemas.microsoft.com/office/drawing/2014/main" id="{6B5286C6-FECB-4220-93CE-E8D19F5C73F9}"/>
            </a:ext>
          </a:extLst>
        </xdr:cNvPr>
        <xdr:cNvSpPr txBox="1"/>
      </xdr:nvSpPr>
      <xdr:spPr>
        <a:xfrm>
          <a:off x="18768820" y="273493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1513</xdr:row>
      <xdr:rowOff>47305</xdr:rowOff>
    </xdr:from>
    <xdr:to>
      <xdr:col>12</xdr:col>
      <xdr:colOff>136337</xdr:colOff>
      <xdr:row>1514</xdr:row>
      <xdr:rowOff>54925</xdr:rowOff>
    </xdr:to>
    <xdr:sp macro="_xll.PtreeEvent_ObjectClick" textlink="">
      <xdr:nvSpPr>
        <xdr:cNvPr id="3009" name="PTObj_DNode_1_749">
          <a:extLst>
            <a:ext uri="{FF2B5EF4-FFF2-40B4-BE49-F238E27FC236}">
              <a16:creationId xmlns:a16="http://schemas.microsoft.com/office/drawing/2014/main" id="{A72C015B-8F80-43FA-B2E6-18CC05C00FC5}"/>
            </a:ext>
          </a:extLst>
        </xdr:cNvPr>
        <xdr:cNvSpPr/>
      </xdr:nvSpPr>
      <xdr:spPr>
        <a:xfrm rot="-5400000">
          <a:off x="21347557" y="2738596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1513</xdr:row>
      <xdr:rowOff>45586</xdr:rowOff>
    </xdr:from>
    <xdr:ext cx="514858" cy="180627"/>
    <xdr:sp macro="_xll.PtreeEvent_ObjectClick" textlink="">
      <xdr:nvSpPr>
        <xdr:cNvPr id="3012" name="PTObj_DBranchName_1_749">
          <a:extLst>
            <a:ext uri="{FF2B5EF4-FFF2-40B4-BE49-F238E27FC236}">
              <a16:creationId xmlns:a16="http://schemas.microsoft.com/office/drawing/2014/main" id="{D2B669A5-60BA-47D3-8C19-A070B21E24F7}"/>
            </a:ext>
          </a:extLst>
        </xdr:cNvPr>
        <xdr:cNvSpPr txBox="1"/>
      </xdr:nvSpPr>
      <xdr:spPr>
        <a:xfrm>
          <a:off x="20188045" y="2738607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1525</xdr:row>
      <xdr:rowOff>65410</xdr:rowOff>
    </xdr:from>
    <xdr:to>
      <xdr:col>8</xdr:col>
      <xdr:colOff>167768</xdr:colOff>
      <xdr:row>1526</xdr:row>
      <xdr:rowOff>55890</xdr:rowOff>
    </xdr:to>
    <xdr:sp macro="_xll.PtreeEvent_ObjectClick" textlink="">
      <xdr:nvSpPr>
        <xdr:cNvPr id="3013" name="PTObj_DNode_1_755">
          <a:extLst>
            <a:ext uri="{FF2B5EF4-FFF2-40B4-BE49-F238E27FC236}">
              <a16:creationId xmlns:a16="http://schemas.microsoft.com/office/drawing/2014/main" id="{544D12AA-A519-4D7C-9934-418D3398A28F}"/>
            </a:ext>
          </a:extLst>
        </xdr:cNvPr>
        <xdr:cNvSpPr/>
      </xdr:nvSpPr>
      <xdr:spPr>
        <a:xfrm>
          <a:off x="15643988" y="27605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1525</xdr:row>
      <xdr:rowOff>64621</xdr:rowOff>
    </xdr:from>
    <xdr:ext cx="566520" cy="180627"/>
    <xdr:sp macro="_xll.PtreeEvent_ObjectClick" textlink="">
      <xdr:nvSpPr>
        <xdr:cNvPr id="3016" name="PTObj_DBranchName_1_755">
          <a:extLst>
            <a:ext uri="{FF2B5EF4-FFF2-40B4-BE49-F238E27FC236}">
              <a16:creationId xmlns:a16="http://schemas.microsoft.com/office/drawing/2014/main" id="{17266E0E-14F3-4DCF-8E12-9BC51C8728EF}"/>
            </a:ext>
          </a:extLst>
        </xdr:cNvPr>
        <xdr:cNvSpPr txBox="1"/>
      </xdr:nvSpPr>
      <xdr:spPr>
        <a:xfrm>
          <a:off x="14498765" y="276051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1517</xdr:row>
      <xdr:rowOff>50155</xdr:rowOff>
    </xdr:from>
    <xdr:to>
      <xdr:col>9</xdr:col>
      <xdr:colOff>154432</xdr:colOff>
      <xdr:row>1518</xdr:row>
      <xdr:rowOff>55875</xdr:rowOff>
    </xdr:to>
    <xdr:sp macro="_xll.PtreeEvent_ObjectClick" textlink="">
      <xdr:nvSpPr>
        <xdr:cNvPr id="3017" name="PTObj_DNode_1_751">
          <a:extLst>
            <a:ext uri="{FF2B5EF4-FFF2-40B4-BE49-F238E27FC236}">
              <a16:creationId xmlns:a16="http://schemas.microsoft.com/office/drawing/2014/main" id="{99D63375-EF0C-4CB9-9284-DFBB0F248468}"/>
            </a:ext>
          </a:extLst>
        </xdr:cNvPr>
        <xdr:cNvSpPr/>
      </xdr:nvSpPr>
      <xdr:spPr>
        <a:xfrm>
          <a:off x="17068927" y="274589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1517</xdr:row>
      <xdr:rowOff>55106</xdr:rowOff>
    </xdr:from>
    <xdr:ext cx="566519" cy="180627"/>
    <xdr:sp macro="_xll.PtreeEvent_ObjectClick" textlink="">
      <xdr:nvSpPr>
        <xdr:cNvPr id="3020" name="PTObj_DBranchName_1_751">
          <a:extLst>
            <a:ext uri="{FF2B5EF4-FFF2-40B4-BE49-F238E27FC236}">
              <a16:creationId xmlns:a16="http://schemas.microsoft.com/office/drawing/2014/main" id="{4810D969-B8C3-4463-83EF-AD7984E35424}"/>
            </a:ext>
          </a:extLst>
        </xdr:cNvPr>
        <xdr:cNvSpPr txBox="1"/>
      </xdr:nvSpPr>
      <xdr:spPr>
        <a:xfrm>
          <a:off x="15922752" y="2745941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1519</xdr:row>
      <xdr:rowOff>53975</xdr:rowOff>
    </xdr:from>
    <xdr:to>
      <xdr:col>10</xdr:col>
      <xdr:colOff>150622</xdr:colOff>
      <xdr:row>1520</xdr:row>
      <xdr:rowOff>55885</xdr:rowOff>
    </xdr:to>
    <xdr:sp macro="_xll.PtreeEvent_ObjectClick" textlink="">
      <xdr:nvSpPr>
        <xdr:cNvPr id="3021" name="PTObj_DNode_1_752">
          <a:extLst>
            <a:ext uri="{FF2B5EF4-FFF2-40B4-BE49-F238E27FC236}">
              <a16:creationId xmlns:a16="http://schemas.microsoft.com/office/drawing/2014/main" id="{09CD1C35-78CB-42B6-A9DB-33970E6A5F9B}"/>
            </a:ext>
          </a:extLst>
        </xdr:cNvPr>
        <xdr:cNvSpPr/>
      </xdr:nvSpPr>
      <xdr:spPr>
        <a:xfrm>
          <a:off x="18493867" y="274955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1519</xdr:row>
      <xdr:rowOff>58901</xdr:rowOff>
    </xdr:from>
    <xdr:ext cx="514857" cy="180627"/>
    <xdr:sp macro="_xll.PtreeEvent_ObjectClick" textlink="">
      <xdr:nvSpPr>
        <xdr:cNvPr id="3024" name="PTObj_DBranchName_1_752">
          <a:extLst>
            <a:ext uri="{FF2B5EF4-FFF2-40B4-BE49-F238E27FC236}">
              <a16:creationId xmlns:a16="http://schemas.microsoft.com/office/drawing/2014/main" id="{34FE67A0-4757-40ED-BD7E-8FA6DB25659B}"/>
            </a:ext>
          </a:extLst>
        </xdr:cNvPr>
        <xdr:cNvSpPr txBox="1"/>
      </xdr:nvSpPr>
      <xdr:spPr>
        <a:xfrm>
          <a:off x="17344834" y="2749599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1521</xdr:row>
      <xdr:rowOff>57795</xdr:rowOff>
    </xdr:from>
    <xdr:to>
      <xdr:col>11</xdr:col>
      <xdr:colOff>135383</xdr:colOff>
      <xdr:row>1522</xdr:row>
      <xdr:rowOff>55895</xdr:rowOff>
    </xdr:to>
    <xdr:sp macro="_xll.PtreeEvent_ObjectClick" textlink="">
      <xdr:nvSpPr>
        <xdr:cNvPr id="3025" name="PTObj_DNode_1_753">
          <a:extLst>
            <a:ext uri="{FF2B5EF4-FFF2-40B4-BE49-F238E27FC236}">
              <a16:creationId xmlns:a16="http://schemas.microsoft.com/office/drawing/2014/main" id="{259342F9-AB82-4CB7-ADC9-515E61CA4A63}"/>
            </a:ext>
          </a:extLst>
        </xdr:cNvPr>
        <xdr:cNvSpPr/>
      </xdr:nvSpPr>
      <xdr:spPr>
        <a:xfrm>
          <a:off x="19918807" y="275320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1521</xdr:row>
      <xdr:rowOff>55101</xdr:rowOff>
    </xdr:from>
    <xdr:ext cx="514858" cy="180627"/>
    <xdr:sp macro="_xll.PtreeEvent_ObjectClick" textlink="">
      <xdr:nvSpPr>
        <xdr:cNvPr id="3028" name="PTObj_DBranchName_1_753">
          <a:extLst>
            <a:ext uri="{FF2B5EF4-FFF2-40B4-BE49-F238E27FC236}">
              <a16:creationId xmlns:a16="http://schemas.microsoft.com/office/drawing/2014/main" id="{536E6274-7C28-4CB2-8417-3A8A57DBC6A0}"/>
            </a:ext>
          </a:extLst>
        </xdr:cNvPr>
        <xdr:cNvSpPr txBox="1"/>
      </xdr:nvSpPr>
      <xdr:spPr>
        <a:xfrm>
          <a:off x="18768820" y="275318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1523</xdr:row>
      <xdr:rowOff>60640</xdr:rowOff>
    </xdr:from>
    <xdr:to>
      <xdr:col>12</xdr:col>
      <xdr:colOff>132527</xdr:colOff>
      <xdr:row>1524</xdr:row>
      <xdr:rowOff>56830</xdr:rowOff>
    </xdr:to>
    <xdr:sp macro="_xll.PtreeEvent_ObjectClick" textlink="">
      <xdr:nvSpPr>
        <xdr:cNvPr id="3029" name="PTObj_DNode_1_754">
          <a:extLst>
            <a:ext uri="{FF2B5EF4-FFF2-40B4-BE49-F238E27FC236}">
              <a16:creationId xmlns:a16="http://schemas.microsoft.com/office/drawing/2014/main" id="{38EA683D-4B18-444A-9BBE-091C61A39DC2}"/>
            </a:ext>
          </a:extLst>
        </xdr:cNvPr>
        <xdr:cNvSpPr/>
      </xdr:nvSpPr>
      <xdr:spPr>
        <a:xfrm rot="-5400000">
          <a:off x="21347557" y="2756827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1523</xdr:row>
      <xdr:rowOff>58921</xdr:rowOff>
    </xdr:from>
    <xdr:ext cx="514858" cy="180627"/>
    <xdr:sp macro="_xll.PtreeEvent_ObjectClick" textlink="">
      <xdr:nvSpPr>
        <xdr:cNvPr id="3032" name="PTObj_DBranchName_1_754">
          <a:extLst>
            <a:ext uri="{FF2B5EF4-FFF2-40B4-BE49-F238E27FC236}">
              <a16:creationId xmlns:a16="http://schemas.microsoft.com/office/drawing/2014/main" id="{0BD720EA-5DBA-4AD8-989D-8F50F9471CD9}"/>
            </a:ext>
          </a:extLst>
        </xdr:cNvPr>
        <xdr:cNvSpPr txBox="1"/>
      </xdr:nvSpPr>
      <xdr:spPr>
        <a:xfrm>
          <a:off x="20188045" y="2756838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1527</xdr:row>
      <xdr:rowOff>69205</xdr:rowOff>
    </xdr:from>
    <xdr:to>
      <xdr:col>9</xdr:col>
      <xdr:colOff>154432</xdr:colOff>
      <xdr:row>1528</xdr:row>
      <xdr:rowOff>59685</xdr:rowOff>
    </xdr:to>
    <xdr:sp macro="_xll.PtreeEvent_ObjectClick" textlink="">
      <xdr:nvSpPr>
        <xdr:cNvPr id="3033" name="PTObj_DNode_1_756">
          <a:extLst>
            <a:ext uri="{FF2B5EF4-FFF2-40B4-BE49-F238E27FC236}">
              <a16:creationId xmlns:a16="http://schemas.microsoft.com/office/drawing/2014/main" id="{968C2D66-0468-4B72-855B-E721C6102420}"/>
            </a:ext>
          </a:extLst>
        </xdr:cNvPr>
        <xdr:cNvSpPr/>
      </xdr:nvSpPr>
      <xdr:spPr>
        <a:xfrm>
          <a:off x="17068927" y="276418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1527</xdr:row>
      <xdr:rowOff>68441</xdr:rowOff>
    </xdr:from>
    <xdr:ext cx="566520" cy="180627"/>
    <xdr:sp macro="_xll.PtreeEvent_ObjectClick" textlink="">
      <xdr:nvSpPr>
        <xdr:cNvPr id="3036" name="PTObj_DBranchName_1_756">
          <a:extLst>
            <a:ext uri="{FF2B5EF4-FFF2-40B4-BE49-F238E27FC236}">
              <a16:creationId xmlns:a16="http://schemas.microsoft.com/office/drawing/2014/main" id="{CA46212B-5782-43DC-93A9-2FE43D4528AC}"/>
            </a:ext>
          </a:extLst>
        </xdr:cNvPr>
        <xdr:cNvSpPr txBox="1"/>
      </xdr:nvSpPr>
      <xdr:spPr>
        <a:xfrm>
          <a:off x="15926563" y="2764172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1529</xdr:row>
      <xdr:rowOff>73025</xdr:rowOff>
    </xdr:from>
    <xdr:to>
      <xdr:col>10</xdr:col>
      <xdr:colOff>150622</xdr:colOff>
      <xdr:row>1530</xdr:row>
      <xdr:rowOff>74935</xdr:rowOff>
    </xdr:to>
    <xdr:sp macro="_xll.PtreeEvent_ObjectClick" textlink="">
      <xdr:nvSpPr>
        <xdr:cNvPr id="3037" name="PTObj_DNode_1_757">
          <a:extLst>
            <a:ext uri="{FF2B5EF4-FFF2-40B4-BE49-F238E27FC236}">
              <a16:creationId xmlns:a16="http://schemas.microsoft.com/office/drawing/2014/main" id="{D43D8B6C-A41D-418B-8B3F-5218DC45D32B}"/>
            </a:ext>
          </a:extLst>
        </xdr:cNvPr>
        <xdr:cNvSpPr/>
      </xdr:nvSpPr>
      <xdr:spPr>
        <a:xfrm>
          <a:off x="18493867" y="276783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1529</xdr:row>
      <xdr:rowOff>74141</xdr:rowOff>
    </xdr:from>
    <xdr:ext cx="514857" cy="180627"/>
    <xdr:sp macro="_xll.PtreeEvent_ObjectClick" textlink="">
      <xdr:nvSpPr>
        <xdr:cNvPr id="3040" name="PTObj_DBranchName_1_757">
          <a:extLst>
            <a:ext uri="{FF2B5EF4-FFF2-40B4-BE49-F238E27FC236}">
              <a16:creationId xmlns:a16="http://schemas.microsoft.com/office/drawing/2014/main" id="{E5B85F6E-904F-4D67-8D35-A653F4D2A0E3}"/>
            </a:ext>
          </a:extLst>
        </xdr:cNvPr>
        <xdr:cNvSpPr txBox="1"/>
      </xdr:nvSpPr>
      <xdr:spPr>
        <a:xfrm>
          <a:off x="17344834" y="2767849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1531</xdr:row>
      <xdr:rowOff>76845</xdr:rowOff>
    </xdr:from>
    <xdr:to>
      <xdr:col>11</xdr:col>
      <xdr:colOff>135383</xdr:colOff>
      <xdr:row>1532</xdr:row>
      <xdr:rowOff>78755</xdr:rowOff>
    </xdr:to>
    <xdr:sp macro="_xll.PtreeEvent_ObjectClick" textlink="">
      <xdr:nvSpPr>
        <xdr:cNvPr id="3041" name="PTObj_DNode_1_758">
          <a:extLst>
            <a:ext uri="{FF2B5EF4-FFF2-40B4-BE49-F238E27FC236}">
              <a16:creationId xmlns:a16="http://schemas.microsoft.com/office/drawing/2014/main" id="{58FDAB38-FEF1-436A-948A-27A70896CE05}"/>
            </a:ext>
          </a:extLst>
        </xdr:cNvPr>
        <xdr:cNvSpPr/>
      </xdr:nvSpPr>
      <xdr:spPr>
        <a:xfrm>
          <a:off x="19918807" y="277149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1531</xdr:row>
      <xdr:rowOff>77961</xdr:rowOff>
    </xdr:from>
    <xdr:ext cx="514858" cy="180627"/>
    <xdr:sp macro="_xll.PtreeEvent_ObjectClick" textlink="">
      <xdr:nvSpPr>
        <xdr:cNvPr id="3044" name="PTObj_DBranchName_1_758">
          <a:extLst>
            <a:ext uri="{FF2B5EF4-FFF2-40B4-BE49-F238E27FC236}">
              <a16:creationId xmlns:a16="http://schemas.microsoft.com/office/drawing/2014/main" id="{0FAB42C6-5823-4DEE-A6BB-B5F11F6D2E38}"/>
            </a:ext>
          </a:extLst>
        </xdr:cNvPr>
        <xdr:cNvSpPr txBox="1"/>
      </xdr:nvSpPr>
      <xdr:spPr>
        <a:xfrm>
          <a:off x="18768820" y="277150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1533</xdr:row>
      <xdr:rowOff>85405</xdr:rowOff>
    </xdr:from>
    <xdr:to>
      <xdr:col>12</xdr:col>
      <xdr:colOff>132527</xdr:colOff>
      <xdr:row>1534</xdr:row>
      <xdr:rowOff>96835</xdr:rowOff>
    </xdr:to>
    <xdr:sp macro="_xll.PtreeEvent_ObjectClick" textlink="">
      <xdr:nvSpPr>
        <xdr:cNvPr id="3045" name="PTObj_DNode_1_759">
          <a:extLst>
            <a:ext uri="{FF2B5EF4-FFF2-40B4-BE49-F238E27FC236}">
              <a16:creationId xmlns:a16="http://schemas.microsoft.com/office/drawing/2014/main" id="{365A52A1-F928-4FFC-86E8-EE277EFB22EA}"/>
            </a:ext>
          </a:extLst>
        </xdr:cNvPr>
        <xdr:cNvSpPr/>
      </xdr:nvSpPr>
      <xdr:spPr>
        <a:xfrm rot="-5400000">
          <a:off x="21347557" y="2775172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1533</xdr:row>
      <xdr:rowOff>83686</xdr:rowOff>
    </xdr:from>
    <xdr:ext cx="514858" cy="180627"/>
    <xdr:sp macro="_xll.PtreeEvent_ObjectClick" textlink="">
      <xdr:nvSpPr>
        <xdr:cNvPr id="3048" name="PTObj_DBranchName_1_759">
          <a:extLst>
            <a:ext uri="{FF2B5EF4-FFF2-40B4-BE49-F238E27FC236}">
              <a16:creationId xmlns:a16="http://schemas.microsoft.com/office/drawing/2014/main" id="{5EFC93C7-BF21-437C-9709-6789F7D6163E}"/>
            </a:ext>
          </a:extLst>
        </xdr:cNvPr>
        <xdr:cNvSpPr txBox="1"/>
      </xdr:nvSpPr>
      <xdr:spPr>
        <a:xfrm>
          <a:off x="20188045" y="2775183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1575</xdr:row>
      <xdr:rowOff>160660</xdr:rowOff>
    </xdr:from>
    <xdr:to>
      <xdr:col>6</xdr:col>
      <xdr:colOff>169672</xdr:colOff>
      <xdr:row>1576</xdr:row>
      <xdr:rowOff>172095</xdr:rowOff>
    </xdr:to>
    <xdr:sp macro="_xll.PtreeEvent_ObjectClick" textlink="">
      <xdr:nvSpPr>
        <xdr:cNvPr id="3049" name="PTObj_DNode_1_780">
          <a:extLst>
            <a:ext uri="{FF2B5EF4-FFF2-40B4-BE49-F238E27FC236}">
              <a16:creationId xmlns:a16="http://schemas.microsoft.com/office/drawing/2014/main" id="{6700F056-0484-4374-B7CD-6788AD2E290C}"/>
            </a:ext>
          </a:extLst>
        </xdr:cNvPr>
        <xdr:cNvSpPr/>
      </xdr:nvSpPr>
      <xdr:spPr>
        <a:xfrm>
          <a:off x="12794107" y="285196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1575</xdr:row>
      <xdr:rowOff>163681</xdr:rowOff>
    </xdr:from>
    <xdr:ext cx="566520" cy="180627"/>
    <xdr:sp macro="_xll.PtreeEvent_ObjectClick" textlink="">
      <xdr:nvSpPr>
        <xdr:cNvPr id="3052" name="PTObj_DBranchName_1_780">
          <a:extLst>
            <a:ext uri="{FF2B5EF4-FFF2-40B4-BE49-F238E27FC236}">
              <a16:creationId xmlns:a16="http://schemas.microsoft.com/office/drawing/2014/main" id="{9008BDE3-A5E2-43CA-B4B7-90E02C959619}"/>
            </a:ext>
          </a:extLst>
        </xdr:cNvPr>
        <xdr:cNvSpPr txBox="1"/>
      </xdr:nvSpPr>
      <xdr:spPr>
        <a:xfrm>
          <a:off x="11646980" y="2851993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1555</xdr:row>
      <xdr:rowOff>122560</xdr:rowOff>
    </xdr:from>
    <xdr:to>
      <xdr:col>7</xdr:col>
      <xdr:colOff>167767</xdr:colOff>
      <xdr:row>1556</xdr:row>
      <xdr:rowOff>130185</xdr:rowOff>
    </xdr:to>
    <xdr:sp macro="_xll.PtreeEvent_ObjectClick" textlink="">
      <xdr:nvSpPr>
        <xdr:cNvPr id="3053" name="PTObj_DNode_1_770">
          <a:extLst>
            <a:ext uri="{FF2B5EF4-FFF2-40B4-BE49-F238E27FC236}">
              <a16:creationId xmlns:a16="http://schemas.microsoft.com/office/drawing/2014/main" id="{67E53B75-4E1E-4798-9946-63B82559D361}"/>
            </a:ext>
          </a:extLst>
        </xdr:cNvPr>
        <xdr:cNvSpPr/>
      </xdr:nvSpPr>
      <xdr:spPr>
        <a:xfrm>
          <a:off x="14219047" y="281538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1555</xdr:row>
      <xdr:rowOff>125581</xdr:rowOff>
    </xdr:from>
    <xdr:ext cx="568424" cy="180627"/>
    <xdr:sp macro="_xll.PtreeEvent_ObjectClick" textlink="">
      <xdr:nvSpPr>
        <xdr:cNvPr id="3056" name="PTObj_DBranchName_1_770">
          <a:extLst>
            <a:ext uri="{FF2B5EF4-FFF2-40B4-BE49-F238E27FC236}">
              <a16:creationId xmlns:a16="http://schemas.microsoft.com/office/drawing/2014/main" id="{7E358581-7156-444A-9FE1-A6DADD8FB9B7}"/>
            </a:ext>
          </a:extLst>
        </xdr:cNvPr>
        <xdr:cNvSpPr txBox="1"/>
      </xdr:nvSpPr>
      <xdr:spPr>
        <a:xfrm>
          <a:off x="13072872" y="2815417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1545</xdr:row>
      <xdr:rowOff>103510</xdr:rowOff>
    </xdr:from>
    <xdr:to>
      <xdr:col>8</xdr:col>
      <xdr:colOff>171578</xdr:colOff>
      <xdr:row>1546</xdr:row>
      <xdr:rowOff>97800</xdr:rowOff>
    </xdr:to>
    <xdr:sp macro="_xll.PtreeEvent_ObjectClick" textlink="">
      <xdr:nvSpPr>
        <xdr:cNvPr id="3057" name="PTObj_DNode_1_765">
          <a:extLst>
            <a:ext uri="{FF2B5EF4-FFF2-40B4-BE49-F238E27FC236}">
              <a16:creationId xmlns:a16="http://schemas.microsoft.com/office/drawing/2014/main" id="{AC05CB4B-9C4C-4DC8-87C9-D9CEF360BC54}"/>
            </a:ext>
          </a:extLst>
        </xdr:cNvPr>
        <xdr:cNvSpPr/>
      </xdr:nvSpPr>
      <xdr:spPr>
        <a:xfrm>
          <a:off x="15643988" y="279709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1545</xdr:row>
      <xdr:rowOff>102721</xdr:rowOff>
    </xdr:from>
    <xdr:ext cx="566520" cy="180627"/>
    <xdr:sp macro="_xll.PtreeEvent_ObjectClick" textlink="">
      <xdr:nvSpPr>
        <xdr:cNvPr id="3060" name="PTObj_DBranchName_1_765">
          <a:extLst>
            <a:ext uri="{FF2B5EF4-FFF2-40B4-BE49-F238E27FC236}">
              <a16:creationId xmlns:a16="http://schemas.microsoft.com/office/drawing/2014/main" id="{BB92C484-D40A-45B7-8F6C-7ABD998F09B7}"/>
            </a:ext>
          </a:extLst>
        </xdr:cNvPr>
        <xdr:cNvSpPr txBox="1"/>
      </xdr:nvSpPr>
      <xdr:spPr>
        <a:xfrm>
          <a:off x="14500670" y="279709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1537</xdr:row>
      <xdr:rowOff>88255</xdr:rowOff>
    </xdr:from>
    <xdr:to>
      <xdr:col>9</xdr:col>
      <xdr:colOff>154432</xdr:colOff>
      <xdr:row>1538</xdr:row>
      <xdr:rowOff>97785</xdr:rowOff>
    </xdr:to>
    <xdr:sp macro="_xll.PtreeEvent_ObjectClick" textlink="">
      <xdr:nvSpPr>
        <xdr:cNvPr id="3061" name="PTObj_DNode_1_761">
          <a:extLst>
            <a:ext uri="{FF2B5EF4-FFF2-40B4-BE49-F238E27FC236}">
              <a16:creationId xmlns:a16="http://schemas.microsoft.com/office/drawing/2014/main" id="{FE5AA797-320E-45D7-9053-85F7F2EBF66B}"/>
            </a:ext>
          </a:extLst>
        </xdr:cNvPr>
        <xdr:cNvSpPr/>
      </xdr:nvSpPr>
      <xdr:spPr>
        <a:xfrm>
          <a:off x="17068927" y="278246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1537</xdr:row>
      <xdr:rowOff>93206</xdr:rowOff>
    </xdr:from>
    <xdr:ext cx="566519" cy="180627"/>
    <xdr:sp macro="_xll.PtreeEvent_ObjectClick" textlink="">
      <xdr:nvSpPr>
        <xdr:cNvPr id="3064" name="PTObj_DBranchName_1_761">
          <a:extLst>
            <a:ext uri="{FF2B5EF4-FFF2-40B4-BE49-F238E27FC236}">
              <a16:creationId xmlns:a16="http://schemas.microsoft.com/office/drawing/2014/main" id="{0ABED1CC-AF3B-4911-B6FC-8EC2699957DB}"/>
            </a:ext>
          </a:extLst>
        </xdr:cNvPr>
        <xdr:cNvSpPr txBox="1"/>
      </xdr:nvSpPr>
      <xdr:spPr>
        <a:xfrm>
          <a:off x="15922752" y="2782517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1539</xdr:row>
      <xdr:rowOff>92075</xdr:rowOff>
    </xdr:from>
    <xdr:to>
      <xdr:col>10</xdr:col>
      <xdr:colOff>150622</xdr:colOff>
      <xdr:row>1540</xdr:row>
      <xdr:rowOff>97795</xdr:rowOff>
    </xdr:to>
    <xdr:sp macro="_xll.PtreeEvent_ObjectClick" textlink="">
      <xdr:nvSpPr>
        <xdr:cNvPr id="3065" name="PTObj_DNode_1_762">
          <a:extLst>
            <a:ext uri="{FF2B5EF4-FFF2-40B4-BE49-F238E27FC236}">
              <a16:creationId xmlns:a16="http://schemas.microsoft.com/office/drawing/2014/main" id="{114F89AE-1921-4DCE-89FC-DDBB32D28223}"/>
            </a:ext>
          </a:extLst>
        </xdr:cNvPr>
        <xdr:cNvSpPr/>
      </xdr:nvSpPr>
      <xdr:spPr>
        <a:xfrm>
          <a:off x="18493867" y="278612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1539</xdr:row>
      <xdr:rowOff>97001</xdr:rowOff>
    </xdr:from>
    <xdr:ext cx="514857" cy="180627"/>
    <xdr:sp macro="_xll.PtreeEvent_ObjectClick" textlink="">
      <xdr:nvSpPr>
        <xdr:cNvPr id="3068" name="PTObj_DBranchName_1_762">
          <a:extLst>
            <a:ext uri="{FF2B5EF4-FFF2-40B4-BE49-F238E27FC236}">
              <a16:creationId xmlns:a16="http://schemas.microsoft.com/office/drawing/2014/main" id="{D143EE1A-D05B-4598-8722-473C0AF76FD3}"/>
            </a:ext>
          </a:extLst>
        </xdr:cNvPr>
        <xdr:cNvSpPr txBox="1"/>
      </xdr:nvSpPr>
      <xdr:spPr>
        <a:xfrm>
          <a:off x="17344834" y="2786175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1541</xdr:row>
      <xdr:rowOff>95895</xdr:rowOff>
    </xdr:from>
    <xdr:to>
      <xdr:col>11</xdr:col>
      <xdr:colOff>131573</xdr:colOff>
      <xdr:row>1542</xdr:row>
      <xdr:rowOff>97805</xdr:rowOff>
    </xdr:to>
    <xdr:sp macro="_xll.PtreeEvent_ObjectClick" textlink="">
      <xdr:nvSpPr>
        <xdr:cNvPr id="3069" name="PTObj_DNode_1_763">
          <a:extLst>
            <a:ext uri="{FF2B5EF4-FFF2-40B4-BE49-F238E27FC236}">
              <a16:creationId xmlns:a16="http://schemas.microsoft.com/office/drawing/2014/main" id="{8B4029AE-F2BD-477F-9054-3E095F3EFCEC}"/>
            </a:ext>
          </a:extLst>
        </xdr:cNvPr>
        <xdr:cNvSpPr/>
      </xdr:nvSpPr>
      <xdr:spPr>
        <a:xfrm>
          <a:off x="19918807" y="278978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1541</xdr:row>
      <xdr:rowOff>93201</xdr:rowOff>
    </xdr:from>
    <xdr:ext cx="514858" cy="180627"/>
    <xdr:sp macro="_xll.PtreeEvent_ObjectClick" textlink="">
      <xdr:nvSpPr>
        <xdr:cNvPr id="3072" name="PTObj_DBranchName_1_763">
          <a:extLst>
            <a:ext uri="{FF2B5EF4-FFF2-40B4-BE49-F238E27FC236}">
              <a16:creationId xmlns:a16="http://schemas.microsoft.com/office/drawing/2014/main" id="{DB4EC05B-ADFE-4A0A-8E01-547ED17F1742}"/>
            </a:ext>
          </a:extLst>
        </xdr:cNvPr>
        <xdr:cNvSpPr txBox="1"/>
      </xdr:nvSpPr>
      <xdr:spPr>
        <a:xfrm>
          <a:off x="18768820" y="278975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1543</xdr:row>
      <xdr:rowOff>98740</xdr:rowOff>
    </xdr:from>
    <xdr:to>
      <xdr:col>12</xdr:col>
      <xdr:colOff>136337</xdr:colOff>
      <xdr:row>1544</xdr:row>
      <xdr:rowOff>98740</xdr:rowOff>
    </xdr:to>
    <xdr:sp macro="_xll.PtreeEvent_ObjectClick" textlink="">
      <xdr:nvSpPr>
        <xdr:cNvPr id="3073" name="PTObj_DNode_1_764">
          <a:extLst>
            <a:ext uri="{FF2B5EF4-FFF2-40B4-BE49-F238E27FC236}">
              <a16:creationId xmlns:a16="http://schemas.microsoft.com/office/drawing/2014/main" id="{D54F13B8-B43C-4331-BAF4-4F6AD5F57CF4}"/>
            </a:ext>
          </a:extLst>
        </xdr:cNvPr>
        <xdr:cNvSpPr/>
      </xdr:nvSpPr>
      <xdr:spPr>
        <a:xfrm rot="-5400000">
          <a:off x="21347557" y="2793403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1543</xdr:row>
      <xdr:rowOff>97021</xdr:rowOff>
    </xdr:from>
    <xdr:ext cx="514858" cy="180627"/>
    <xdr:sp macro="_xll.PtreeEvent_ObjectClick" textlink="">
      <xdr:nvSpPr>
        <xdr:cNvPr id="3076" name="PTObj_DBranchName_1_764">
          <a:extLst>
            <a:ext uri="{FF2B5EF4-FFF2-40B4-BE49-F238E27FC236}">
              <a16:creationId xmlns:a16="http://schemas.microsoft.com/office/drawing/2014/main" id="{07EDA68D-E40E-4FCE-851D-1193BA829093}"/>
            </a:ext>
          </a:extLst>
        </xdr:cNvPr>
        <xdr:cNvSpPr txBox="1"/>
      </xdr:nvSpPr>
      <xdr:spPr>
        <a:xfrm>
          <a:off x="20188045" y="2793414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1547</xdr:row>
      <xdr:rowOff>107305</xdr:rowOff>
    </xdr:from>
    <xdr:to>
      <xdr:col>9</xdr:col>
      <xdr:colOff>154432</xdr:colOff>
      <xdr:row>1548</xdr:row>
      <xdr:rowOff>93975</xdr:rowOff>
    </xdr:to>
    <xdr:sp macro="_xll.PtreeEvent_ObjectClick" textlink="">
      <xdr:nvSpPr>
        <xdr:cNvPr id="3077" name="PTObj_DNode_1_766">
          <a:extLst>
            <a:ext uri="{FF2B5EF4-FFF2-40B4-BE49-F238E27FC236}">
              <a16:creationId xmlns:a16="http://schemas.microsoft.com/office/drawing/2014/main" id="{E6495E29-5E7F-4EFF-A829-5FDADF28EDB2}"/>
            </a:ext>
          </a:extLst>
        </xdr:cNvPr>
        <xdr:cNvSpPr/>
      </xdr:nvSpPr>
      <xdr:spPr>
        <a:xfrm>
          <a:off x="17068927" y="280075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1547</xdr:row>
      <xdr:rowOff>106541</xdr:rowOff>
    </xdr:from>
    <xdr:ext cx="566520" cy="180627"/>
    <xdr:sp macro="_xll.PtreeEvent_ObjectClick" textlink="">
      <xdr:nvSpPr>
        <xdr:cNvPr id="3080" name="PTObj_DBranchName_1_766">
          <a:extLst>
            <a:ext uri="{FF2B5EF4-FFF2-40B4-BE49-F238E27FC236}">
              <a16:creationId xmlns:a16="http://schemas.microsoft.com/office/drawing/2014/main" id="{1E76E3B8-9473-4214-B867-77475FF67551}"/>
            </a:ext>
          </a:extLst>
        </xdr:cNvPr>
        <xdr:cNvSpPr txBox="1"/>
      </xdr:nvSpPr>
      <xdr:spPr>
        <a:xfrm>
          <a:off x="15926563" y="2800748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1549</xdr:row>
      <xdr:rowOff>111125</xdr:rowOff>
    </xdr:from>
    <xdr:to>
      <xdr:col>10</xdr:col>
      <xdr:colOff>150622</xdr:colOff>
      <xdr:row>1550</xdr:row>
      <xdr:rowOff>113035</xdr:rowOff>
    </xdr:to>
    <xdr:sp macro="_xll.PtreeEvent_ObjectClick" textlink="">
      <xdr:nvSpPr>
        <xdr:cNvPr id="3081" name="PTObj_DNode_1_767">
          <a:extLst>
            <a:ext uri="{FF2B5EF4-FFF2-40B4-BE49-F238E27FC236}">
              <a16:creationId xmlns:a16="http://schemas.microsoft.com/office/drawing/2014/main" id="{46B53AA4-AC57-48D1-AE8B-E2958B2BCA4A}"/>
            </a:ext>
          </a:extLst>
        </xdr:cNvPr>
        <xdr:cNvSpPr/>
      </xdr:nvSpPr>
      <xdr:spPr>
        <a:xfrm>
          <a:off x="18493867" y="280441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1549</xdr:row>
      <xdr:rowOff>112241</xdr:rowOff>
    </xdr:from>
    <xdr:ext cx="514857" cy="180627"/>
    <xdr:sp macro="_xll.PtreeEvent_ObjectClick" textlink="">
      <xdr:nvSpPr>
        <xdr:cNvPr id="3084" name="PTObj_DBranchName_1_767">
          <a:extLst>
            <a:ext uri="{FF2B5EF4-FFF2-40B4-BE49-F238E27FC236}">
              <a16:creationId xmlns:a16="http://schemas.microsoft.com/office/drawing/2014/main" id="{D5C3B6EE-9B84-482C-A139-AF1B7A336DEB}"/>
            </a:ext>
          </a:extLst>
        </xdr:cNvPr>
        <xdr:cNvSpPr txBox="1"/>
      </xdr:nvSpPr>
      <xdr:spPr>
        <a:xfrm>
          <a:off x="17344834" y="2804425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1551</xdr:row>
      <xdr:rowOff>114945</xdr:rowOff>
    </xdr:from>
    <xdr:to>
      <xdr:col>11</xdr:col>
      <xdr:colOff>131573</xdr:colOff>
      <xdr:row>1552</xdr:row>
      <xdr:rowOff>116855</xdr:rowOff>
    </xdr:to>
    <xdr:sp macro="_xll.PtreeEvent_ObjectClick" textlink="">
      <xdr:nvSpPr>
        <xdr:cNvPr id="3085" name="PTObj_DNode_1_768">
          <a:extLst>
            <a:ext uri="{FF2B5EF4-FFF2-40B4-BE49-F238E27FC236}">
              <a16:creationId xmlns:a16="http://schemas.microsoft.com/office/drawing/2014/main" id="{48B2E106-FFFB-4D34-81FF-DAB5C21AD251}"/>
            </a:ext>
          </a:extLst>
        </xdr:cNvPr>
        <xdr:cNvSpPr/>
      </xdr:nvSpPr>
      <xdr:spPr>
        <a:xfrm>
          <a:off x="19918807" y="280807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1551</xdr:row>
      <xdr:rowOff>116061</xdr:rowOff>
    </xdr:from>
    <xdr:ext cx="514858" cy="180627"/>
    <xdr:sp macro="_xll.PtreeEvent_ObjectClick" textlink="">
      <xdr:nvSpPr>
        <xdr:cNvPr id="3088" name="PTObj_DBranchName_1_768">
          <a:extLst>
            <a:ext uri="{FF2B5EF4-FFF2-40B4-BE49-F238E27FC236}">
              <a16:creationId xmlns:a16="http://schemas.microsoft.com/office/drawing/2014/main" id="{3DE39159-21FA-4040-96CD-2BAD4EB3FB7F}"/>
            </a:ext>
          </a:extLst>
        </xdr:cNvPr>
        <xdr:cNvSpPr txBox="1"/>
      </xdr:nvSpPr>
      <xdr:spPr>
        <a:xfrm>
          <a:off x="18768820" y="280808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1553</xdr:row>
      <xdr:rowOff>123505</xdr:rowOff>
    </xdr:from>
    <xdr:to>
      <xdr:col>12</xdr:col>
      <xdr:colOff>136337</xdr:colOff>
      <xdr:row>1554</xdr:row>
      <xdr:rowOff>131125</xdr:rowOff>
    </xdr:to>
    <xdr:sp macro="_xll.PtreeEvent_ObjectClick" textlink="">
      <xdr:nvSpPr>
        <xdr:cNvPr id="3089" name="PTObj_DNode_1_769">
          <a:extLst>
            <a:ext uri="{FF2B5EF4-FFF2-40B4-BE49-F238E27FC236}">
              <a16:creationId xmlns:a16="http://schemas.microsoft.com/office/drawing/2014/main" id="{DA4B84B6-A158-408E-BBC1-8D28A4D49163}"/>
            </a:ext>
          </a:extLst>
        </xdr:cNvPr>
        <xdr:cNvSpPr/>
      </xdr:nvSpPr>
      <xdr:spPr>
        <a:xfrm rot="-5400000">
          <a:off x="21347557" y="2811748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1553</xdr:row>
      <xdr:rowOff>121786</xdr:rowOff>
    </xdr:from>
    <xdr:ext cx="514858" cy="180627"/>
    <xdr:sp macro="_xll.PtreeEvent_ObjectClick" textlink="">
      <xdr:nvSpPr>
        <xdr:cNvPr id="3092" name="PTObj_DBranchName_1_769">
          <a:extLst>
            <a:ext uri="{FF2B5EF4-FFF2-40B4-BE49-F238E27FC236}">
              <a16:creationId xmlns:a16="http://schemas.microsoft.com/office/drawing/2014/main" id="{E07495DF-EE87-4DDF-971C-45258951331A}"/>
            </a:ext>
          </a:extLst>
        </xdr:cNvPr>
        <xdr:cNvSpPr txBox="1"/>
      </xdr:nvSpPr>
      <xdr:spPr>
        <a:xfrm>
          <a:off x="20188045" y="2811759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1565</xdr:row>
      <xdr:rowOff>141610</xdr:rowOff>
    </xdr:from>
    <xdr:to>
      <xdr:col>8</xdr:col>
      <xdr:colOff>167768</xdr:colOff>
      <xdr:row>1566</xdr:row>
      <xdr:rowOff>132090</xdr:rowOff>
    </xdr:to>
    <xdr:sp macro="_xll.PtreeEvent_ObjectClick" textlink="">
      <xdr:nvSpPr>
        <xdr:cNvPr id="3093" name="PTObj_DNode_1_775">
          <a:extLst>
            <a:ext uri="{FF2B5EF4-FFF2-40B4-BE49-F238E27FC236}">
              <a16:creationId xmlns:a16="http://schemas.microsoft.com/office/drawing/2014/main" id="{397FCC3B-9EA3-4AE2-881A-B26C477D1B50}"/>
            </a:ext>
          </a:extLst>
        </xdr:cNvPr>
        <xdr:cNvSpPr/>
      </xdr:nvSpPr>
      <xdr:spPr>
        <a:xfrm>
          <a:off x="15643988" y="283367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1565</xdr:row>
      <xdr:rowOff>140821</xdr:rowOff>
    </xdr:from>
    <xdr:ext cx="566520" cy="180627"/>
    <xdr:sp macro="_xll.PtreeEvent_ObjectClick" textlink="">
      <xdr:nvSpPr>
        <xdr:cNvPr id="3096" name="PTObj_DBranchName_1_775">
          <a:extLst>
            <a:ext uri="{FF2B5EF4-FFF2-40B4-BE49-F238E27FC236}">
              <a16:creationId xmlns:a16="http://schemas.microsoft.com/office/drawing/2014/main" id="{DA2A865D-4B99-4D9C-AE40-2E66F73F287E}"/>
            </a:ext>
          </a:extLst>
        </xdr:cNvPr>
        <xdr:cNvSpPr txBox="1"/>
      </xdr:nvSpPr>
      <xdr:spPr>
        <a:xfrm>
          <a:off x="14498765" y="2833666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1557</xdr:row>
      <xdr:rowOff>126355</xdr:rowOff>
    </xdr:from>
    <xdr:to>
      <xdr:col>9</xdr:col>
      <xdr:colOff>154432</xdr:colOff>
      <xdr:row>1558</xdr:row>
      <xdr:rowOff>132075</xdr:rowOff>
    </xdr:to>
    <xdr:sp macro="_xll.PtreeEvent_ObjectClick" textlink="">
      <xdr:nvSpPr>
        <xdr:cNvPr id="3097" name="PTObj_DNode_1_771">
          <a:extLst>
            <a:ext uri="{FF2B5EF4-FFF2-40B4-BE49-F238E27FC236}">
              <a16:creationId xmlns:a16="http://schemas.microsoft.com/office/drawing/2014/main" id="{DC5CAD1D-A2C3-4DFD-BF81-834303712AE6}"/>
            </a:ext>
          </a:extLst>
        </xdr:cNvPr>
        <xdr:cNvSpPr/>
      </xdr:nvSpPr>
      <xdr:spPr>
        <a:xfrm>
          <a:off x="17068927" y="281904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1557</xdr:row>
      <xdr:rowOff>131306</xdr:rowOff>
    </xdr:from>
    <xdr:ext cx="566519" cy="180627"/>
    <xdr:sp macro="_xll.PtreeEvent_ObjectClick" textlink="">
      <xdr:nvSpPr>
        <xdr:cNvPr id="3100" name="PTObj_DBranchName_1_771">
          <a:extLst>
            <a:ext uri="{FF2B5EF4-FFF2-40B4-BE49-F238E27FC236}">
              <a16:creationId xmlns:a16="http://schemas.microsoft.com/office/drawing/2014/main" id="{34EFED33-2808-42AE-B44D-D486C198F381}"/>
            </a:ext>
          </a:extLst>
        </xdr:cNvPr>
        <xdr:cNvSpPr txBox="1"/>
      </xdr:nvSpPr>
      <xdr:spPr>
        <a:xfrm>
          <a:off x="15922752" y="2819093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1559</xdr:row>
      <xdr:rowOff>130175</xdr:rowOff>
    </xdr:from>
    <xdr:to>
      <xdr:col>10</xdr:col>
      <xdr:colOff>150622</xdr:colOff>
      <xdr:row>1560</xdr:row>
      <xdr:rowOff>132085</xdr:rowOff>
    </xdr:to>
    <xdr:sp macro="_xll.PtreeEvent_ObjectClick" textlink="">
      <xdr:nvSpPr>
        <xdr:cNvPr id="3101" name="PTObj_DNode_1_772">
          <a:extLst>
            <a:ext uri="{FF2B5EF4-FFF2-40B4-BE49-F238E27FC236}">
              <a16:creationId xmlns:a16="http://schemas.microsoft.com/office/drawing/2014/main" id="{244B1254-3D39-4EDB-819D-14A44880053B}"/>
            </a:ext>
          </a:extLst>
        </xdr:cNvPr>
        <xdr:cNvSpPr/>
      </xdr:nvSpPr>
      <xdr:spPr>
        <a:xfrm>
          <a:off x="18493867" y="282270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1559</xdr:row>
      <xdr:rowOff>135101</xdr:rowOff>
    </xdr:from>
    <xdr:ext cx="514857" cy="180627"/>
    <xdr:sp macro="_xll.PtreeEvent_ObjectClick" textlink="">
      <xdr:nvSpPr>
        <xdr:cNvPr id="3104" name="PTObj_DBranchName_1_772">
          <a:extLst>
            <a:ext uri="{FF2B5EF4-FFF2-40B4-BE49-F238E27FC236}">
              <a16:creationId xmlns:a16="http://schemas.microsoft.com/office/drawing/2014/main" id="{7440DBE5-A2DB-4690-9AC4-11B0495CFBA7}"/>
            </a:ext>
          </a:extLst>
        </xdr:cNvPr>
        <xdr:cNvSpPr txBox="1"/>
      </xdr:nvSpPr>
      <xdr:spPr>
        <a:xfrm>
          <a:off x="17344834" y="2822751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1561</xdr:row>
      <xdr:rowOff>133995</xdr:rowOff>
    </xdr:from>
    <xdr:to>
      <xdr:col>11</xdr:col>
      <xdr:colOff>135383</xdr:colOff>
      <xdr:row>1562</xdr:row>
      <xdr:rowOff>132095</xdr:rowOff>
    </xdr:to>
    <xdr:sp macro="_xll.PtreeEvent_ObjectClick" textlink="">
      <xdr:nvSpPr>
        <xdr:cNvPr id="3105" name="PTObj_DNode_1_773">
          <a:extLst>
            <a:ext uri="{FF2B5EF4-FFF2-40B4-BE49-F238E27FC236}">
              <a16:creationId xmlns:a16="http://schemas.microsoft.com/office/drawing/2014/main" id="{C8611BCD-7C99-4837-8710-0DD926D726CB}"/>
            </a:ext>
          </a:extLst>
        </xdr:cNvPr>
        <xdr:cNvSpPr/>
      </xdr:nvSpPr>
      <xdr:spPr>
        <a:xfrm>
          <a:off x="19918807" y="282635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1561</xdr:row>
      <xdr:rowOff>131301</xdr:rowOff>
    </xdr:from>
    <xdr:ext cx="514858" cy="180627"/>
    <xdr:sp macro="_xll.PtreeEvent_ObjectClick" textlink="">
      <xdr:nvSpPr>
        <xdr:cNvPr id="3108" name="PTObj_DBranchName_1_773">
          <a:extLst>
            <a:ext uri="{FF2B5EF4-FFF2-40B4-BE49-F238E27FC236}">
              <a16:creationId xmlns:a16="http://schemas.microsoft.com/office/drawing/2014/main" id="{EB00EF21-7697-4193-83C3-60ED7399AF39}"/>
            </a:ext>
          </a:extLst>
        </xdr:cNvPr>
        <xdr:cNvSpPr txBox="1"/>
      </xdr:nvSpPr>
      <xdr:spPr>
        <a:xfrm>
          <a:off x="18768820" y="282633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1563</xdr:row>
      <xdr:rowOff>136840</xdr:rowOff>
    </xdr:from>
    <xdr:to>
      <xdr:col>12</xdr:col>
      <xdr:colOff>132527</xdr:colOff>
      <xdr:row>1564</xdr:row>
      <xdr:rowOff>133030</xdr:rowOff>
    </xdr:to>
    <xdr:sp macro="_xll.PtreeEvent_ObjectClick" textlink="">
      <xdr:nvSpPr>
        <xdr:cNvPr id="3109" name="PTObj_DNode_1_774">
          <a:extLst>
            <a:ext uri="{FF2B5EF4-FFF2-40B4-BE49-F238E27FC236}">
              <a16:creationId xmlns:a16="http://schemas.microsoft.com/office/drawing/2014/main" id="{E6402C5E-2A54-4E25-BBEF-BCE3E7348356}"/>
            </a:ext>
          </a:extLst>
        </xdr:cNvPr>
        <xdr:cNvSpPr/>
      </xdr:nvSpPr>
      <xdr:spPr>
        <a:xfrm rot="-5400000">
          <a:off x="21347557" y="2829979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1563</xdr:row>
      <xdr:rowOff>135121</xdr:rowOff>
    </xdr:from>
    <xdr:ext cx="514858" cy="180627"/>
    <xdr:sp macro="_xll.PtreeEvent_ObjectClick" textlink="">
      <xdr:nvSpPr>
        <xdr:cNvPr id="3112" name="PTObj_DBranchName_1_774">
          <a:extLst>
            <a:ext uri="{FF2B5EF4-FFF2-40B4-BE49-F238E27FC236}">
              <a16:creationId xmlns:a16="http://schemas.microsoft.com/office/drawing/2014/main" id="{2C333BD0-4007-488C-93E1-24614148C244}"/>
            </a:ext>
          </a:extLst>
        </xdr:cNvPr>
        <xdr:cNvSpPr txBox="1"/>
      </xdr:nvSpPr>
      <xdr:spPr>
        <a:xfrm>
          <a:off x="20188045" y="282999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1567</xdr:row>
      <xdr:rowOff>145405</xdr:rowOff>
    </xdr:from>
    <xdr:to>
      <xdr:col>9</xdr:col>
      <xdr:colOff>154432</xdr:colOff>
      <xdr:row>1568</xdr:row>
      <xdr:rowOff>135885</xdr:rowOff>
    </xdr:to>
    <xdr:sp macro="_xll.PtreeEvent_ObjectClick" textlink="">
      <xdr:nvSpPr>
        <xdr:cNvPr id="3113" name="PTObj_DNode_1_776">
          <a:extLst>
            <a:ext uri="{FF2B5EF4-FFF2-40B4-BE49-F238E27FC236}">
              <a16:creationId xmlns:a16="http://schemas.microsoft.com/office/drawing/2014/main" id="{0A692A7E-E5D7-4B62-BBE7-2ED396095601}"/>
            </a:ext>
          </a:extLst>
        </xdr:cNvPr>
        <xdr:cNvSpPr/>
      </xdr:nvSpPr>
      <xdr:spPr>
        <a:xfrm>
          <a:off x="17068927" y="283733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1567</xdr:row>
      <xdr:rowOff>144641</xdr:rowOff>
    </xdr:from>
    <xdr:ext cx="566520" cy="180627"/>
    <xdr:sp macro="_xll.PtreeEvent_ObjectClick" textlink="">
      <xdr:nvSpPr>
        <xdr:cNvPr id="3116" name="PTObj_DBranchName_1_776">
          <a:extLst>
            <a:ext uri="{FF2B5EF4-FFF2-40B4-BE49-F238E27FC236}">
              <a16:creationId xmlns:a16="http://schemas.microsoft.com/office/drawing/2014/main" id="{2D5186C8-5159-4BA3-958C-344B4BFC2CE0}"/>
            </a:ext>
          </a:extLst>
        </xdr:cNvPr>
        <xdr:cNvSpPr txBox="1"/>
      </xdr:nvSpPr>
      <xdr:spPr>
        <a:xfrm>
          <a:off x="15926563" y="2837324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1569</xdr:row>
      <xdr:rowOff>149225</xdr:rowOff>
    </xdr:from>
    <xdr:to>
      <xdr:col>10</xdr:col>
      <xdr:colOff>150622</xdr:colOff>
      <xdr:row>1570</xdr:row>
      <xdr:rowOff>151135</xdr:rowOff>
    </xdr:to>
    <xdr:sp macro="_xll.PtreeEvent_ObjectClick" textlink="">
      <xdr:nvSpPr>
        <xdr:cNvPr id="3117" name="PTObj_DNode_1_777">
          <a:extLst>
            <a:ext uri="{FF2B5EF4-FFF2-40B4-BE49-F238E27FC236}">
              <a16:creationId xmlns:a16="http://schemas.microsoft.com/office/drawing/2014/main" id="{789CF79B-8A31-493E-8F65-3ED8E1649442}"/>
            </a:ext>
          </a:extLst>
        </xdr:cNvPr>
        <xdr:cNvSpPr/>
      </xdr:nvSpPr>
      <xdr:spPr>
        <a:xfrm>
          <a:off x="18493867" y="284099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1569</xdr:row>
      <xdr:rowOff>150341</xdr:rowOff>
    </xdr:from>
    <xdr:ext cx="514857" cy="180627"/>
    <xdr:sp macro="_xll.PtreeEvent_ObjectClick" textlink="">
      <xdr:nvSpPr>
        <xdr:cNvPr id="3120" name="PTObj_DBranchName_1_777">
          <a:extLst>
            <a:ext uri="{FF2B5EF4-FFF2-40B4-BE49-F238E27FC236}">
              <a16:creationId xmlns:a16="http://schemas.microsoft.com/office/drawing/2014/main" id="{5A6F6FE4-2C89-494E-9A8F-96551476FC4F}"/>
            </a:ext>
          </a:extLst>
        </xdr:cNvPr>
        <xdr:cNvSpPr txBox="1"/>
      </xdr:nvSpPr>
      <xdr:spPr>
        <a:xfrm>
          <a:off x="17344834" y="2841001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1571</xdr:row>
      <xdr:rowOff>153045</xdr:rowOff>
    </xdr:from>
    <xdr:to>
      <xdr:col>11</xdr:col>
      <xdr:colOff>135383</xdr:colOff>
      <xdr:row>1572</xdr:row>
      <xdr:rowOff>154955</xdr:rowOff>
    </xdr:to>
    <xdr:sp macro="_xll.PtreeEvent_ObjectClick" textlink="">
      <xdr:nvSpPr>
        <xdr:cNvPr id="3121" name="PTObj_DNode_1_778">
          <a:extLst>
            <a:ext uri="{FF2B5EF4-FFF2-40B4-BE49-F238E27FC236}">
              <a16:creationId xmlns:a16="http://schemas.microsoft.com/office/drawing/2014/main" id="{A0D561EF-D44C-44D0-ABF6-674B414FE1A8}"/>
            </a:ext>
          </a:extLst>
        </xdr:cNvPr>
        <xdr:cNvSpPr/>
      </xdr:nvSpPr>
      <xdr:spPr>
        <a:xfrm>
          <a:off x="19918807" y="284464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1571</xdr:row>
      <xdr:rowOff>154161</xdr:rowOff>
    </xdr:from>
    <xdr:ext cx="514858" cy="180627"/>
    <xdr:sp macro="_xll.PtreeEvent_ObjectClick" textlink="">
      <xdr:nvSpPr>
        <xdr:cNvPr id="3124" name="PTObj_DBranchName_1_778">
          <a:extLst>
            <a:ext uri="{FF2B5EF4-FFF2-40B4-BE49-F238E27FC236}">
              <a16:creationId xmlns:a16="http://schemas.microsoft.com/office/drawing/2014/main" id="{F720E846-4326-44EC-8EDD-EB5FEC1B544A}"/>
            </a:ext>
          </a:extLst>
        </xdr:cNvPr>
        <xdr:cNvSpPr txBox="1"/>
      </xdr:nvSpPr>
      <xdr:spPr>
        <a:xfrm>
          <a:off x="18768820" y="284465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1573</xdr:row>
      <xdr:rowOff>161605</xdr:rowOff>
    </xdr:from>
    <xdr:to>
      <xdr:col>12</xdr:col>
      <xdr:colOff>132527</xdr:colOff>
      <xdr:row>1574</xdr:row>
      <xdr:rowOff>173035</xdr:rowOff>
    </xdr:to>
    <xdr:sp macro="_xll.PtreeEvent_ObjectClick" textlink="">
      <xdr:nvSpPr>
        <xdr:cNvPr id="3125" name="PTObj_DNode_1_779">
          <a:extLst>
            <a:ext uri="{FF2B5EF4-FFF2-40B4-BE49-F238E27FC236}">
              <a16:creationId xmlns:a16="http://schemas.microsoft.com/office/drawing/2014/main" id="{4C5BA152-E4E2-4A52-9288-F09F434920F3}"/>
            </a:ext>
          </a:extLst>
        </xdr:cNvPr>
        <xdr:cNvSpPr/>
      </xdr:nvSpPr>
      <xdr:spPr>
        <a:xfrm rot="-5400000">
          <a:off x="21347557" y="2848324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1573</xdr:row>
      <xdr:rowOff>159886</xdr:rowOff>
    </xdr:from>
    <xdr:ext cx="514858" cy="180627"/>
    <xdr:sp macro="_xll.PtreeEvent_ObjectClick" textlink="">
      <xdr:nvSpPr>
        <xdr:cNvPr id="3128" name="PTObj_DBranchName_1_779">
          <a:extLst>
            <a:ext uri="{FF2B5EF4-FFF2-40B4-BE49-F238E27FC236}">
              <a16:creationId xmlns:a16="http://schemas.microsoft.com/office/drawing/2014/main" id="{1557521A-1261-4D1F-A247-94B3B1CA7E64}"/>
            </a:ext>
          </a:extLst>
        </xdr:cNvPr>
        <xdr:cNvSpPr txBox="1"/>
      </xdr:nvSpPr>
      <xdr:spPr>
        <a:xfrm>
          <a:off x="20188045" y="284833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1596</xdr:row>
      <xdr:rowOff>17785</xdr:rowOff>
    </xdr:from>
    <xdr:to>
      <xdr:col>7</xdr:col>
      <xdr:colOff>171577</xdr:colOff>
      <xdr:row>1597</xdr:row>
      <xdr:rowOff>15885</xdr:rowOff>
    </xdr:to>
    <xdr:sp macro="_xll.PtreeEvent_ObjectClick" textlink="">
      <xdr:nvSpPr>
        <xdr:cNvPr id="3129" name="PTObj_DNode_1_790">
          <a:extLst>
            <a:ext uri="{FF2B5EF4-FFF2-40B4-BE49-F238E27FC236}">
              <a16:creationId xmlns:a16="http://schemas.microsoft.com/office/drawing/2014/main" id="{7C255D1F-9DBB-4591-92C0-F8D03BAD669E}"/>
            </a:ext>
          </a:extLst>
        </xdr:cNvPr>
        <xdr:cNvSpPr/>
      </xdr:nvSpPr>
      <xdr:spPr>
        <a:xfrm>
          <a:off x="14219047" y="28885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1596</xdr:row>
      <xdr:rowOff>22711</xdr:rowOff>
    </xdr:from>
    <xdr:ext cx="566520" cy="180627"/>
    <xdr:sp macro="_xll.PtreeEvent_ObjectClick" textlink="">
      <xdr:nvSpPr>
        <xdr:cNvPr id="3132" name="PTObj_DBranchName_1_790">
          <a:extLst>
            <a:ext uri="{FF2B5EF4-FFF2-40B4-BE49-F238E27FC236}">
              <a16:creationId xmlns:a16="http://schemas.microsoft.com/office/drawing/2014/main" id="{1E99EF4D-DD10-4D04-96E5-AF5633DC38F1}"/>
            </a:ext>
          </a:extLst>
        </xdr:cNvPr>
        <xdr:cNvSpPr txBox="1"/>
      </xdr:nvSpPr>
      <xdr:spPr>
        <a:xfrm>
          <a:off x="13074777" y="288858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1585</xdr:row>
      <xdr:rowOff>179710</xdr:rowOff>
    </xdr:from>
    <xdr:to>
      <xdr:col>8</xdr:col>
      <xdr:colOff>167768</xdr:colOff>
      <xdr:row>1587</xdr:row>
      <xdr:rowOff>645</xdr:rowOff>
    </xdr:to>
    <xdr:sp macro="_xll.PtreeEvent_ObjectClick" textlink="">
      <xdr:nvSpPr>
        <xdr:cNvPr id="3133" name="PTObj_DNode_1_785">
          <a:extLst>
            <a:ext uri="{FF2B5EF4-FFF2-40B4-BE49-F238E27FC236}">
              <a16:creationId xmlns:a16="http://schemas.microsoft.com/office/drawing/2014/main" id="{7E8CA158-558F-419E-B435-9454475E8019}"/>
            </a:ext>
          </a:extLst>
        </xdr:cNvPr>
        <xdr:cNvSpPr/>
      </xdr:nvSpPr>
      <xdr:spPr>
        <a:xfrm>
          <a:off x="15643988" y="28702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1585</xdr:row>
      <xdr:rowOff>178921</xdr:rowOff>
    </xdr:from>
    <xdr:ext cx="566520" cy="180627"/>
    <xdr:sp macro="_xll.PtreeEvent_ObjectClick" textlink="">
      <xdr:nvSpPr>
        <xdr:cNvPr id="3136" name="PTObj_DBranchName_1_785">
          <a:extLst>
            <a:ext uri="{FF2B5EF4-FFF2-40B4-BE49-F238E27FC236}">
              <a16:creationId xmlns:a16="http://schemas.microsoft.com/office/drawing/2014/main" id="{8C1BBC4B-32D7-4139-9C28-165BF95AA3F4}"/>
            </a:ext>
          </a:extLst>
        </xdr:cNvPr>
        <xdr:cNvSpPr txBox="1"/>
      </xdr:nvSpPr>
      <xdr:spPr>
        <a:xfrm>
          <a:off x="14500670" y="287024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1577</xdr:row>
      <xdr:rowOff>164455</xdr:rowOff>
    </xdr:from>
    <xdr:to>
      <xdr:col>9</xdr:col>
      <xdr:colOff>154432</xdr:colOff>
      <xdr:row>1578</xdr:row>
      <xdr:rowOff>170175</xdr:rowOff>
    </xdr:to>
    <xdr:sp macro="_xll.PtreeEvent_ObjectClick" textlink="">
      <xdr:nvSpPr>
        <xdr:cNvPr id="3137" name="PTObj_DNode_1_781">
          <a:extLst>
            <a:ext uri="{FF2B5EF4-FFF2-40B4-BE49-F238E27FC236}">
              <a16:creationId xmlns:a16="http://schemas.microsoft.com/office/drawing/2014/main" id="{B6D87CF9-90DB-4855-B388-87E488973AE1}"/>
            </a:ext>
          </a:extLst>
        </xdr:cNvPr>
        <xdr:cNvSpPr/>
      </xdr:nvSpPr>
      <xdr:spPr>
        <a:xfrm>
          <a:off x="17068927" y="285562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1577</xdr:row>
      <xdr:rowOff>169406</xdr:rowOff>
    </xdr:from>
    <xdr:ext cx="566519" cy="180627"/>
    <xdr:sp macro="_xll.PtreeEvent_ObjectClick" textlink="">
      <xdr:nvSpPr>
        <xdr:cNvPr id="3140" name="PTObj_DBranchName_1_781">
          <a:extLst>
            <a:ext uri="{FF2B5EF4-FFF2-40B4-BE49-F238E27FC236}">
              <a16:creationId xmlns:a16="http://schemas.microsoft.com/office/drawing/2014/main" id="{72E941FA-D084-4C11-8A79-F674862A9AED}"/>
            </a:ext>
          </a:extLst>
        </xdr:cNvPr>
        <xdr:cNvSpPr txBox="1"/>
      </xdr:nvSpPr>
      <xdr:spPr>
        <a:xfrm>
          <a:off x="15922752" y="2855669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1579</xdr:row>
      <xdr:rowOff>168275</xdr:rowOff>
    </xdr:from>
    <xdr:to>
      <xdr:col>10</xdr:col>
      <xdr:colOff>150622</xdr:colOff>
      <xdr:row>1580</xdr:row>
      <xdr:rowOff>170185</xdr:rowOff>
    </xdr:to>
    <xdr:sp macro="_xll.PtreeEvent_ObjectClick" textlink="">
      <xdr:nvSpPr>
        <xdr:cNvPr id="3141" name="PTObj_DNode_1_782">
          <a:extLst>
            <a:ext uri="{FF2B5EF4-FFF2-40B4-BE49-F238E27FC236}">
              <a16:creationId xmlns:a16="http://schemas.microsoft.com/office/drawing/2014/main" id="{E901D46F-3374-4FEA-A9BA-0E9DA9612AB4}"/>
            </a:ext>
          </a:extLst>
        </xdr:cNvPr>
        <xdr:cNvSpPr/>
      </xdr:nvSpPr>
      <xdr:spPr>
        <a:xfrm>
          <a:off x="18493867" y="285927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1579</xdr:row>
      <xdr:rowOff>173201</xdr:rowOff>
    </xdr:from>
    <xdr:ext cx="514857" cy="180627"/>
    <xdr:sp macro="_xll.PtreeEvent_ObjectClick" textlink="">
      <xdr:nvSpPr>
        <xdr:cNvPr id="3144" name="PTObj_DBranchName_1_782">
          <a:extLst>
            <a:ext uri="{FF2B5EF4-FFF2-40B4-BE49-F238E27FC236}">
              <a16:creationId xmlns:a16="http://schemas.microsoft.com/office/drawing/2014/main" id="{76834859-6D57-437C-978C-C65B140E3FEA}"/>
            </a:ext>
          </a:extLst>
        </xdr:cNvPr>
        <xdr:cNvSpPr txBox="1"/>
      </xdr:nvSpPr>
      <xdr:spPr>
        <a:xfrm>
          <a:off x="17344834" y="2859327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1581</xdr:row>
      <xdr:rowOff>172095</xdr:rowOff>
    </xdr:from>
    <xdr:to>
      <xdr:col>11</xdr:col>
      <xdr:colOff>135383</xdr:colOff>
      <xdr:row>1582</xdr:row>
      <xdr:rowOff>170195</xdr:rowOff>
    </xdr:to>
    <xdr:sp macro="_xll.PtreeEvent_ObjectClick" textlink="">
      <xdr:nvSpPr>
        <xdr:cNvPr id="3145" name="PTObj_DNode_1_783">
          <a:extLst>
            <a:ext uri="{FF2B5EF4-FFF2-40B4-BE49-F238E27FC236}">
              <a16:creationId xmlns:a16="http://schemas.microsoft.com/office/drawing/2014/main" id="{9EDCDFAE-DBC2-4CA0-AAE5-6705594044AF}"/>
            </a:ext>
          </a:extLst>
        </xdr:cNvPr>
        <xdr:cNvSpPr/>
      </xdr:nvSpPr>
      <xdr:spPr>
        <a:xfrm>
          <a:off x="19918807" y="286293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1581</xdr:row>
      <xdr:rowOff>169401</xdr:rowOff>
    </xdr:from>
    <xdr:ext cx="514858" cy="180627"/>
    <xdr:sp macro="_xll.PtreeEvent_ObjectClick" textlink="">
      <xdr:nvSpPr>
        <xdr:cNvPr id="3148" name="PTObj_DBranchName_1_783">
          <a:extLst>
            <a:ext uri="{FF2B5EF4-FFF2-40B4-BE49-F238E27FC236}">
              <a16:creationId xmlns:a16="http://schemas.microsoft.com/office/drawing/2014/main" id="{54D9F341-25FA-4176-863A-EB0D866B6629}"/>
            </a:ext>
          </a:extLst>
        </xdr:cNvPr>
        <xdr:cNvSpPr txBox="1"/>
      </xdr:nvSpPr>
      <xdr:spPr>
        <a:xfrm>
          <a:off x="18768820" y="286290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1583</xdr:row>
      <xdr:rowOff>174940</xdr:rowOff>
    </xdr:from>
    <xdr:to>
      <xdr:col>12</xdr:col>
      <xdr:colOff>132527</xdr:colOff>
      <xdr:row>1584</xdr:row>
      <xdr:rowOff>171130</xdr:rowOff>
    </xdr:to>
    <xdr:sp macro="_xll.PtreeEvent_ObjectClick" textlink="">
      <xdr:nvSpPr>
        <xdr:cNvPr id="3149" name="PTObj_DNode_1_784">
          <a:extLst>
            <a:ext uri="{FF2B5EF4-FFF2-40B4-BE49-F238E27FC236}">
              <a16:creationId xmlns:a16="http://schemas.microsoft.com/office/drawing/2014/main" id="{4E5299DD-D285-4DF0-952A-C4EA5D751C40}"/>
            </a:ext>
          </a:extLst>
        </xdr:cNvPr>
        <xdr:cNvSpPr/>
      </xdr:nvSpPr>
      <xdr:spPr>
        <a:xfrm rot="-5400000">
          <a:off x="21347557" y="2866555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1583</xdr:row>
      <xdr:rowOff>173221</xdr:rowOff>
    </xdr:from>
    <xdr:ext cx="514858" cy="180627"/>
    <xdr:sp macro="_xll.PtreeEvent_ObjectClick" textlink="">
      <xdr:nvSpPr>
        <xdr:cNvPr id="3152" name="PTObj_DBranchName_1_784">
          <a:extLst>
            <a:ext uri="{FF2B5EF4-FFF2-40B4-BE49-F238E27FC236}">
              <a16:creationId xmlns:a16="http://schemas.microsoft.com/office/drawing/2014/main" id="{0EB234A2-654C-4F51-B3D3-F39C941C148B}"/>
            </a:ext>
          </a:extLst>
        </xdr:cNvPr>
        <xdr:cNvSpPr txBox="1"/>
      </xdr:nvSpPr>
      <xdr:spPr>
        <a:xfrm>
          <a:off x="20188045" y="286656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1588</xdr:row>
      <xdr:rowOff>2530</xdr:rowOff>
    </xdr:from>
    <xdr:to>
      <xdr:col>9</xdr:col>
      <xdr:colOff>154432</xdr:colOff>
      <xdr:row>1589</xdr:row>
      <xdr:rowOff>15870</xdr:rowOff>
    </xdr:to>
    <xdr:sp macro="_xll.PtreeEvent_ObjectClick" textlink="">
      <xdr:nvSpPr>
        <xdr:cNvPr id="3153" name="PTObj_DNode_1_786">
          <a:extLst>
            <a:ext uri="{FF2B5EF4-FFF2-40B4-BE49-F238E27FC236}">
              <a16:creationId xmlns:a16="http://schemas.microsoft.com/office/drawing/2014/main" id="{EFC6C43E-7A59-46CD-A08B-A1DA2AA37F39}"/>
            </a:ext>
          </a:extLst>
        </xdr:cNvPr>
        <xdr:cNvSpPr/>
      </xdr:nvSpPr>
      <xdr:spPr>
        <a:xfrm>
          <a:off x="17068927" y="287390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1588</xdr:row>
      <xdr:rowOff>3671</xdr:rowOff>
    </xdr:from>
    <xdr:ext cx="566520" cy="180627"/>
    <xdr:sp macro="_xll.PtreeEvent_ObjectClick" textlink="">
      <xdr:nvSpPr>
        <xdr:cNvPr id="3156" name="PTObj_DBranchName_1_786">
          <a:extLst>
            <a:ext uri="{FF2B5EF4-FFF2-40B4-BE49-F238E27FC236}">
              <a16:creationId xmlns:a16="http://schemas.microsoft.com/office/drawing/2014/main" id="{B61AF6F7-323F-4338-A354-DAE2835933BB}"/>
            </a:ext>
          </a:extLst>
        </xdr:cNvPr>
        <xdr:cNvSpPr txBox="1"/>
      </xdr:nvSpPr>
      <xdr:spPr>
        <a:xfrm>
          <a:off x="15926563" y="2873919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1590</xdr:row>
      <xdr:rowOff>6350</xdr:rowOff>
    </xdr:from>
    <xdr:to>
      <xdr:col>10</xdr:col>
      <xdr:colOff>150622</xdr:colOff>
      <xdr:row>1591</xdr:row>
      <xdr:rowOff>19690</xdr:rowOff>
    </xdr:to>
    <xdr:sp macro="_xll.PtreeEvent_ObjectClick" textlink="">
      <xdr:nvSpPr>
        <xdr:cNvPr id="3157" name="PTObj_DNode_1_787">
          <a:extLst>
            <a:ext uri="{FF2B5EF4-FFF2-40B4-BE49-F238E27FC236}">
              <a16:creationId xmlns:a16="http://schemas.microsoft.com/office/drawing/2014/main" id="{12F8AA86-F265-476F-BBD8-3B9DA1C4FE34}"/>
            </a:ext>
          </a:extLst>
        </xdr:cNvPr>
        <xdr:cNvSpPr/>
      </xdr:nvSpPr>
      <xdr:spPr>
        <a:xfrm>
          <a:off x="18493867" y="287756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1590</xdr:row>
      <xdr:rowOff>9371</xdr:rowOff>
    </xdr:from>
    <xdr:ext cx="514857" cy="180627"/>
    <xdr:sp macro="_xll.PtreeEvent_ObjectClick" textlink="">
      <xdr:nvSpPr>
        <xdr:cNvPr id="3160" name="PTObj_DBranchName_1_787">
          <a:extLst>
            <a:ext uri="{FF2B5EF4-FFF2-40B4-BE49-F238E27FC236}">
              <a16:creationId xmlns:a16="http://schemas.microsoft.com/office/drawing/2014/main" id="{387E47D2-9185-41DE-A65A-1E2499B041C2}"/>
            </a:ext>
          </a:extLst>
        </xdr:cNvPr>
        <xdr:cNvSpPr txBox="1"/>
      </xdr:nvSpPr>
      <xdr:spPr>
        <a:xfrm>
          <a:off x="17344834" y="2877596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1592</xdr:row>
      <xdr:rowOff>10170</xdr:rowOff>
    </xdr:from>
    <xdr:to>
      <xdr:col>11</xdr:col>
      <xdr:colOff>135383</xdr:colOff>
      <xdr:row>1593</xdr:row>
      <xdr:rowOff>15890</xdr:rowOff>
    </xdr:to>
    <xdr:sp macro="_xll.PtreeEvent_ObjectClick" textlink="">
      <xdr:nvSpPr>
        <xdr:cNvPr id="3161" name="PTObj_DNode_1_788">
          <a:extLst>
            <a:ext uri="{FF2B5EF4-FFF2-40B4-BE49-F238E27FC236}">
              <a16:creationId xmlns:a16="http://schemas.microsoft.com/office/drawing/2014/main" id="{9308DCEE-C785-45DB-8634-8AF5E6481EEF}"/>
            </a:ext>
          </a:extLst>
        </xdr:cNvPr>
        <xdr:cNvSpPr/>
      </xdr:nvSpPr>
      <xdr:spPr>
        <a:xfrm>
          <a:off x="19918807" y="288122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1592</xdr:row>
      <xdr:rowOff>13191</xdr:rowOff>
    </xdr:from>
    <xdr:ext cx="514858" cy="180627"/>
    <xdr:sp macro="_xll.PtreeEvent_ObjectClick" textlink="">
      <xdr:nvSpPr>
        <xdr:cNvPr id="3164" name="PTObj_DBranchName_1_788">
          <a:extLst>
            <a:ext uri="{FF2B5EF4-FFF2-40B4-BE49-F238E27FC236}">
              <a16:creationId xmlns:a16="http://schemas.microsoft.com/office/drawing/2014/main" id="{9D489301-4E44-4650-A91D-F77A7757F5EE}"/>
            </a:ext>
          </a:extLst>
        </xdr:cNvPr>
        <xdr:cNvSpPr txBox="1"/>
      </xdr:nvSpPr>
      <xdr:spPr>
        <a:xfrm>
          <a:off x="18768820" y="288125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1594</xdr:row>
      <xdr:rowOff>20635</xdr:rowOff>
    </xdr:from>
    <xdr:to>
      <xdr:col>12</xdr:col>
      <xdr:colOff>132527</xdr:colOff>
      <xdr:row>1595</xdr:row>
      <xdr:rowOff>16825</xdr:rowOff>
    </xdr:to>
    <xdr:sp macro="_xll.PtreeEvent_ObjectClick" textlink="">
      <xdr:nvSpPr>
        <xdr:cNvPr id="3165" name="PTObj_DNode_1_789">
          <a:extLst>
            <a:ext uri="{FF2B5EF4-FFF2-40B4-BE49-F238E27FC236}">
              <a16:creationId xmlns:a16="http://schemas.microsoft.com/office/drawing/2014/main" id="{8E6D1227-3776-468B-B997-416175BEB6C4}"/>
            </a:ext>
          </a:extLst>
        </xdr:cNvPr>
        <xdr:cNvSpPr/>
      </xdr:nvSpPr>
      <xdr:spPr>
        <a:xfrm rot="-5400000">
          <a:off x="21347557" y="2884919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1594</xdr:row>
      <xdr:rowOff>18916</xdr:rowOff>
    </xdr:from>
    <xdr:ext cx="514858" cy="180627"/>
    <xdr:sp macro="_xll.PtreeEvent_ObjectClick" textlink="">
      <xdr:nvSpPr>
        <xdr:cNvPr id="3168" name="PTObj_DBranchName_1_789">
          <a:extLst>
            <a:ext uri="{FF2B5EF4-FFF2-40B4-BE49-F238E27FC236}">
              <a16:creationId xmlns:a16="http://schemas.microsoft.com/office/drawing/2014/main" id="{7F9E4822-F2E0-4CAE-AC47-AFDB3435C5D6}"/>
            </a:ext>
          </a:extLst>
        </xdr:cNvPr>
        <xdr:cNvSpPr txBox="1"/>
      </xdr:nvSpPr>
      <xdr:spPr>
        <a:xfrm>
          <a:off x="20188045" y="2884930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1606</xdr:row>
      <xdr:rowOff>36835</xdr:rowOff>
    </xdr:from>
    <xdr:to>
      <xdr:col>8</xdr:col>
      <xdr:colOff>171578</xdr:colOff>
      <xdr:row>1607</xdr:row>
      <xdr:rowOff>38745</xdr:rowOff>
    </xdr:to>
    <xdr:sp macro="_xll.PtreeEvent_ObjectClick" textlink="">
      <xdr:nvSpPr>
        <xdr:cNvPr id="3169" name="PTObj_DNode_1_795">
          <a:extLst>
            <a:ext uri="{FF2B5EF4-FFF2-40B4-BE49-F238E27FC236}">
              <a16:creationId xmlns:a16="http://schemas.microsoft.com/office/drawing/2014/main" id="{EF9FF6C7-F866-4035-9234-287E65D1EADE}"/>
            </a:ext>
          </a:extLst>
        </xdr:cNvPr>
        <xdr:cNvSpPr/>
      </xdr:nvSpPr>
      <xdr:spPr>
        <a:xfrm>
          <a:off x="15643988" y="290682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1606</xdr:row>
      <xdr:rowOff>37951</xdr:rowOff>
    </xdr:from>
    <xdr:ext cx="566520" cy="180627"/>
    <xdr:sp macro="_xll.PtreeEvent_ObjectClick" textlink="">
      <xdr:nvSpPr>
        <xdr:cNvPr id="3172" name="PTObj_DBranchName_1_795">
          <a:extLst>
            <a:ext uri="{FF2B5EF4-FFF2-40B4-BE49-F238E27FC236}">
              <a16:creationId xmlns:a16="http://schemas.microsoft.com/office/drawing/2014/main" id="{76FA0CFA-16C9-4327-92B1-ADD3C155C3DF}"/>
            </a:ext>
          </a:extLst>
        </xdr:cNvPr>
        <xdr:cNvSpPr txBox="1"/>
      </xdr:nvSpPr>
      <xdr:spPr>
        <a:xfrm>
          <a:off x="14498765" y="290683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1598</xdr:row>
      <xdr:rowOff>21580</xdr:rowOff>
    </xdr:from>
    <xdr:to>
      <xdr:col>9</xdr:col>
      <xdr:colOff>154432</xdr:colOff>
      <xdr:row>1599</xdr:row>
      <xdr:rowOff>15870</xdr:rowOff>
    </xdr:to>
    <xdr:sp macro="_xll.PtreeEvent_ObjectClick" textlink="">
      <xdr:nvSpPr>
        <xdr:cNvPr id="3173" name="PTObj_DNode_1_791">
          <a:extLst>
            <a:ext uri="{FF2B5EF4-FFF2-40B4-BE49-F238E27FC236}">
              <a16:creationId xmlns:a16="http://schemas.microsoft.com/office/drawing/2014/main" id="{A7A01883-BD79-49E2-A24D-5914A6838E75}"/>
            </a:ext>
          </a:extLst>
        </xdr:cNvPr>
        <xdr:cNvSpPr/>
      </xdr:nvSpPr>
      <xdr:spPr>
        <a:xfrm>
          <a:off x="17068927" y="289219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1598</xdr:row>
      <xdr:rowOff>18911</xdr:rowOff>
    </xdr:from>
    <xdr:ext cx="566519" cy="180627"/>
    <xdr:sp macro="_xll.PtreeEvent_ObjectClick" textlink="">
      <xdr:nvSpPr>
        <xdr:cNvPr id="3176" name="PTObj_DBranchName_1_791">
          <a:extLst>
            <a:ext uri="{FF2B5EF4-FFF2-40B4-BE49-F238E27FC236}">
              <a16:creationId xmlns:a16="http://schemas.microsoft.com/office/drawing/2014/main" id="{F9F1BE0D-EE1E-462D-A1E9-41E9A7E8A914}"/>
            </a:ext>
          </a:extLst>
        </xdr:cNvPr>
        <xdr:cNvSpPr txBox="1"/>
      </xdr:nvSpPr>
      <xdr:spPr>
        <a:xfrm>
          <a:off x="15922752" y="2892169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1600</xdr:row>
      <xdr:rowOff>25400</xdr:rowOff>
    </xdr:from>
    <xdr:to>
      <xdr:col>10</xdr:col>
      <xdr:colOff>150622</xdr:colOff>
      <xdr:row>1601</xdr:row>
      <xdr:rowOff>17785</xdr:rowOff>
    </xdr:to>
    <xdr:sp macro="_xll.PtreeEvent_ObjectClick" textlink="">
      <xdr:nvSpPr>
        <xdr:cNvPr id="3177" name="PTObj_DNode_1_792">
          <a:extLst>
            <a:ext uri="{FF2B5EF4-FFF2-40B4-BE49-F238E27FC236}">
              <a16:creationId xmlns:a16="http://schemas.microsoft.com/office/drawing/2014/main" id="{6FC0ACB7-48FA-4DDF-B0F9-3AB2EB27ED08}"/>
            </a:ext>
          </a:extLst>
        </xdr:cNvPr>
        <xdr:cNvSpPr/>
      </xdr:nvSpPr>
      <xdr:spPr>
        <a:xfrm>
          <a:off x="18493867" y="289585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1600</xdr:row>
      <xdr:rowOff>22706</xdr:rowOff>
    </xdr:from>
    <xdr:ext cx="514857" cy="180627"/>
    <xdr:sp macro="_xll.PtreeEvent_ObjectClick" textlink="">
      <xdr:nvSpPr>
        <xdr:cNvPr id="3180" name="PTObj_DBranchName_1_792">
          <a:extLst>
            <a:ext uri="{FF2B5EF4-FFF2-40B4-BE49-F238E27FC236}">
              <a16:creationId xmlns:a16="http://schemas.microsoft.com/office/drawing/2014/main" id="{62D6D671-D939-4EB7-9215-C34D0E19E999}"/>
            </a:ext>
          </a:extLst>
        </xdr:cNvPr>
        <xdr:cNvSpPr txBox="1"/>
      </xdr:nvSpPr>
      <xdr:spPr>
        <a:xfrm>
          <a:off x="17344834" y="2895827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1602</xdr:row>
      <xdr:rowOff>29220</xdr:rowOff>
    </xdr:from>
    <xdr:to>
      <xdr:col>11</xdr:col>
      <xdr:colOff>131573</xdr:colOff>
      <xdr:row>1603</xdr:row>
      <xdr:rowOff>21605</xdr:rowOff>
    </xdr:to>
    <xdr:sp macro="_xll.PtreeEvent_ObjectClick" textlink="">
      <xdr:nvSpPr>
        <xdr:cNvPr id="3181" name="PTObj_DNode_1_793">
          <a:extLst>
            <a:ext uri="{FF2B5EF4-FFF2-40B4-BE49-F238E27FC236}">
              <a16:creationId xmlns:a16="http://schemas.microsoft.com/office/drawing/2014/main" id="{5193FE6C-5159-462C-91FE-C4E7FA0FBBD0}"/>
            </a:ext>
          </a:extLst>
        </xdr:cNvPr>
        <xdr:cNvSpPr/>
      </xdr:nvSpPr>
      <xdr:spPr>
        <a:xfrm>
          <a:off x="19918807" y="289951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1602</xdr:row>
      <xdr:rowOff>28431</xdr:rowOff>
    </xdr:from>
    <xdr:ext cx="514858" cy="180627"/>
    <xdr:sp macro="_xll.PtreeEvent_ObjectClick" textlink="">
      <xdr:nvSpPr>
        <xdr:cNvPr id="3184" name="PTObj_DBranchName_1_793">
          <a:extLst>
            <a:ext uri="{FF2B5EF4-FFF2-40B4-BE49-F238E27FC236}">
              <a16:creationId xmlns:a16="http://schemas.microsoft.com/office/drawing/2014/main" id="{B5B551D4-5312-40AF-B922-37C31A4C0A83}"/>
            </a:ext>
          </a:extLst>
        </xdr:cNvPr>
        <xdr:cNvSpPr txBox="1"/>
      </xdr:nvSpPr>
      <xdr:spPr>
        <a:xfrm>
          <a:off x="18768820" y="289950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1604</xdr:row>
      <xdr:rowOff>34922</xdr:rowOff>
    </xdr:from>
    <xdr:to>
      <xdr:col>12</xdr:col>
      <xdr:colOff>131575</xdr:colOff>
      <xdr:row>1605</xdr:row>
      <xdr:rowOff>17777</xdr:rowOff>
    </xdr:to>
    <xdr:sp macro="_xll.PtreeEvent_ObjectClick" textlink="">
      <xdr:nvSpPr>
        <xdr:cNvPr id="3185" name="PTObj_DNode_1_794">
          <a:extLst>
            <a:ext uri="{FF2B5EF4-FFF2-40B4-BE49-F238E27FC236}">
              <a16:creationId xmlns:a16="http://schemas.microsoft.com/office/drawing/2014/main" id="{87F2AB1A-84C4-48AC-B6BF-C16A49716B3B}"/>
            </a:ext>
          </a:extLst>
        </xdr:cNvPr>
        <xdr:cNvSpPr/>
      </xdr:nvSpPr>
      <xdr:spPr>
        <a:xfrm rot="-5400000">
          <a:off x="21347557" y="2903150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1604</xdr:row>
      <xdr:rowOff>32251</xdr:rowOff>
    </xdr:from>
    <xdr:ext cx="514858" cy="180627"/>
    <xdr:sp macro="_xll.PtreeEvent_ObjectClick" textlink="">
      <xdr:nvSpPr>
        <xdr:cNvPr id="3188" name="PTObj_DBranchName_1_794">
          <a:extLst>
            <a:ext uri="{FF2B5EF4-FFF2-40B4-BE49-F238E27FC236}">
              <a16:creationId xmlns:a16="http://schemas.microsoft.com/office/drawing/2014/main" id="{4BC047D4-670E-441B-9D3F-69C739D53172}"/>
            </a:ext>
          </a:extLst>
        </xdr:cNvPr>
        <xdr:cNvSpPr txBox="1"/>
      </xdr:nvSpPr>
      <xdr:spPr>
        <a:xfrm>
          <a:off x="20188045" y="2903161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1608</xdr:row>
      <xdr:rowOff>40630</xdr:rowOff>
    </xdr:from>
    <xdr:to>
      <xdr:col>9</xdr:col>
      <xdr:colOff>154432</xdr:colOff>
      <xdr:row>1609</xdr:row>
      <xdr:rowOff>57780</xdr:rowOff>
    </xdr:to>
    <xdr:sp macro="_xll.PtreeEvent_ObjectClick" textlink="">
      <xdr:nvSpPr>
        <xdr:cNvPr id="3189" name="PTObj_DNode_1_796">
          <a:extLst>
            <a:ext uri="{FF2B5EF4-FFF2-40B4-BE49-F238E27FC236}">
              <a16:creationId xmlns:a16="http://schemas.microsoft.com/office/drawing/2014/main" id="{E05319E3-94B1-48B5-9146-FAE80844AEA5}"/>
            </a:ext>
          </a:extLst>
        </xdr:cNvPr>
        <xdr:cNvSpPr/>
      </xdr:nvSpPr>
      <xdr:spPr>
        <a:xfrm>
          <a:off x="17068927" y="291048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1608</xdr:row>
      <xdr:rowOff>41771</xdr:rowOff>
    </xdr:from>
    <xdr:ext cx="566520" cy="180627"/>
    <xdr:sp macro="_xll.PtreeEvent_ObjectClick" textlink="">
      <xdr:nvSpPr>
        <xdr:cNvPr id="3192" name="PTObj_DBranchName_1_796">
          <a:extLst>
            <a:ext uri="{FF2B5EF4-FFF2-40B4-BE49-F238E27FC236}">
              <a16:creationId xmlns:a16="http://schemas.microsoft.com/office/drawing/2014/main" id="{2F4E2DBF-D0DF-45C7-9C33-D33C629CA8D9}"/>
            </a:ext>
          </a:extLst>
        </xdr:cNvPr>
        <xdr:cNvSpPr txBox="1"/>
      </xdr:nvSpPr>
      <xdr:spPr>
        <a:xfrm>
          <a:off x="15926563" y="2910495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1610</xdr:row>
      <xdr:rowOff>44450</xdr:rowOff>
    </xdr:from>
    <xdr:to>
      <xdr:col>10</xdr:col>
      <xdr:colOff>150622</xdr:colOff>
      <xdr:row>1611</xdr:row>
      <xdr:rowOff>53980</xdr:rowOff>
    </xdr:to>
    <xdr:sp macro="_xll.PtreeEvent_ObjectClick" textlink="">
      <xdr:nvSpPr>
        <xdr:cNvPr id="3193" name="PTObj_DNode_1_797">
          <a:extLst>
            <a:ext uri="{FF2B5EF4-FFF2-40B4-BE49-F238E27FC236}">
              <a16:creationId xmlns:a16="http://schemas.microsoft.com/office/drawing/2014/main" id="{AF17E2C9-6677-463E-913D-572C62A15DC6}"/>
            </a:ext>
          </a:extLst>
        </xdr:cNvPr>
        <xdr:cNvSpPr/>
      </xdr:nvSpPr>
      <xdr:spPr>
        <a:xfrm>
          <a:off x="18493867" y="291414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1610</xdr:row>
      <xdr:rowOff>47471</xdr:rowOff>
    </xdr:from>
    <xdr:ext cx="514857" cy="180627"/>
    <xdr:sp macro="_xll.PtreeEvent_ObjectClick" textlink="">
      <xdr:nvSpPr>
        <xdr:cNvPr id="3196" name="PTObj_DBranchName_1_797">
          <a:extLst>
            <a:ext uri="{FF2B5EF4-FFF2-40B4-BE49-F238E27FC236}">
              <a16:creationId xmlns:a16="http://schemas.microsoft.com/office/drawing/2014/main" id="{A414A13A-A239-42A4-A8A0-FE09A9BAF0A8}"/>
            </a:ext>
          </a:extLst>
        </xdr:cNvPr>
        <xdr:cNvSpPr txBox="1"/>
      </xdr:nvSpPr>
      <xdr:spPr>
        <a:xfrm>
          <a:off x="17344834" y="2914172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1612</xdr:row>
      <xdr:rowOff>48270</xdr:rowOff>
    </xdr:from>
    <xdr:to>
      <xdr:col>11</xdr:col>
      <xdr:colOff>131573</xdr:colOff>
      <xdr:row>1613</xdr:row>
      <xdr:rowOff>57800</xdr:rowOff>
    </xdr:to>
    <xdr:sp macro="_xll.PtreeEvent_ObjectClick" textlink="">
      <xdr:nvSpPr>
        <xdr:cNvPr id="3197" name="PTObj_DNode_1_798">
          <a:extLst>
            <a:ext uri="{FF2B5EF4-FFF2-40B4-BE49-F238E27FC236}">
              <a16:creationId xmlns:a16="http://schemas.microsoft.com/office/drawing/2014/main" id="{01C0A6E1-E490-42FB-8388-333B169E7F87}"/>
            </a:ext>
          </a:extLst>
        </xdr:cNvPr>
        <xdr:cNvSpPr/>
      </xdr:nvSpPr>
      <xdr:spPr>
        <a:xfrm>
          <a:off x="19918807" y="291779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1612</xdr:row>
      <xdr:rowOff>51291</xdr:rowOff>
    </xdr:from>
    <xdr:ext cx="514858" cy="180627"/>
    <xdr:sp macro="_xll.PtreeEvent_ObjectClick" textlink="">
      <xdr:nvSpPr>
        <xdr:cNvPr id="3200" name="PTObj_DBranchName_1_798">
          <a:extLst>
            <a:ext uri="{FF2B5EF4-FFF2-40B4-BE49-F238E27FC236}">
              <a16:creationId xmlns:a16="http://schemas.microsoft.com/office/drawing/2014/main" id="{0697A862-4B2C-4BB0-9AD7-E9151BF8DE8F}"/>
            </a:ext>
          </a:extLst>
        </xdr:cNvPr>
        <xdr:cNvSpPr txBox="1"/>
      </xdr:nvSpPr>
      <xdr:spPr>
        <a:xfrm>
          <a:off x="18768820" y="291782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1614</xdr:row>
      <xdr:rowOff>58735</xdr:rowOff>
    </xdr:from>
    <xdr:to>
      <xdr:col>12</xdr:col>
      <xdr:colOff>136337</xdr:colOff>
      <xdr:row>1615</xdr:row>
      <xdr:rowOff>58735</xdr:rowOff>
    </xdr:to>
    <xdr:sp macro="_xll.PtreeEvent_ObjectClick" textlink="">
      <xdr:nvSpPr>
        <xdr:cNvPr id="3201" name="PTObj_DNode_1_799">
          <a:extLst>
            <a:ext uri="{FF2B5EF4-FFF2-40B4-BE49-F238E27FC236}">
              <a16:creationId xmlns:a16="http://schemas.microsoft.com/office/drawing/2014/main" id="{FE5661B6-F291-4126-8040-B77D8A26AE91}"/>
            </a:ext>
          </a:extLst>
        </xdr:cNvPr>
        <xdr:cNvSpPr/>
      </xdr:nvSpPr>
      <xdr:spPr>
        <a:xfrm rot="-5400000">
          <a:off x="21347557" y="2921495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1614</xdr:row>
      <xdr:rowOff>57016</xdr:rowOff>
    </xdr:from>
    <xdr:ext cx="514858" cy="180627"/>
    <xdr:sp macro="_xll.PtreeEvent_ObjectClick" textlink="">
      <xdr:nvSpPr>
        <xdr:cNvPr id="3204" name="PTObj_DBranchName_1_799">
          <a:extLst>
            <a:ext uri="{FF2B5EF4-FFF2-40B4-BE49-F238E27FC236}">
              <a16:creationId xmlns:a16="http://schemas.microsoft.com/office/drawing/2014/main" id="{BCD4C9FA-C6C1-4857-996C-840BB8811594}"/>
            </a:ext>
          </a:extLst>
        </xdr:cNvPr>
        <xdr:cNvSpPr txBox="1"/>
      </xdr:nvSpPr>
      <xdr:spPr>
        <a:xfrm>
          <a:off x="20188045" y="2921506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3</xdr:col>
      <xdr:colOff>1419352</xdr:colOff>
      <xdr:row>1777</xdr:row>
      <xdr:rowOff>179710</xdr:rowOff>
    </xdr:from>
    <xdr:to>
      <xdr:col>4</xdr:col>
      <xdr:colOff>173482</xdr:colOff>
      <xdr:row>1779</xdr:row>
      <xdr:rowOff>645</xdr:rowOff>
    </xdr:to>
    <xdr:sp macro="_xll.PtreeEvent_ObjectClick" textlink="">
      <xdr:nvSpPr>
        <xdr:cNvPr id="3205" name="PTObj_DNode_1_880">
          <a:extLst>
            <a:ext uri="{FF2B5EF4-FFF2-40B4-BE49-F238E27FC236}">
              <a16:creationId xmlns:a16="http://schemas.microsoft.com/office/drawing/2014/main" id="{EA5CD78A-FD6E-4538-85DC-EDFEA3A74A69}"/>
            </a:ext>
          </a:extLst>
        </xdr:cNvPr>
        <xdr:cNvSpPr/>
      </xdr:nvSpPr>
      <xdr:spPr>
        <a:xfrm>
          <a:off x="9944227" y="32177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271272</xdr:colOff>
      <xdr:row>1777</xdr:row>
      <xdr:rowOff>178921</xdr:rowOff>
    </xdr:from>
    <xdr:ext cx="566520" cy="180627"/>
    <xdr:sp macro="_xll.PtreeEvent_ObjectClick" textlink="">
      <xdr:nvSpPr>
        <xdr:cNvPr id="3208" name="PTObj_DBranchName_1_880">
          <a:extLst>
            <a:ext uri="{FF2B5EF4-FFF2-40B4-BE49-F238E27FC236}">
              <a16:creationId xmlns:a16="http://schemas.microsoft.com/office/drawing/2014/main" id="{4D7A26FB-CCEE-4625-A970-C0C4CE61DC36}"/>
            </a:ext>
          </a:extLst>
        </xdr:cNvPr>
        <xdr:cNvSpPr txBox="1"/>
      </xdr:nvSpPr>
      <xdr:spPr>
        <a:xfrm>
          <a:off x="8796147" y="321771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4</xdr:col>
      <xdr:colOff>1415542</xdr:colOff>
      <xdr:row>1697</xdr:row>
      <xdr:rowOff>27310</xdr:rowOff>
    </xdr:from>
    <xdr:to>
      <xdr:col>5</xdr:col>
      <xdr:colOff>169673</xdr:colOff>
      <xdr:row>1698</xdr:row>
      <xdr:rowOff>17790</xdr:rowOff>
    </xdr:to>
    <xdr:sp macro="_xll.PtreeEvent_ObjectClick" textlink="">
      <xdr:nvSpPr>
        <xdr:cNvPr id="3209" name="PTObj_DNode_1_840">
          <a:extLst>
            <a:ext uri="{FF2B5EF4-FFF2-40B4-BE49-F238E27FC236}">
              <a16:creationId xmlns:a16="http://schemas.microsoft.com/office/drawing/2014/main" id="{C303FCA7-FE42-4E45-9E59-FCEC06A0DFEE}"/>
            </a:ext>
          </a:extLst>
        </xdr:cNvPr>
        <xdr:cNvSpPr/>
      </xdr:nvSpPr>
      <xdr:spPr>
        <a:xfrm>
          <a:off x="11369167" y="3071418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268414</xdr:colOff>
      <xdr:row>1697</xdr:row>
      <xdr:rowOff>26521</xdr:rowOff>
    </xdr:from>
    <xdr:ext cx="568425" cy="180627"/>
    <xdr:sp macro="_xll.PtreeEvent_ObjectClick" textlink="">
      <xdr:nvSpPr>
        <xdr:cNvPr id="3212" name="PTObj_DBranchName_1_840">
          <a:extLst>
            <a:ext uri="{FF2B5EF4-FFF2-40B4-BE49-F238E27FC236}">
              <a16:creationId xmlns:a16="http://schemas.microsoft.com/office/drawing/2014/main" id="{DFC37757-BA62-4FFD-BBCE-7D5369E8DFFB}"/>
            </a:ext>
          </a:extLst>
        </xdr:cNvPr>
        <xdr:cNvSpPr txBox="1"/>
      </xdr:nvSpPr>
      <xdr:spPr>
        <a:xfrm>
          <a:off x="10222039" y="30714109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1411732</xdr:colOff>
      <xdr:row>1656</xdr:row>
      <xdr:rowOff>132085</xdr:rowOff>
    </xdr:from>
    <xdr:to>
      <xdr:col>6</xdr:col>
      <xdr:colOff>169672</xdr:colOff>
      <xdr:row>1657</xdr:row>
      <xdr:rowOff>130185</xdr:rowOff>
    </xdr:to>
    <xdr:sp macro="_xll.PtreeEvent_ObjectClick" textlink="">
      <xdr:nvSpPr>
        <xdr:cNvPr id="3213" name="PTObj_DNode_1_820">
          <a:extLst>
            <a:ext uri="{FF2B5EF4-FFF2-40B4-BE49-F238E27FC236}">
              <a16:creationId xmlns:a16="http://schemas.microsoft.com/office/drawing/2014/main" id="{5C3CF917-29E0-47FE-B347-1DC560262C4E}"/>
            </a:ext>
          </a:extLst>
        </xdr:cNvPr>
        <xdr:cNvSpPr/>
      </xdr:nvSpPr>
      <xdr:spPr>
        <a:xfrm>
          <a:off x="12794107" y="299826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1656</xdr:row>
      <xdr:rowOff>137011</xdr:rowOff>
    </xdr:from>
    <xdr:ext cx="566520" cy="180627"/>
    <xdr:sp macro="_xll.PtreeEvent_ObjectClick" textlink="">
      <xdr:nvSpPr>
        <xdr:cNvPr id="3216" name="PTObj_DBranchName_1_820">
          <a:extLst>
            <a:ext uri="{FF2B5EF4-FFF2-40B4-BE49-F238E27FC236}">
              <a16:creationId xmlns:a16="http://schemas.microsoft.com/office/drawing/2014/main" id="{175B914F-D72D-474F-9B4F-09ADC20CA494}"/>
            </a:ext>
          </a:extLst>
        </xdr:cNvPr>
        <xdr:cNvSpPr txBox="1"/>
      </xdr:nvSpPr>
      <xdr:spPr>
        <a:xfrm>
          <a:off x="11648885" y="2998316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1636</xdr:row>
      <xdr:rowOff>93985</xdr:rowOff>
    </xdr:from>
    <xdr:to>
      <xdr:col>7</xdr:col>
      <xdr:colOff>167767</xdr:colOff>
      <xdr:row>1637</xdr:row>
      <xdr:rowOff>95895</xdr:rowOff>
    </xdr:to>
    <xdr:sp macro="_xll.PtreeEvent_ObjectClick" textlink="">
      <xdr:nvSpPr>
        <xdr:cNvPr id="3217" name="PTObj_DNode_1_810">
          <a:extLst>
            <a:ext uri="{FF2B5EF4-FFF2-40B4-BE49-F238E27FC236}">
              <a16:creationId xmlns:a16="http://schemas.microsoft.com/office/drawing/2014/main" id="{BCDE9E77-18EA-4791-8A72-508D1127BBCE}"/>
            </a:ext>
          </a:extLst>
        </xdr:cNvPr>
        <xdr:cNvSpPr/>
      </xdr:nvSpPr>
      <xdr:spPr>
        <a:xfrm>
          <a:off x="14219047" y="296169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1636</xdr:row>
      <xdr:rowOff>98911</xdr:rowOff>
    </xdr:from>
    <xdr:ext cx="568424" cy="180627"/>
    <xdr:sp macro="_xll.PtreeEvent_ObjectClick" textlink="">
      <xdr:nvSpPr>
        <xdr:cNvPr id="3220" name="PTObj_DBranchName_1_810">
          <a:extLst>
            <a:ext uri="{FF2B5EF4-FFF2-40B4-BE49-F238E27FC236}">
              <a16:creationId xmlns:a16="http://schemas.microsoft.com/office/drawing/2014/main" id="{CC4B439A-63F5-4082-8F8C-1640CCFD7006}"/>
            </a:ext>
          </a:extLst>
        </xdr:cNvPr>
        <xdr:cNvSpPr txBox="1"/>
      </xdr:nvSpPr>
      <xdr:spPr>
        <a:xfrm>
          <a:off x="13072872" y="29617401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1626</xdr:row>
      <xdr:rowOff>74935</xdr:rowOff>
    </xdr:from>
    <xdr:to>
      <xdr:col>8</xdr:col>
      <xdr:colOff>171578</xdr:colOff>
      <xdr:row>1627</xdr:row>
      <xdr:rowOff>76845</xdr:rowOff>
    </xdr:to>
    <xdr:sp macro="_xll.PtreeEvent_ObjectClick" textlink="">
      <xdr:nvSpPr>
        <xdr:cNvPr id="3221" name="PTObj_DNode_1_805">
          <a:extLst>
            <a:ext uri="{FF2B5EF4-FFF2-40B4-BE49-F238E27FC236}">
              <a16:creationId xmlns:a16="http://schemas.microsoft.com/office/drawing/2014/main" id="{CAD7673E-CFA6-4910-8A46-CFE7B93137B4}"/>
            </a:ext>
          </a:extLst>
        </xdr:cNvPr>
        <xdr:cNvSpPr/>
      </xdr:nvSpPr>
      <xdr:spPr>
        <a:xfrm>
          <a:off x="15643988" y="294340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1626</xdr:row>
      <xdr:rowOff>76051</xdr:rowOff>
    </xdr:from>
    <xdr:ext cx="566520" cy="180627"/>
    <xdr:sp macro="_xll.PtreeEvent_ObjectClick" textlink="">
      <xdr:nvSpPr>
        <xdr:cNvPr id="3224" name="PTObj_DBranchName_1_805">
          <a:extLst>
            <a:ext uri="{FF2B5EF4-FFF2-40B4-BE49-F238E27FC236}">
              <a16:creationId xmlns:a16="http://schemas.microsoft.com/office/drawing/2014/main" id="{D15F1BC8-D70C-41D6-A4B1-E228113D2464}"/>
            </a:ext>
          </a:extLst>
        </xdr:cNvPr>
        <xdr:cNvSpPr txBox="1"/>
      </xdr:nvSpPr>
      <xdr:spPr>
        <a:xfrm>
          <a:off x="14500670" y="2943414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1618</xdr:row>
      <xdr:rowOff>59680</xdr:rowOff>
    </xdr:from>
    <xdr:to>
      <xdr:col>9</xdr:col>
      <xdr:colOff>154432</xdr:colOff>
      <xdr:row>1619</xdr:row>
      <xdr:rowOff>53970</xdr:rowOff>
    </xdr:to>
    <xdr:sp macro="_xll.PtreeEvent_ObjectClick" textlink="">
      <xdr:nvSpPr>
        <xdr:cNvPr id="3225" name="PTObj_DNode_1_801">
          <a:extLst>
            <a:ext uri="{FF2B5EF4-FFF2-40B4-BE49-F238E27FC236}">
              <a16:creationId xmlns:a16="http://schemas.microsoft.com/office/drawing/2014/main" id="{6CF2C186-4E3A-4D86-A650-C75DFF0D88FF}"/>
            </a:ext>
          </a:extLst>
        </xdr:cNvPr>
        <xdr:cNvSpPr/>
      </xdr:nvSpPr>
      <xdr:spPr>
        <a:xfrm>
          <a:off x="17068927" y="292877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1618</xdr:row>
      <xdr:rowOff>57011</xdr:rowOff>
    </xdr:from>
    <xdr:ext cx="566519" cy="180627"/>
    <xdr:sp macro="_xll.PtreeEvent_ObjectClick" textlink="">
      <xdr:nvSpPr>
        <xdr:cNvPr id="3228" name="PTObj_DBranchName_1_801">
          <a:extLst>
            <a:ext uri="{FF2B5EF4-FFF2-40B4-BE49-F238E27FC236}">
              <a16:creationId xmlns:a16="http://schemas.microsoft.com/office/drawing/2014/main" id="{2BD954BF-6D88-4673-BC39-D3782842BFDE}"/>
            </a:ext>
          </a:extLst>
        </xdr:cNvPr>
        <xdr:cNvSpPr txBox="1"/>
      </xdr:nvSpPr>
      <xdr:spPr>
        <a:xfrm>
          <a:off x="15922752" y="2928745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1620</xdr:row>
      <xdr:rowOff>63500</xdr:rowOff>
    </xdr:from>
    <xdr:to>
      <xdr:col>10</xdr:col>
      <xdr:colOff>150622</xdr:colOff>
      <xdr:row>1621</xdr:row>
      <xdr:rowOff>55885</xdr:rowOff>
    </xdr:to>
    <xdr:sp macro="_xll.PtreeEvent_ObjectClick" textlink="">
      <xdr:nvSpPr>
        <xdr:cNvPr id="3229" name="PTObj_DNode_1_802">
          <a:extLst>
            <a:ext uri="{FF2B5EF4-FFF2-40B4-BE49-F238E27FC236}">
              <a16:creationId xmlns:a16="http://schemas.microsoft.com/office/drawing/2014/main" id="{74C2EE0F-0CD4-4B5C-A310-FB556C9FDC81}"/>
            </a:ext>
          </a:extLst>
        </xdr:cNvPr>
        <xdr:cNvSpPr/>
      </xdr:nvSpPr>
      <xdr:spPr>
        <a:xfrm>
          <a:off x="18493867" y="293243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1620</xdr:row>
      <xdr:rowOff>60806</xdr:rowOff>
    </xdr:from>
    <xdr:ext cx="514857" cy="180627"/>
    <xdr:sp macro="_xll.PtreeEvent_ObjectClick" textlink="">
      <xdr:nvSpPr>
        <xdr:cNvPr id="3232" name="PTObj_DBranchName_1_802">
          <a:extLst>
            <a:ext uri="{FF2B5EF4-FFF2-40B4-BE49-F238E27FC236}">
              <a16:creationId xmlns:a16="http://schemas.microsoft.com/office/drawing/2014/main" id="{25F5A007-47CC-4026-92DE-4F0AA684F818}"/>
            </a:ext>
          </a:extLst>
        </xdr:cNvPr>
        <xdr:cNvSpPr txBox="1"/>
      </xdr:nvSpPr>
      <xdr:spPr>
        <a:xfrm>
          <a:off x="17344834" y="2932403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1622</xdr:row>
      <xdr:rowOff>67320</xdr:rowOff>
    </xdr:from>
    <xdr:to>
      <xdr:col>11</xdr:col>
      <xdr:colOff>131573</xdr:colOff>
      <xdr:row>1623</xdr:row>
      <xdr:rowOff>59705</xdr:rowOff>
    </xdr:to>
    <xdr:sp macro="_xll.PtreeEvent_ObjectClick" textlink="">
      <xdr:nvSpPr>
        <xdr:cNvPr id="3233" name="PTObj_DNode_1_803">
          <a:extLst>
            <a:ext uri="{FF2B5EF4-FFF2-40B4-BE49-F238E27FC236}">
              <a16:creationId xmlns:a16="http://schemas.microsoft.com/office/drawing/2014/main" id="{7D545F73-8DDB-47F9-B293-1F6F2B6C06E3}"/>
            </a:ext>
          </a:extLst>
        </xdr:cNvPr>
        <xdr:cNvSpPr/>
      </xdr:nvSpPr>
      <xdr:spPr>
        <a:xfrm>
          <a:off x="19918807" y="293608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1622</xdr:row>
      <xdr:rowOff>66531</xdr:rowOff>
    </xdr:from>
    <xdr:ext cx="514858" cy="180627"/>
    <xdr:sp macro="_xll.PtreeEvent_ObjectClick" textlink="">
      <xdr:nvSpPr>
        <xdr:cNvPr id="3236" name="PTObj_DBranchName_1_803">
          <a:extLst>
            <a:ext uri="{FF2B5EF4-FFF2-40B4-BE49-F238E27FC236}">
              <a16:creationId xmlns:a16="http://schemas.microsoft.com/office/drawing/2014/main" id="{24627711-33D2-419D-8297-FBA9603E12C6}"/>
            </a:ext>
          </a:extLst>
        </xdr:cNvPr>
        <xdr:cNvSpPr txBox="1"/>
      </xdr:nvSpPr>
      <xdr:spPr>
        <a:xfrm>
          <a:off x="18768820" y="293607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1624</xdr:row>
      <xdr:rowOff>73022</xdr:rowOff>
    </xdr:from>
    <xdr:to>
      <xdr:col>12</xdr:col>
      <xdr:colOff>131575</xdr:colOff>
      <xdr:row>1625</xdr:row>
      <xdr:rowOff>55877</xdr:rowOff>
    </xdr:to>
    <xdr:sp macro="_xll.PtreeEvent_ObjectClick" textlink="">
      <xdr:nvSpPr>
        <xdr:cNvPr id="3237" name="PTObj_DNode_1_804">
          <a:extLst>
            <a:ext uri="{FF2B5EF4-FFF2-40B4-BE49-F238E27FC236}">
              <a16:creationId xmlns:a16="http://schemas.microsoft.com/office/drawing/2014/main" id="{40A2DC91-D499-4C0A-AA98-717C3D309E15}"/>
            </a:ext>
          </a:extLst>
        </xdr:cNvPr>
        <xdr:cNvSpPr/>
      </xdr:nvSpPr>
      <xdr:spPr>
        <a:xfrm rot="-5400000">
          <a:off x="21347557" y="2939726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1624</xdr:row>
      <xdr:rowOff>70351</xdr:rowOff>
    </xdr:from>
    <xdr:ext cx="514858" cy="180627"/>
    <xdr:sp macro="_xll.PtreeEvent_ObjectClick" textlink="">
      <xdr:nvSpPr>
        <xdr:cNvPr id="3240" name="PTObj_DBranchName_1_804">
          <a:extLst>
            <a:ext uri="{FF2B5EF4-FFF2-40B4-BE49-F238E27FC236}">
              <a16:creationId xmlns:a16="http://schemas.microsoft.com/office/drawing/2014/main" id="{B1681640-6D91-4625-9FDB-BA61DD6FFCA3}"/>
            </a:ext>
          </a:extLst>
        </xdr:cNvPr>
        <xdr:cNvSpPr txBox="1"/>
      </xdr:nvSpPr>
      <xdr:spPr>
        <a:xfrm>
          <a:off x="20188045" y="2939737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1628</xdr:row>
      <xdr:rowOff>78730</xdr:rowOff>
    </xdr:from>
    <xdr:to>
      <xdr:col>9</xdr:col>
      <xdr:colOff>154432</xdr:colOff>
      <xdr:row>1629</xdr:row>
      <xdr:rowOff>95880</xdr:rowOff>
    </xdr:to>
    <xdr:sp macro="_xll.PtreeEvent_ObjectClick" textlink="">
      <xdr:nvSpPr>
        <xdr:cNvPr id="3241" name="PTObj_DNode_1_806">
          <a:extLst>
            <a:ext uri="{FF2B5EF4-FFF2-40B4-BE49-F238E27FC236}">
              <a16:creationId xmlns:a16="http://schemas.microsoft.com/office/drawing/2014/main" id="{08515D8B-7507-4415-96D8-76EFFC235CA0}"/>
            </a:ext>
          </a:extLst>
        </xdr:cNvPr>
        <xdr:cNvSpPr/>
      </xdr:nvSpPr>
      <xdr:spPr>
        <a:xfrm>
          <a:off x="17068927" y="294706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1628</xdr:row>
      <xdr:rowOff>79871</xdr:rowOff>
    </xdr:from>
    <xdr:ext cx="566520" cy="180627"/>
    <xdr:sp macro="_xll.PtreeEvent_ObjectClick" textlink="">
      <xdr:nvSpPr>
        <xdr:cNvPr id="3244" name="PTObj_DBranchName_1_806">
          <a:extLst>
            <a:ext uri="{FF2B5EF4-FFF2-40B4-BE49-F238E27FC236}">
              <a16:creationId xmlns:a16="http://schemas.microsoft.com/office/drawing/2014/main" id="{EED736F5-5D6A-480C-882B-031D7CCF0342}"/>
            </a:ext>
          </a:extLst>
        </xdr:cNvPr>
        <xdr:cNvSpPr txBox="1"/>
      </xdr:nvSpPr>
      <xdr:spPr>
        <a:xfrm>
          <a:off x="15926563" y="2947071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1630</xdr:row>
      <xdr:rowOff>82550</xdr:rowOff>
    </xdr:from>
    <xdr:to>
      <xdr:col>10</xdr:col>
      <xdr:colOff>150622</xdr:colOff>
      <xdr:row>1631</xdr:row>
      <xdr:rowOff>92080</xdr:rowOff>
    </xdr:to>
    <xdr:sp macro="_xll.PtreeEvent_ObjectClick" textlink="">
      <xdr:nvSpPr>
        <xdr:cNvPr id="3245" name="PTObj_DNode_1_807">
          <a:extLst>
            <a:ext uri="{FF2B5EF4-FFF2-40B4-BE49-F238E27FC236}">
              <a16:creationId xmlns:a16="http://schemas.microsoft.com/office/drawing/2014/main" id="{1B678F06-6921-4861-A6CC-E1C243AED52E}"/>
            </a:ext>
          </a:extLst>
        </xdr:cNvPr>
        <xdr:cNvSpPr/>
      </xdr:nvSpPr>
      <xdr:spPr>
        <a:xfrm>
          <a:off x="18493867" y="295071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1630</xdr:row>
      <xdr:rowOff>85571</xdr:rowOff>
    </xdr:from>
    <xdr:ext cx="514857" cy="180627"/>
    <xdr:sp macro="_xll.PtreeEvent_ObjectClick" textlink="">
      <xdr:nvSpPr>
        <xdr:cNvPr id="3248" name="PTObj_DBranchName_1_807">
          <a:extLst>
            <a:ext uri="{FF2B5EF4-FFF2-40B4-BE49-F238E27FC236}">
              <a16:creationId xmlns:a16="http://schemas.microsoft.com/office/drawing/2014/main" id="{0F659F74-6AEE-478A-B401-201F1F5E4E3A}"/>
            </a:ext>
          </a:extLst>
        </xdr:cNvPr>
        <xdr:cNvSpPr txBox="1"/>
      </xdr:nvSpPr>
      <xdr:spPr>
        <a:xfrm>
          <a:off x="17344834" y="2950748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1632</xdr:row>
      <xdr:rowOff>86370</xdr:rowOff>
    </xdr:from>
    <xdr:to>
      <xdr:col>11</xdr:col>
      <xdr:colOff>131573</xdr:colOff>
      <xdr:row>1633</xdr:row>
      <xdr:rowOff>95900</xdr:rowOff>
    </xdr:to>
    <xdr:sp macro="_xll.PtreeEvent_ObjectClick" textlink="">
      <xdr:nvSpPr>
        <xdr:cNvPr id="3249" name="PTObj_DNode_1_808">
          <a:extLst>
            <a:ext uri="{FF2B5EF4-FFF2-40B4-BE49-F238E27FC236}">
              <a16:creationId xmlns:a16="http://schemas.microsoft.com/office/drawing/2014/main" id="{4B731740-0190-4F93-AEE5-DBE49D51A6EF}"/>
            </a:ext>
          </a:extLst>
        </xdr:cNvPr>
        <xdr:cNvSpPr/>
      </xdr:nvSpPr>
      <xdr:spPr>
        <a:xfrm>
          <a:off x="19918807" y="295437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1632</xdr:row>
      <xdr:rowOff>89391</xdr:rowOff>
    </xdr:from>
    <xdr:ext cx="514858" cy="180627"/>
    <xdr:sp macro="_xll.PtreeEvent_ObjectClick" textlink="">
      <xdr:nvSpPr>
        <xdr:cNvPr id="3252" name="PTObj_DBranchName_1_808">
          <a:extLst>
            <a:ext uri="{FF2B5EF4-FFF2-40B4-BE49-F238E27FC236}">
              <a16:creationId xmlns:a16="http://schemas.microsoft.com/office/drawing/2014/main" id="{58E37F41-5A6F-41E4-8095-2AECEF80C187}"/>
            </a:ext>
          </a:extLst>
        </xdr:cNvPr>
        <xdr:cNvSpPr txBox="1"/>
      </xdr:nvSpPr>
      <xdr:spPr>
        <a:xfrm>
          <a:off x="18768820" y="295440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1634</xdr:row>
      <xdr:rowOff>96835</xdr:rowOff>
    </xdr:from>
    <xdr:to>
      <xdr:col>12</xdr:col>
      <xdr:colOff>136337</xdr:colOff>
      <xdr:row>1635</xdr:row>
      <xdr:rowOff>96835</xdr:rowOff>
    </xdr:to>
    <xdr:sp macro="_xll.PtreeEvent_ObjectClick" textlink="">
      <xdr:nvSpPr>
        <xdr:cNvPr id="3253" name="PTObj_DNode_1_809">
          <a:extLst>
            <a:ext uri="{FF2B5EF4-FFF2-40B4-BE49-F238E27FC236}">
              <a16:creationId xmlns:a16="http://schemas.microsoft.com/office/drawing/2014/main" id="{8DAB305E-4F80-4E06-AB8A-1E6DE2F7D0FF}"/>
            </a:ext>
          </a:extLst>
        </xdr:cNvPr>
        <xdr:cNvSpPr/>
      </xdr:nvSpPr>
      <xdr:spPr>
        <a:xfrm rot="-5400000">
          <a:off x="21347557" y="2958071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1634</xdr:row>
      <xdr:rowOff>95116</xdr:rowOff>
    </xdr:from>
    <xdr:ext cx="514858" cy="180627"/>
    <xdr:sp macro="_xll.PtreeEvent_ObjectClick" textlink="">
      <xdr:nvSpPr>
        <xdr:cNvPr id="3256" name="PTObj_DBranchName_1_809">
          <a:extLst>
            <a:ext uri="{FF2B5EF4-FFF2-40B4-BE49-F238E27FC236}">
              <a16:creationId xmlns:a16="http://schemas.microsoft.com/office/drawing/2014/main" id="{711699D7-9207-43AE-9D14-702FD24505DA}"/>
            </a:ext>
          </a:extLst>
        </xdr:cNvPr>
        <xdr:cNvSpPr txBox="1"/>
      </xdr:nvSpPr>
      <xdr:spPr>
        <a:xfrm>
          <a:off x="20188045" y="2958082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1646</xdr:row>
      <xdr:rowOff>113035</xdr:rowOff>
    </xdr:from>
    <xdr:to>
      <xdr:col>8</xdr:col>
      <xdr:colOff>167768</xdr:colOff>
      <xdr:row>1647</xdr:row>
      <xdr:rowOff>114945</xdr:rowOff>
    </xdr:to>
    <xdr:sp macro="_xll.PtreeEvent_ObjectClick" textlink="">
      <xdr:nvSpPr>
        <xdr:cNvPr id="3257" name="PTObj_DNode_1_815">
          <a:extLst>
            <a:ext uri="{FF2B5EF4-FFF2-40B4-BE49-F238E27FC236}">
              <a16:creationId xmlns:a16="http://schemas.microsoft.com/office/drawing/2014/main" id="{D83B5993-F9A8-4D60-980C-CA39C5866410}"/>
            </a:ext>
          </a:extLst>
        </xdr:cNvPr>
        <xdr:cNvSpPr/>
      </xdr:nvSpPr>
      <xdr:spPr>
        <a:xfrm>
          <a:off x="15643988" y="29799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1646</xdr:row>
      <xdr:rowOff>114151</xdr:rowOff>
    </xdr:from>
    <xdr:ext cx="566520" cy="180627"/>
    <xdr:sp macro="_xll.PtreeEvent_ObjectClick" textlink="">
      <xdr:nvSpPr>
        <xdr:cNvPr id="3260" name="PTObj_DBranchName_1_815">
          <a:extLst>
            <a:ext uri="{FF2B5EF4-FFF2-40B4-BE49-F238E27FC236}">
              <a16:creationId xmlns:a16="http://schemas.microsoft.com/office/drawing/2014/main" id="{4F5620D4-8F1E-4282-B9F3-5678C342A7CA}"/>
            </a:ext>
          </a:extLst>
        </xdr:cNvPr>
        <xdr:cNvSpPr txBox="1"/>
      </xdr:nvSpPr>
      <xdr:spPr>
        <a:xfrm>
          <a:off x="14498765" y="2979990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1638</xdr:row>
      <xdr:rowOff>97780</xdr:rowOff>
    </xdr:from>
    <xdr:to>
      <xdr:col>9</xdr:col>
      <xdr:colOff>154432</xdr:colOff>
      <xdr:row>1639</xdr:row>
      <xdr:rowOff>95880</xdr:rowOff>
    </xdr:to>
    <xdr:sp macro="_xll.PtreeEvent_ObjectClick" textlink="">
      <xdr:nvSpPr>
        <xdr:cNvPr id="3261" name="PTObj_DNode_1_811">
          <a:extLst>
            <a:ext uri="{FF2B5EF4-FFF2-40B4-BE49-F238E27FC236}">
              <a16:creationId xmlns:a16="http://schemas.microsoft.com/office/drawing/2014/main" id="{B67D856F-0052-4304-BEC6-0F1F61E1C7AE}"/>
            </a:ext>
          </a:extLst>
        </xdr:cNvPr>
        <xdr:cNvSpPr/>
      </xdr:nvSpPr>
      <xdr:spPr>
        <a:xfrm>
          <a:off x="17068927" y="296534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1638</xdr:row>
      <xdr:rowOff>95111</xdr:rowOff>
    </xdr:from>
    <xdr:ext cx="566519" cy="180627"/>
    <xdr:sp macro="_xll.PtreeEvent_ObjectClick" textlink="">
      <xdr:nvSpPr>
        <xdr:cNvPr id="3264" name="PTObj_DBranchName_1_811">
          <a:extLst>
            <a:ext uri="{FF2B5EF4-FFF2-40B4-BE49-F238E27FC236}">
              <a16:creationId xmlns:a16="http://schemas.microsoft.com/office/drawing/2014/main" id="{DF10219D-D4E8-4CF1-8964-8AA38ECF177C}"/>
            </a:ext>
          </a:extLst>
        </xdr:cNvPr>
        <xdr:cNvSpPr txBox="1"/>
      </xdr:nvSpPr>
      <xdr:spPr>
        <a:xfrm>
          <a:off x="15922752" y="2965321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1640</xdr:row>
      <xdr:rowOff>101600</xdr:rowOff>
    </xdr:from>
    <xdr:to>
      <xdr:col>10</xdr:col>
      <xdr:colOff>150622</xdr:colOff>
      <xdr:row>1641</xdr:row>
      <xdr:rowOff>97795</xdr:rowOff>
    </xdr:to>
    <xdr:sp macro="_xll.PtreeEvent_ObjectClick" textlink="">
      <xdr:nvSpPr>
        <xdr:cNvPr id="3265" name="PTObj_DNode_1_812">
          <a:extLst>
            <a:ext uri="{FF2B5EF4-FFF2-40B4-BE49-F238E27FC236}">
              <a16:creationId xmlns:a16="http://schemas.microsoft.com/office/drawing/2014/main" id="{F1991B9A-C41E-4AC1-BC21-4CB065107A7E}"/>
            </a:ext>
          </a:extLst>
        </xdr:cNvPr>
        <xdr:cNvSpPr/>
      </xdr:nvSpPr>
      <xdr:spPr>
        <a:xfrm>
          <a:off x="18493867" y="296900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1640</xdr:row>
      <xdr:rowOff>98906</xdr:rowOff>
    </xdr:from>
    <xdr:ext cx="514857" cy="180627"/>
    <xdr:sp macro="_xll.PtreeEvent_ObjectClick" textlink="">
      <xdr:nvSpPr>
        <xdr:cNvPr id="3268" name="PTObj_DBranchName_1_812">
          <a:extLst>
            <a:ext uri="{FF2B5EF4-FFF2-40B4-BE49-F238E27FC236}">
              <a16:creationId xmlns:a16="http://schemas.microsoft.com/office/drawing/2014/main" id="{FF8A3FDD-BB2E-4080-A01F-626036AD756C}"/>
            </a:ext>
          </a:extLst>
        </xdr:cNvPr>
        <xdr:cNvSpPr txBox="1"/>
      </xdr:nvSpPr>
      <xdr:spPr>
        <a:xfrm>
          <a:off x="17344834" y="2968979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1642</xdr:row>
      <xdr:rowOff>105420</xdr:rowOff>
    </xdr:from>
    <xdr:to>
      <xdr:col>11</xdr:col>
      <xdr:colOff>135383</xdr:colOff>
      <xdr:row>1643</xdr:row>
      <xdr:rowOff>93995</xdr:rowOff>
    </xdr:to>
    <xdr:sp macro="_xll.PtreeEvent_ObjectClick" textlink="">
      <xdr:nvSpPr>
        <xdr:cNvPr id="3269" name="PTObj_DNode_1_813">
          <a:extLst>
            <a:ext uri="{FF2B5EF4-FFF2-40B4-BE49-F238E27FC236}">
              <a16:creationId xmlns:a16="http://schemas.microsoft.com/office/drawing/2014/main" id="{9091EDD5-72ED-4729-8F11-26B12CA0C471}"/>
            </a:ext>
          </a:extLst>
        </xdr:cNvPr>
        <xdr:cNvSpPr/>
      </xdr:nvSpPr>
      <xdr:spPr>
        <a:xfrm>
          <a:off x="19918807" y="297266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1642</xdr:row>
      <xdr:rowOff>104631</xdr:rowOff>
    </xdr:from>
    <xdr:ext cx="514858" cy="180627"/>
    <xdr:sp macro="_xll.PtreeEvent_ObjectClick" textlink="">
      <xdr:nvSpPr>
        <xdr:cNvPr id="3272" name="PTObj_DBranchName_1_813">
          <a:extLst>
            <a:ext uri="{FF2B5EF4-FFF2-40B4-BE49-F238E27FC236}">
              <a16:creationId xmlns:a16="http://schemas.microsoft.com/office/drawing/2014/main" id="{DF829F4A-7119-4EF4-9277-A51D2DE9E356}"/>
            </a:ext>
          </a:extLst>
        </xdr:cNvPr>
        <xdr:cNvSpPr txBox="1"/>
      </xdr:nvSpPr>
      <xdr:spPr>
        <a:xfrm>
          <a:off x="18768820" y="297265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1644</xdr:row>
      <xdr:rowOff>111122</xdr:rowOff>
    </xdr:from>
    <xdr:to>
      <xdr:col>12</xdr:col>
      <xdr:colOff>135385</xdr:colOff>
      <xdr:row>1645</xdr:row>
      <xdr:rowOff>97787</xdr:rowOff>
    </xdr:to>
    <xdr:sp macro="_xll.PtreeEvent_ObjectClick" textlink="">
      <xdr:nvSpPr>
        <xdr:cNvPr id="3273" name="PTObj_DNode_1_814">
          <a:extLst>
            <a:ext uri="{FF2B5EF4-FFF2-40B4-BE49-F238E27FC236}">
              <a16:creationId xmlns:a16="http://schemas.microsoft.com/office/drawing/2014/main" id="{957F732C-3574-4078-9267-5CBC55D8B5A8}"/>
            </a:ext>
          </a:extLst>
        </xdr:cNvPr>
        <xdr:cNvSpPr/>
      </xdr:nvSpPr>
      <xdr:spPr>
        <a:xfrm rot="-5400000">
          <a:off x="21347557" y="2976302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1644</xdr:row>
      <xdr:rowOff>108451</xdr:rowOff>
    </xdr:from>
    <xdr:ext cx="514858" cy="180627"/>
    <xdr:sp macro="_xll.PtreeEvent_ObjectClick" textlink="">
      <xdr:nvSpPr>
        <xdr:cNvPr id="3276" name="PTObj_DBranchName_1_814">
          <a:extLst>
            <a:ext uri="{FF2B5EF4-FFF2-40B4-BE49-F238E27FC236}">
              <a16:creationId xmlns:a16="http://schemas.microsoft.com/office/drawing/2014/main" id="{40950691-410C-4CD6-AF27-D7CE90E27AB3}"/>
            </a:ext>
          </a:extLst>
        </xdr:cNvPr>
        <xdr:cNvSpPr txBox="1"/>
      </xdr:nvSpPr>
      <xdr:spPr>
        <a:xfrm>
          <a:off x="20188045" y="2976313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1648</xdr:row>
      <xdr:rowOff>116830</xdr:rowOff>
    </xdr:from>
    <xdr:to>
      <xdr:col>9</xdr:col>
      <xdr:colOff>154432</xdr:colOff>
      <xdr:row>1649</xdr:row>
      <xdr:rowOff>130170</xdr:rowOff>
    </xdr:to>
    <xdr:sp macro="_xll.PtreeEvent_ObjectClick" textlink="">
      <xdr:nvSpPr>
        <xdr:cNvPr id="3277" name="PTObj_DNode_1_816">
          <a:extLst>
            <a:ext uri="{FF2B5EF4-FFF2-40B4-BE49-F238E27FC236}">
              <a16:creationId xmlns:a16="http://schemas.microsoft.com/office/drawing/2014/main" id="{91E9696D-8E79-43EA-A219-40C3FDB566CD}"/>
            </a:ext>
          </a:extLst>
        </xdr:cNvPr>
        <xdr:cNvSpPr/>
      </xdr:nvSpPr>
      <xdr:spPr>
        <a:xfrm>
          <a:off x="17068927" y="298363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1648</xdr:row>
      <xdr:rowOff>117971</xdr:rowOff>
    </xdr:from>
    <xdr:ext cx="566520" cy="180627"/>
    <xdr:sp macro="_xll.PtreeEvent_ObjectClick" textlink="">
      <xdr:nvSpPr>
        <xdr:cNvPr id="3280" name="PTObj_DBranchName_1_816">
          <a:extLst>
            <a:ext uri="{FF2B5EF4-FFF2-40B4-BE49-F238E27FC236}">
              <a16:creationId xmlns:a16="http://schemas.microsoft.com/office/drawing/2014/main" id="{4935ACD5-7017-45C9-A8B2-0536E113B766}"/>
            </a:ext>
          </a:extLst>
        </xdr:cNvPr>
        <xdr:cNvSpPr txBox="1"/>
      </xdr:nvSpPr>
      <xdr:spPr>
        <a:xfrm>
          <a:off x="15926563" y="2983647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1650</xdr:row>
      <xdr:rowOff>120650</xdr:rowOff>
    </xdr:from>
    <xdr:to>
      <xdr:col>10</xdr:col>
      <xdr:colOff>150622</xdr:colOff>
      <xdr:row>1651</xdr:row>
      <xdr:rowOff>133990</xdr:rowOff>
    </xdr:to>
    <xdr:sp macro="_xll.PtreeEvent_ObjectClick" textlink="">
      <xdr:nvSpPr>
        <xdr:cNvPr id="3281" name="PTObj_DNode_1_817">
          <a:extLst>
            <a:ext uri="{FF2B5EF4-FFF2-40B4-BE49-F238E27FC236}">
              <a16:creationId xmlns:a16="http://schemas.microsoft.com/office/drawing/2014/main" id="{DAB9EAE8-113E-4F34-8395-92B39E06C2C2}"/>
            </a:ext>
          </a:extLst>
        </xdr:cNvPr>
        <xdr:cNvSpPr/>
      </xdr:nvSpPr>
      <xdr:spPr>
        <a:xfrm>
          <a:off x="18493867" y="298729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1650</xdr:row>
      <xdr:rowOff>123671</xdr:rowOff>
    </xdr:from>
    <xdr:ext cx="514857" cy="180627"/>
    <xdr:sp macro="_xll.PtreeEvent_ObjectClick" textlink="">
      <xdr:nvSpPr>
        <xdr:cNvPr id="3284" name="PTObj_DBranchName_1_817">
          <a:extLst>
            <a:ext uri="{FF2B5EF4-FFF2-40B4-BE49-F238E27FC236}">
              <a16:creationId xmlns:a16="http://schemas.microsoft.com/office/drawing/2014/main" id="{CBBC4573-3588-47C0-80A2-5F9941DB9D93}"/>
            </a:ext>
          </a:extLst>
        </xdr:cNvPr>
        <xdr:cNvSpPr txBox="1"/>
      </xdr:nvSpPr>
      <xdr:spPr>
        <a:xfrm>
          <a:off x="17344834" y="2987324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1652</xdr:row>
      <xdr:rowOff>124470</xdr:rowOff>
    </xdr:from>
    <xdr:to>
      <xdr:col>11</xdr:col>
      <xdr:colOff>135383</xdr:colOff>
      <xdr:row>1653</xdr:row>
      <xdr:rowOff>130190</xdr:rowOff>
    </xdr:to>
    <xdr:sp macro="_xll.PtreeEvent_ObjectClick" textlink="">
      <xdr:nvSpPr>
        <xdr:cNvPr id="3285" name="PTObj_DNode_1_818">
          <a:extLst>
            <a:ext uri="{FF2B5EF4-FFF2-40B4-BE49-F238E27FC236}">
              <a16:creationId xmlns:a16="http://schemas.microsoft.com/office/drawing/2014/main" id="{3DDA2840-AFD8-444D-8358-35BD37442F35}"/>
            </a:ext>
          </a:extLst>
        </xdr:cNvPr>
        <xdr:cNvSpPr/>
      </xdr:nvSpPr>
      <xdr:spPr>
        <a:xfrm>
          <a:off x="19918807" y="299095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1652</xdr:row>
      <xdr:rowOff>127491</xdr:rowOff>
    </xdr:from>
    <xdr:ext cx="514858" cy="180627"/>
    <xdr:sp macro="_xll.PtreeEvent_ObjectClick" textlink="">
      <xdr:nvSpPr>
        <xdr:cNvPr id="3288" name="PTObj_DBranchName_1_818">
          <a:extLst>
            <a:ext uri="{FF2B5EF4-FFF2-40B4-BE49-F238E27FC236}">
              <a16:creationId xmlns:a16="http://schemas.microsoft.com/office/drawing/2014/main" id="{DA464A65-3457-4866-A49F-C1BC7253D83B}"/>
            </a:ext>
          </a:extLst>
        </xdr:cNvPr>
        <xdr:cNvSpPr txBox="1"/>
      </xdr:nvSpPr>
      <xdr:spPr>
        <a:xfrm>
          <a:off x="18768820" y="299098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1654</xdr:row>
      <xdr:rowOff>134935</xdr:rowOff>
    </xdr:from>
    <xdr:to>
      <xdr:col>12</xdr:col>
      <xdr:colOff>132527</xdr:colOff>
      <xdr:row>1655</xdr:row>
      <xdr:rowOff>131125</xdr:rowOff>
    </xdr:to>
    <xdr:sp macro="_xll.PtreeEvent_ObjectClick" textlink="">
      <xdr:nvSpPr>
        <xdr:cNvPr id="3289" name="PTObj_DNode_1_819">
          <a:extLst>
            <a:ext uri="{FF2B5EF4-FFF2-40B4-BE49-F238E27FC236}">
              <a16:creationId xmlns:a16="http://schemas.microsoft.com/office/drawing/2014/main" id="{2A8F9097-8A89-478E-AFD8-B823E9EFF23B}"/>
            </a:ext>
          </a:extLst>
        </xdr:cNvPr>
        <xdr:cNvSpPr/>
      </xdr:nvSpPr>
      <xdr:spPr>
        <a:xfrm rot="-5400000">
          <a:off x="21347557" y="2994647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1654</xdr:row>
      <xdr:rowOff>133216</xdr:rowOff>
    </xdr:from>
    <xdr:ext cx="514858" cy="180627"/>
    <xdr:sp macro="_xll.PtreeEvent_ObjectClick" textlink="">
      <xdr:nvSpPr>
        <xdr:cNvPr id="3292" name="PTObj_DBranchName_1_819">
          <a:extLst>
            <a:ext uri="{FF2B5EF4-FFF2-40B4-BE49-F238E27FC236}">
              <a16:creationId xmlns:a16="http://schemas.microsoft.com/office/drawing/2014/main" id="{BF838067-95CA-419B-A701-1128AAC8F9D3}"/>
            </a:ext>
          </a:extLst>
        </xdr:cNvPr>
        <xdr:cNvSpPr txBox="1"/>
      </xdr:nvSpPr>
      <xdr:spPr>
        <a:xfrm>
          <a:off x="20188045" y="2994658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1676</xdr:row>
      <xdr:rowOff>170185</xdr:rowOff>
    </xdr:from>
    <xdr:to>
      <xdr:col>7</xdr:col>
      <xdr:colOff>171577</xdr:colOff>
      <xdr:row>1677</xdr:row>
      <xdr:rowOff>168285</xdr:rowOff>
    </xdr:to>
    <xdr:sp macro="_xll.PtreeEvent_ObjectClick" textlink="">
      <xdr:nvSpPr>
        <xdr:cNvPr id="3293" name="PTObj_DNode_1_830">
          <a:extLst>
            <a:ext uri="{FF2B5EF4-FFF2-40B4-BE49-F238E27FC236}">
              <a16:creationId xmlns:a16="http://schemas.microsoft.com/office/drawing/2014/main" id="{84650A0C-3EA6-4FFA-9F42-B0EB72364372}"/>
            </a:ext>
          </a:extLst>
        </xdr:cNvPr>
        <xdr:cNvSpPr/>
      </xdr:nvSpPr>
      <xdr:spPr>
        <a:xfrm>
          <a:off x="14219047" y="303484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1676</xdr:row>
      <xdr:rowOff>175111</xdr:rowOff>
    </xdr:from>
    <xdr:ext cx="566520" cy="180627"/>
    <xdr:sp macro="_xll.PtreeEvent_ObjectClick" textlink="">
      <xdr:nvSpPr>
        <xdr:cNvPr id="3296" name="PTObj_DBranchName_1_830">
          <a:extLst>
            <a:ext uri="{FF2B5EF4-FFF2-40B4-BE49-F238E27FC236}">
              <a16:creationId xmlns:a16="http://schemas.microsoft.com/office/drawing/2014/main" id="{75948F25-5A53-4A19-92CE-15F614D8CA13}"/>
            </a:ext>
          </a:extLst>
        </xdr:cNvPr>
        <xdr:cNvSpPr txBox="1"/>
      </xdr:nvSpPr>
      <xdr:spPr>
        <a:xfrm>
          <a:off x="13074777" y="303489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1666</xdr:row>
      <xdr:rowOff>151135</xdr:rowOff>
    </xdr:from>
    <xdr:to>
      <xdr:col>8</xdr:col>
      <xdr:colOff>167768</xdr:colOff>
      <xdr:row>1667</xdr:row>
      <xdr:rowOff>153045</xdr:rowOff>
    </xdr:to>
    <xdr:sp macro="_xll.PtreeEvent_ObjectClick" textlink="">
      <xdr:nvSpPr>
        <xdr:cNvPr id="3297" name="PTObj_DNode_1_825">
          <a:extLst>
            <a:ext uri="{FF2B5EF4-FFF2-40B4-BE49-F238E27FC236}">
              <a16:creationId xmlns:a16="http://schemas.microsoft.com/office/drawing/2014/main" id="{4459670E-588C-4051-AFC1-55C62AF76D3A}"/>
            </a:ext>
          </a:extLst>
        </xdr:cNvPr>
        <xdr:cNvSpPr/>
      </xdr:nvSpPr>
      <xdr:spPr>
        <a:xfrm>
          <a:off x="15643988" y="30165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1666</xdr:row>
      <xdr:rowOff>152251</xdr:rowOff>
    </xdr:from>
    <xdr:ext cx="566520" cy="180627"/>
    <xdr:sp macro="_xll.PtreeEvent_ObjectClick" textlink="">
      <xdr:nvSpPr>
        <xdr:cNvPr id="3300" name="PTObj_DBranchName_1_825">
          <a:extLst>
            <a:ext uri="{FF2B5EF4-FFF2-40B4-BE49-F238E27FC236}">
              <a16:creationId xmlns:a16="http://schemas.microsoft.com/office/drawing/2014/main" id="{1438D28A-E07E-4AA6-83C2-A092E3DE3125}"/>
            </a:ext>
          </a:extLst>
        </xdr:cNvPr>
        <xdr:cNvSpPr txBox="1"/>
      </xdr:nvSpPr>
      <xdr:spPr>
        <a:xfrm>
          <a:off x="14500670" y="3016566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1658</xdr:row>
      <xdr:rowOff>135880</xdr:rowOff>
    </xdr:from>
    <xdr:to>
      <xdr:col>9</xdr:col>
      <xdr:colOff>154432</xdr:colOff>
      <xdr:row>1659</xdr:row>
      <xdr:rowOff>133980</xdr:rowOff>
    </xdr:to>
    <xdr:sp macro="_xll.PtreeEvent_ObjectClick" textlink="">
      <xdr:nvSpPr>
        <xdr:cNvPr id="3301" name="PTObj_DNode_1_821">
          <a:extLst>
            <a:ext uri="{FF2B5EF4-FFF2-40B4-BE49-F238E27FC236}">
              <a16:creationId xmlns:a16="http://schemas.microsoft.com/office/drawing/2014/main" id="{8CE94E7E-B3E9-48A8-A7BC-94EFAE9B383F}"/>
            </a:ext>
          </a:extLst>
        </xdr:cNvPr>
        <xdr:cNvSpPr/>
      </xdr:nvSpPr>
      <xdr:spPr>
        <a:xfrm>
          <a:off x="17068927" y="300192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1658</xdr:row>
      <xdr:rowOff>133211</xdr:rowOff>
    </xdr:from>
    <xdr:ext cx="566519" cy="180627"/>
    <xdr:sp macro="_xll.PtreeEvent_ObjectClick" textlink="">
      <xdr:nvSpPr>
        <xdr:cNvPr id="3304" name="PTObj_DBranchName_1_821">
          <a:extLst>
            <a:ext uri="{FF2B5EF4-FFF2-40B4-BE49-F238E27FC236}">
              <a16:creationId xmlns:a16="http://schemas.microsoft.com/office/drawing/2014/main" id="{315B91AD-ADE4-44A9-91F0-02D37B99D7EF}"/>
            </a:ext>
          </a:extLst>
        </xdr:cNvPr>
        <xdr:cNvSpPr txBox="1"/>
      </xdr:nvSpPr>
      <xdr:spPr>
        <a:xfrm>
          <a:off x="15922752" y="3001897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1660</xdr:row>
      <xdr:rowOff>139700</xdr:rowOff>
    </xdr:from>
    <xdr:to>
      <xdr:col>10</xdr:col>
      <xdr:colOff>150622</xdr:colOff>
      <xdr:row>1661</xdr:row>
      <xdr:rowOff>135895</xdr:rowOff>
    </xdr:to>
    <xdr:sp macro="_xll.PtreeEvent_ObjectClick" textlink="">
      <xdr:nvSpPr>
        <xdr:cNvPr id="3305" name="PTObj_DNode_1_822">
          <a:extLst>
            <a:ext uri="{FF2B5EF4-FFF2-40B4-BE49-F238E27FC236}">
              <a16:creationId xmlns:a16="http://schemas.microsoft.com/office/drawing/2014/main" id="{2DE11A35-1AC6-4366-8A9A-C8401377E8B9}"/>
            </a:ext>
          </a:extLst>
        </xdr:cNvPr>
        <xdr:cNvSpPr/>
      </xdr:nvSpPr>
      <xdr:spPr>
        <a:xfrm>
          <a:off x="18493867" y="300558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1660</xdr:row>
      <xdr:rowOff>137006</xdr:rowOff>
    </xdr:from>
    <xdr:ext cx="514857" cy="180627"/>
    <xdr:sp macro="_xll.PtreeEvent_ObjectClick" textlink="">
      <xdr:nvSpPr>
        <xdr:cNvPr id="3308" name="PTObj_DBranchName_1_822">
          <a:extLst>
            <a:ext uri="{FF2B5EF4-FFF2-40B4-BE49-F238E27FC236}">
              <a16:creationId xmlns:a16="http://schemas.microsoft.com/office/drawing/2014/main" id="{97527FCE-B123-491F-B2BF-03A577378C93}"/>
            </a:ext>
          </a:extLst>
        </xdr:cNvPr>
        <xdr:cNvSpPr txBox="1"/>
      </xdr:nvSpPr>
      <xdr:spPr>
        <a:xfrm>
          <a:off x="17344834" y="3005555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1662</xdr:row>
      <xdr:rowOff>143520</xdr:rowOff>
    </xdr:from>
    <xdr:to>
      <xdr:col>11</xdr:col>
      <xdr:colOff>135383</xdr:colOff>
      <xdr:row>1663</xdr:row>
      <xdr:rowOff>132095</xdr:rowOff>
    </xdr:to>
    <xdr:sp macro="_xll.PtreeEvent_ObjectClick" textlink="">
      <xdr:nvSpPr>
        <xdr:cNvPr id="3309" name="PTObj_DNode_1_823">
          <a:extLst>
            <a:ext uri="{FF2B5EF4-FFF2-40B4-BE49-F238E27FC236}">
              <a16:creationId xmlns:a16="http://schemas.microsoft.com/office/drawing/2014/main" id="{820936E1-02A7-44BD-8EAF-FC97E0B56C96}"/>
            </a:ext>
          </a:extLst>
        </xdr:cNvPr>
        <xdr:cNvSpPr/>
      </xdr:nvSpPr>
      <xdr:spPr>
        <a:xfrm>
          <a:off x="19918807" y="300923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1662</xdr:row>
      <xdr:rowOff>142731</xdr:rowOff>
    </xdr:from>
    <xdr:ext cx="514858" cy="180627"/>
    <xdr:sp macro="_xll.PtreeEvent_ObjectClick" textlink="">
      <xdr:nvSpPr>
        <xdr:cNvPr id="3312" name="PTObj_DBranchName_1_823">
          <a:extLst>
            <a:ext uri="{FF2B5EF4-FFF2-40B4-BE49-F238E27FC236}">
              <a16:creationId xmlns:a16="http://schemas.microsoft.com/office/drawing/2014/main" id="{E02EA254-007E-40FE-A71B-EA10E078C385}"/>
            </a:ext>
          </a:extLst>
        </xdr:cNvPr>
        <xdr:cNvSpPr txBox="1"/>
      </xdr:nvSpPr>
      <xdr:spPr>
        <a:xfrm>
          <a:off x="18768820" y="300923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1664</xdr:row>
      <xdr:rowOff>149222</xdr:rowOff>
    </xdr:from>
    <xdr:to>
      <xdr:col>12</xdr:col>
      <xdr:colOff>135385</xdr:colOff>
      <xdr:row>1665</xdr:row>
      <xdr:rowOff>135887</xdr:rowOff>
    </xdr:to>
    <xdr:sp macro="_xll.PtreeEvent_ObjectClick" textlink="">
      <xdr:nvSpPr>
        <xdr:cNvPr id="3313" name="PTObj_DNode_1_824">
          <a:extLst>
            <a:ext uri="{FF2B5EF4-FFF2-40B4-BE49-F238E27FC236}">
              <a16:creationId xmlns:a16="http://schemas.microsoft.com/office/drawing/2014/main" id="{80EACCDD-A12E-4EE3-B47E-FE4919395CD0}"/>
            </a:ext>
          </a:extLst>
        </xdr:cNvPr>
        <xdr:cNvSpPr/>
      </xdr:nvSpPr>
      <xdr:spPr>
        <a:xfrm rot="-5400000">
          <a:off x="21347557" y="3012878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1664</xdr:row>
      <xdr:rowOff>146551</xdr:rowOff>
    </xdr:from>
    <xdr:ext cx="514858" cy="180627"/>
    <xdr:sp macro="_xll.PtreeEvent_ObjectClick" textlink="">
      <xdr:nvSpPr>
        <xdr:cNvPr id="3316" name="PTObj_DBranchName_1_824">
          <a:extLst>
            <a:ext uri="{FF2B5EF4-FFF2-40B4-BE49-F238E27FC236}">
              <a16:creationId xmlns:a16="http://schemas.microsoft.com/office/drawing/2014/main" id="{A208ECC1-70A7-46AA-8721-A673190768A8}"/>
            </a:ext>
          </a:extLst>
        </xdr:cNvPr>
        <xdr:cNvSpPr txBox="1"/>
      </xdr:nvSpPr>
      <xdr:spPr>
        <a:xfrm>
          <a:off x="20188045" y="3012889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1668</xdr:row>
      <xdr:rowOff>154930</xdr:rowOff>
    </xdr:from>
    <xdr:to>
      <xdr:col>9</xdr:col>
      <xdr:colOff>154432</xdr:colOff>
      <xdr:row>1669</xdr:row>
      <xdr:rowOff>168270</xdr:rowOff>
    </xdr:to>
    <xdr:sp macro="_xll.PtreeEvent_ObjectClick" textlink="">
      <xdr:nvSpPr>
        <xdr:cNvPr id="3317" name="PTObj_DNode_1_826">
          <a:extLst>
            <a:ext uri="{FF2B5EF4-FFF2-40B4-BE49-F238E27FC236}">
              <a16:creationId xmlns:a16="http://schemas.microsoft.com/office/drawing/2014/main" id="{369F435F-5106-4BF7-8BE2-DC205B6A3101}"/>
            </a:ext>
          </a:extLst>
        </xdr:cNvPr>
        <xdr:cNvSpPr/>
      </xdr:nvSpPr>
      <xdr:spPr>
        <a:xfrm>
          <a:off x="17068927" y="302021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1668</xdr:row>
      <xdr:rowOff>156071</xdr:rowOff>
    </xdr:from>
    <xdr:ext cx="566520" cy="180627"/>
    <xdr:sp macro="_xll.PtreeEvent_ObjectClick" textlink="">
      <xdr:nvSpPr>
        <xdr:cNvPr id="3320" name="PTObj_DBranchName_1_826">
          <a:extLst>
            <a:ext uri="{FF2B5EF4-FFF2-40B4-BE49-F238E27FC236}">
              <a16:creationId xmlns:a16="http://schemas.microsoft.com/office/drawing/2014/main" id="{8A532A62-4BB7-4B43-B2CD-A96A821004F3}"/>
            </a:ext>
          </a:extLst>
        </xdr:cNvPr>
        <xdr:cNvSpPr txBox="1"/>
      </xdr:nvSpPr>
      <xdr:spPr>
        <a:xfrm>
          <a:off x="15926563" y="3020223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1670</xdr:row>
      <xdr:rowOff>158750</xdr:rowOff>
    </xdr:from>
    <xdr:to>
      <xdr:col>10</xdr:col>
      <xdr:colOff>150622</xdr:colOff>
      <xdr:row>1671</xdr:row>
      <xdr:rowOff>172090</xdr:rowOff>
    </xdr:to>
    <xdr:sp macro="_xll.PtreeEvent_ObjectClick" textlink="">
      <xdr:nvSpPr>
        <xdr:cNvPr id="3321" name="PTObj_DNode_1_827">
          <a:extLst>
            <a:ext uri="{FF2B5EF4-FFF2-40B4-BE49-F238E27FC236}">
              <a16:creationId xmlns:a16="http://schemas.microsoft.com/office/drawing/2014/main" id="{E2BE4057-601B-4190-9A31-6A4740EEE299}"/>
            </a:ext>
          </a:extLst>
        </xdr:cNvPr>
        <xdr:cNvSpPr/>
      </xdr:nvSpPr>
      <xdr:spPr>
        <a:xfrm>
          <a:off x="18493867" y="302387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1670</xdr:row>
      <xdr:rowOff>161771</xdr:rowOff>
    </xdr:from>
    <xdr:ext cx="514857" cy="180627"/>
    <xdr:sp macro="_xll.PtreeEvent_ObjectClick" textlink="">
      <xdr:nvSpPr>
        <xdr:cNvPr id="3324" name="PTObj_DBranchName_1_827">
          <a:extLst>
            <a:ext uri="{FF2B5EF4-FFF2-40B4-BE49-F238E27FC236}">
              <a16:creationId xmlns:a16="http://schemas.microsoft.com/office/drawing/2014/main" id="{3D9B3712-1B24-4728-87A5-1D6022302F3F}"/>
            </a:ext>
          </a:extLst>
        </xdr:cNvPr>
        <xdr:cNvSpPr txBox="1"/>
      </xdr:nvSpPr>
      <xdr:spPr>
        <a:xfrm>
          <a:off x="17344834" y="3023900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1672</xdr:row>
      <xdr:rowOff>162570</xdr:rowOff>
    </xdr:from>
    <xdr:to>
      <xdr:col>11</xdr:col>
      <xdr:colOff>135383</xdr:colOff>
      <xdr:row>1673</xdr:row>
      <xdr:rowOff>168290</xdr:rowOff>
    </xdr:to>
    <xdr:sp macro="_xll.PtreeEvent_ObjectClick" textlink="">
      <xdr:nvSpPr>
        <xdr:cNvPr id="3325" name="PTObj_DNode_1_828">
          <a:extLst>
            <a:ext uri="{FF2B5EF4-FFF2-40B4-BE49-F238E27FC236}">
              <a16:creationId xmlns:a16="http://schemas.microsoft.com/office/drawing/2014/main" id="{873E222D-7A7B-4361-B988-43DD4A8B0CBC}"/>
            </a:ext>
          </a:extLst>
        </xdr:cNvPr>
        <xdr:cNvSpPr/>
      </xdr:nvSpPr>
      <xdr:spPr>
        <a:xfrm>
          <a:off x="19918807" y="302752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1672</xdr:row>
      <xdr:rowOff>165591</xdr:rowOff>
    </xdr:from>
    <xdr:ext cx="514858" cy="180627"/>
    <xdr:sp macro="_xll.PtreeEvent_ObjectClick" textlink="">
      <xdr:nvSpPr>
        <xdr:cNvPr id="3328" name="PTObj_DBranchName_1_828">
          <a:extLst>
            <a:ext uri="{FF2B5EF4-FFF2-40B4-BE49-F238E27FC236}">
              <a16:creationId xmlns:a16="http://schemas.microsoft.com/office/drawing/2014/main" id="{E27E509C-B4E9-47AA-853F-59D39C582DCA}"/>
            </a:ext>
          </a:extLst>
        </xdr:cNvPr>
        <xdr:cNvSpPr txBox="1"/>
      </xdr:nvSpPr>
      <xdr:spPr>
        <a:xfrm>
          <a:off x="18768820" y="302755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1674</xdr:row>
      <xdr:rowOff>173035</xdr:rowOff>
    </xdr:from>
    <xdr:to>
      <xdr:col>12</xdr:col>
      <xdr:colOff>132527</xdr:colOff>
      <xdr:row>1675</xdr:row>
      <xdr:rowOff>169225</xdr:rowOff>
    </xdr:to>
    <xdr:sp macro="_xll.PtreeEvent_ObjectClick" textlink="">
      <xdr:nvSpPr>
        <xdr:cNvPr id="3329" name="PTObj_DNode_1_829">
          <a:extLst>
            <a:ext uri="{FF2B5EF4-FFF2-40B4-BE49-F238E27FC236}">
              <a16:creationId xmlns:a16="http://schemas.microsoft.com/office/drawing/2014/main" id="{418C29AD-9C65-4D4B-8EB4-277C295CC146}"/>
            </a:ext>
          </a:extLst>
        </xdr:cNvPr>
        <xdr:cNvSpPr/>
      </xdr:nvSpPr>
      <xdr:spPr>
        <a:xfrm rot="-5400000">
          <a:off x="21347557" y="3031223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1674</xdr:row>
      <xdr:rowOff>171316</xdr:rowOff>
    </xdr:from>
    <xdr:ext cx="514858" cy="180627"/>
    <xdr:sp macro="_xll.PtreeEvent_ObjectClick" textlink="">
      <xdr:nvSpPr>
        <xdr:cNvPr id="3332" name="PTObj_DBranchName_1_829">
          <a:extLst>
            <a:ext uri="{FF2B5EF4-FFF2-40B4-BE49-F238E27FC236}">
              <a16:creationId xmlns:a16="http://schemas.microsoft.com/office/drawing/2014/main" id="{41A263A1-7F78-427F-B800-C74EAF6EFBDB}"/>
            </a:ext>
          </a:extLst>
        </xdr:cNvPr>
        <xdr:cNvSpPr txBox="1"/>
      </xdr:nvSpPr>
      <xdr:spPr>
        <a:xfrm>
          <a:off x="20188045" y="3031234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1687</xdr:row>
      <xdr:rowOff>8260</xdr:rowOff>
    </xdr:from>
    <xdr:to>
      <xdr:col>8</xdr:col>
      <xdr:colOff>171578</xdr:colOff>
      <xdr:row>1688</xdr:row>
      <xdr:rowOff>19695</xdr:rowOff>
    </xdr:to>
    <xdr:sp macro="_xll.PtreeEvent_ObjectClick" textlink="">
      <xdr:nvSpPr>
        <xdr:cNvPr id="3333" name="PTObj_DNode_1_835">
          <a:extLst>
            <a:ext uri="{FF2B5EF4-FFF2-40B4-BE49-F238E27FC236}">
              <a16:creationId xmlns:a16="http://schemas.microsoft.com/office/drawing/2014/main" id="{7077EDC2-8E64-4BAC-9FD1-ACA7A4B6FC60}"/>
            </a:ext>
          </a:extLst>
        </xdr:cNvPr>
        <xdr:cNvSpPr/>
      </xdr:nvSpPr>
      <xdr:spPr>
        <a:xfrm>
          <a:off x="15643988" y="305313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1687</xdr:row>
      <xdr:rowOff>11281</xdr:rowOff>
    </xdr:from>
    <xdr:ext cx="566520" cy="180627"/>
    <xdr:sp macro="_xll.PtreeEvent_ObjectClick" textlink="">
      <xdr:nvSpPr>
        <xdr:cNvPr id="3336" name="PTObj_DBranchName_1_835">
          <a:extLst>
            <a:ext uri="{FF2B5EF4-FFF2-40B4-BE49-F238E27FC236}">
              <a16:creationId xmlns:a16="http://schemas.microsoft.com/office/drawing/2014/main" id="{368CF888-330F-4782-B508-16F84BD7FBBE}"/>
            </a:ext>
          </a:extLst>
        </xdr:cNvPr>
        <xdr:cNvSpPr txBox="1"/>
      </xdr:nvSpPr>
      <xdr:spPr>
        <a:xfrm>
          <a:off x="14498765" y="305316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1678</xdr:row>
      <xdr:rowOff>173980</xdr:rowOff>
    </xdr:from>
    <xdr:to>
      <xdr:col>9</xdr:col>
      <xdr:colOff>154432</xdr:colOff>
      <xdr:row>1679</xdr:row>
      <xdr:rowOff>168270</xdr:rowOff>
    </xdr:to>
    <xdr:sp macro="_xll.PtreeEvent_ObjectClick" textlink="">
      <xdr:nvSpPr>
        <xdr:cNvPr id="3337" name="PTObj_DNode_1_831">
          <a:extLst>
            <a:ext uri="{FF2B5EF4-FFF2-40B4-BE49-F238E27FC236}">
              <a16:creationId xmlns:a16="http://schemas.microsoft.com/office/drawing/2014/main" id="{F391C266-C56C-4118-9FF7-08466D7629AA}"/>
            </a:ext>
          </a:extLst>
        </xdr:cNvPr>
        <xdr:cNvSpPr/>
      </xdr:nvSpPr>
      <xdr:spPr>
        <a:xfrm>
          <a:off x="17068927" y="303850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1678</xdr:row>
      <xdr:rowOff>171311</xdr:rowOff>
    </xdr:from>
    <xdr:ext cx="566519" cy="180627"/>
    <xdr:sp macro="_xll.PtreeEvent_ObjectClick" textlink="">
      <xdr:nvSpPr>
        <xdr:cNvPr id="3340" name="PTObj_DBranchName_1_831">
          <a:extLst>
            <a:ext uri="{FF2B5EF4-FFF2-40B4-BE49-F238E27FC236}">
              <a16:creationId xmlns:a16="http://schemas.microsoft.com/office/drawing/2014/main" id="{3690E320-4657-4D4D-8E1A-4D835340CB0D}"/>
            </a:ext>
          </a:extLst>
        </xdr:cNvPr>
        <xdr:cNvSpPr txBox="1"/>
      </xdr:nvSpPr>
      <xdr:spPr>
        <a:xfrm>
          <a:off x="15922752" y="3038473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1680</xdr:row>
      <xdr:rowOff>177800</xdr:rowOff>
    </xdr:from>
    <xdr:to>
      <xdr:col>10</xdr:col>
      <xdr:colOff>150622</xdr:colOff>
      <xdr:row>1681</xdr:row>
      <xdr:rowOff>170185</xdr:rowOff>
    </xdr:to>
    <xdr:sp macro="_xll.PtreeEvent_ObjectClick" textlink="">
      <xdr:nvSpPr>
        <xdr:cNvPr id="3341" name="PTObj_DNode_1_832">
          <a:extLst>
            <a:ext uri="{FF2B5EF4-FFF2-40B4-BE49-F238E27FC236}">
              <a16:creationId xmlns:a16="http://schemas.microsoft.com/office/drawing/2014/main" id="{28265321-EEBD-4FD4-B39C-CC87152E554E}"/>
            </a:ext>
          </a:extLst>
        </xdr:cNvPr>
        <xdr:cNvSpPr/>
      </xdr:nvSpPr>
      <xdr:spPr>
        <a:xfrm>
          <a:off x="18493867" y="304215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1680</xdr:row>
      <xdr:rowOff>175106</xdr:rowOff>
    </xdr:from>
    <xdr:ext cx="514857" cy="180627"/>
    <xdr:sp macro="_xll.PtreeEvent_ObjectClick" textlink="">
      <xdr:nvSpPr>
        <xdr:cNvPr id="3344" name="PTObj_DBranchName_1_832">
          <a:extLst>
            <a:ext uri="{FF2B5EF4-FFF2-40B4-BE49-F238E27FC236}">
              <a16:creationId xmlns:a16="http://schemas.microsoft.com/office/drawing/2014/main" id="{C5615DD4-7A19-412B-BF42-842B4764F475}"/>
            </a:ext>
          </a:extLst>
        </xdr:cNvPr>
        <xdr:cNvSpPr txBox="1"/>
      </xdr:nvSpPr>
      <xdr:spPr>
        <a:xfrm>
          <a:off x="17344834" y="3042131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1683</xdr:row>
      <xdr:rowOff>645</xdr:rowOff>
    </xdr:from>
    <xdr:to>
      <xdr:col>11</xdr:col>
      <xdr:colOff>131573</xdr:colOff>
      <xdr:row>1684</xdr:row>
      <xdr:rowOff>2555</xdr:rowOff>
    </xdr:to>
    <xdr:sp macro="_xll.PtreeEvent_ObjectClick" textlink="">
      <xdr:nvSpPr>
        <xdr:cNvPr id="3345" name="PTObj_DNode_1_833">
          <a:extLst>
            <a:ext uri="{FF2B5EF4-FFF2-40B4-BE49-F238E27FC236}">
              <a16:creationId xmlns:a16="http://schemas.microsoft.com/office/drawing/2014/main" id="{9F88892D-3EB2-4596-91BB-54862AC311C1}"/>
            </a:ext>
          </a:extLst>
        </xdr:cNvPr>
        <xdr:cNvSpPr/>
      </xdr:nvSpPr>
      <xdr:spPr>
        <a:xfrm>
          <a:off x="19918807" y="304581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1683</xdr:row>
      <xdr:rowOff>1761</xdr:rowOff>
    </xdr:from>
    <xdr:ext cx="514858" cy="180627"/>
    <xdr:sp macro="_xll.PtreeEvent_ObjectClick" textlink="">
      <xdr:nvSpPr>
        <xdr:cNvPr id="3348" name="PTObj_DBranchName_1_833">
          <a:extLst>
            <a:ext uri="{FF2B5EF4-FFF2-40B4-BE49-F238E27FC236}">
              <a16:creationId xmlns:a16="http://schemas.microsoft.com/office/drawing/2014/main" id="{5A7265CF-BB0A-49BD-A1FC-02482EF851FD}"/>
            </a:ext>
          </a:extLst>
        </xdr:cNvPr>
        <xdr:cNvSpPr txBox="1"/>
      </xdr:nvSpPr>
      <xdr:spPr>
        <a:xfrm>
          <a:off x="18768820" y="304582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1685</xdr:row>
      <xdr:rowOff>9205</xdr:rowOff>
    </xdr:from>
    <xdr:to>
      <xdr:col>12</xdr:col>
      <xdr:colOff>136337</xdr:colOff>
      <xdr:row>1686</xdr:row>
      <xdr:rowOff>16825</xdr:rowOff>
    </xdr:to>
    <xdr:sp macro="_xll.PtreeEvent_ObjectClick" textlink="">
      <xdr:nvSpPr>
        <xdr:cNvPr id="3349" name="PTObj_DNode_1_834">
          <a:extLst>
            <a:ext uri="{FF2B5EF4-FFF2-40B4-BE49-F238E27FC236}">
              <a16:creationId xmlns:a16="http://schemas.microsoft.com/office/drawing/2014/main" id="{F46E7D62-AEFE-4941-AD75-58EF4F7CDB49}"/>
            </a:ext>
          </a:extLst>
        </xdr:cNvPr>
        <xdr:cNvSpPr/>
      </xdr:nvSpPr>
      <xdr:spPr>
        <a:xfrm rot="-5400000">
          <a:off x="21347557" y="3049492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1685</xdr:row>
      <xdr:rowOff>7486</xdr:rowOff>
    </xdr:from>
    <xdr:ext cx="514858" cy="180627"/>
    <xdr:sp macro="_xll.PtreeEvent_ObjectClick" textlink="">
      <xdr:nvSpPr>
        <xdr:cNvPr id="3352" name="PTObj_DBranchName_1_834">
          <a:extLst>
            <a:ext uri="{FF2B5EF4-FFF2-40B4-BE49-F238E27FC236}">
              <a16:creationId xmlns:a16="http://schemas.microsoft.com/office/drawing/2014/main" id="{AA9777F7-538E-4109-859B-24B4C1BFF84E}"/>
            </a:ext>
          </a:extLst>
        </xdr:cNvPr>
        <xdr:cNvSpPr txBox="1"/>
      </xdr:nvSpPr>
      <xdr:spPr>
        <a:xfrm>
          <a:off x="20188045" y="3049503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1689</xdr:row>
      <xdr:rowOff>12055</xdr:rowOff>
    </xdr:from>
    <xdr:to>
      <xdr:col>9</xdr:col>
      <xdr:colOff>154432</xdr:colOff>
      <xdr:row>1690</xdr:row>
      <xdr:rowOff>21585</xdr:rowOff>
    </xdr:to>
    <xdr:sp macro="_xll.PtreeEvent_ObjectClick" textlink="">
      <xdr:nvSpPr>
        <xdr:cNvPr id="3353" name="PTObj_DNode_1_836">
          <a:extLst>
            <a:ext uri="{FF2B5EF4-FFF2-40B4-BE49-F238E27FC236}">
              <a16:creationId xmlns:a16="http://schemas.microsoft.com/office/drawing/2014/main" id="{B9E86CA1-B198-4F2D-AA37-61D5505A0AE4}"/>
            </a:ext>
          </a:extLst>
        </xdr:cNvPr>
        <xdr:cNvSpPr/>
      </xdr:nvSpPr>
      <xdr:spPr>
        <a:xfrm>
          <a:off x="17068927" y="305678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1689</xdr:row>
      <xdr:rowOff>17006</xdr:rowOff>
    </xdr:from>
    <xdr:ext cx="566520" cy="180627"/>
    <xdr:sp macro="_xll.PtreeEvent_ObjectClick" textlink="">
      <xdr:nvSpPr>
        <xdr:cNvPr id="3356" name="PTObj_DBranchName_1_836">
          <a:extLst>
            <a:ext uri="{FF2B5EF4-FFF2-40B4-BE49-F238E27FC236}">
              <a16:creationId xmlns:a16="http://schemas.microsoft.com/office/drawing/2014/main" id="{9CD1CAB4-2B31-4078-BB1D-670E2DC05B0D}"/>
            </a:ext>
          </a:extLst>
        </xdr:cNvPr>
        <xdr:cNvSpPr txBox="1"/>
      </xdr:nvSpPr>
      <xdr:spPr>
        <a:xfrm>
          <a:off x="15926563" y="3056837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1691</xdr:row>
      <xdr:rowOff>15875</xdr:rowOff>
    </xdr:from>
    <xdr:to>
      <xdr:col>10</xdr:col>
      <xdr:colOff>150622</xdr:colOff>
      <xdr:row>1692</xdr:row>
      <xdr:rowOff>21595</xdr:rowOff>
    </xdr:to>
    <xdr:sp macro="_xll.PtreeEvent_ObjectClick" textlink="">
      <xdr:nvSpPr>
        <xdr:cNvPr id="3357" name="PTObj_DNode_1_837">
          <a:extLst>
            <a:ext uri="{FF2B5EF4-FFF2-40B4-BE49-F238E27FC236}">
              <a16:creationId xmlns:a16="http://schemas.microsoft.com/office/drawing/2014/main" id="{C02085A1-E09C-452C-8D60-9C204A3B3224}"/>
            </a:ext>
          </a:extLst>
        </xdr:cNvPr>
        <xdr:cNvSpPr/>
      </xdr:nvSpPr>
      <xdr:spPr>
        <a:xfrm>
          <a:off x="18493867" y="306044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1691</xdr:row>
      <xdr:rowOff>20801</xdr:rowOff>
    </xdr:from>
    <xdr:ext cx="514857" cy="180627"/>
    <xdr:sp macro="_xll.PtreeEvent_ObjectClick" textlink="">
      <xdr:nvSpPr>
        <xdr:cNvPr id="3360" name="PTObj_DBranchName_1_837">
          <a:extLst>
            <a:ext uri="{FF2B5EF4-FFF2-40B4-BE49-F238E27FC236}">
              <a16:creationId xmlns:a16="http://schemas.microsoft.com/office/drawing/2014/main" id="{DCF9EE6A-2B2B-4EA8-ACBD-057C9F21C435}"/>
            </a:ext>
          </a:extLst>
        </xdr:cNvPr>
        <xdr:cNvSpPr txBox="1"/>
      </xdr:nvSpPr>
      <xdr:spPr>
        <a:xfrm>
          <a:off x="17344834" y="3060495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1693</xdr:row>
      <xdr:rowOff>19695</xdr:rowOff>
    </xdr:from>
    <xdr:to>
      <xdr:col>11</xdr:col>
      <xdr:colOff>131573</xdr:colOff>
      <xdr:row>1694</xdr:row>
      <xdr:rowOff>21605</xdr:rowOff>
    </xdr:to>
    <xdr:sp macro="_xll.PtreeEvent_ObjectClick" textlink="">
      <xdr:nvSpPr>
        <xdr:cNvPr id="3361" name="PTObj_DNode_1_838">
          <a:extLst>
            <a:ext uri="{FF2B5EF4-FFF2-40B4-BE49-F238E27FC236}">
              <a16:creationId xmlns:a16="http://schemas.microsoft.com/office/drawing/2014/main" id="{EA1C7F8E-5311-4554-9DD8-D5FAB353091A}"/>
            </a:ext>
          </a:extLst>
        </xdr:cNvPr>
        <xdr:cNvSpPr/>
      </xdr:nvSpPr>
      <xdr:spPr>
        <a:xfrm>
          <a:off x="19918807" y="306410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1693</xdr:row>
      <xdr:rowOff>17001</xdr:rowOff>
    </xdr:from>
    <xdr:ext cx="514858" cy="180627"/>
    <xdr:sp macro="_xll.PtreeEvent_ObjectClick" textlink="">
      <xdr:nvSpPr>
        <xdr:cNvPr id="3364" name="PTObj_DBranchName_1_838">
          <a:extLst>
            <a:ext uri="{FF2B5EF4-FFF2-40B4-BE49-F238E27FC236}">
              <a16:creationId xmlns:a16="http://schemas.microsoft.com/office/drawing/2014/main" id="{B7F553D9-DA43-4723-B277-08CAA0BEE36C}"/>
            </a:ext>
          </a:extLst>
        </xdr:cNvPr>
        <xdr:cNvSpPr txBox="1"/>
      </xdr:nvSpPr>
      <xdr:spPr>
        <a:xfrm>
          <a:off x="18768820" y="306407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1695</xdr:row>
      <xdr:rowOff>22540</xdr:rowOff>
    </xdr:from>
    <xdr:to>
      <xdr:col>12</xdr:col>
      <xdr:colOff>136337</xdr:colOff>
      <xdr:row>1696</xdr:row>
      <xdr:rowOff>22540</xdr:rowOff>
    </xdr:to>
    <xdr:sp macro="_xll.PtreeEvent_ObjectClick" textlink="">
      <xdr:nvSpPr>
        <xdr:cNvPr id="3365" name="PTObj_DNode_1_839">
          <a:extLst>
            <a:ext uri="{FF2B5EF4-FFF2-40B4-BE49-F238E27FC236}">
              <a16:creationId xmlns:a16="http://schemas.microsoft.com/office/drawing/2014/main" id="{058B2132-1B53-4904-B5AD-81E42FEE409A}"/>
            </a:ext>
          </a:extLst>
        </xdr:cNvPr>
        <xdr:cNvSpPr/>
      </xdr:nvSpPr>
      <xdr:spPr>
        <a:xfrm rot="-5400000">
          <a:off x="21347557" y="3067723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1695</xdr:row>
      <xdr:rowOff>20821</xdr:rowOff>
    </xdr:from>
    <xdr:ext cx="514858" cy="180627"/>
    <xdr:sp macro="_xll.PtreeEvent_ObjectClick" textlink="">
      <xdr:nvSpPr>
        <xdr:cNvPr id="3368" name="PTObj_DBranchName_1_839">
          <a:extLst>
            <a:ext uri="{FF2B5EF4-FFF2-40B4-BE49-F238E27FC236}">
              <a16:creationId xmlns:a16="http://schemas.microsoft.com/office/drawing/2014/main" id="{0A1FECB6-01F9-4E78-B8EC-DD903FCC38B7}"/>
            </a:ext>
          </a:extLst>
        </xdr:cNvPr>
        <xdr:cNvSpPr txBox="1"/>
      </xdr:nvSpPr>
      <xdr:spPr>
        <a:xfrm>
          <a:off x="20188045" y="3067734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1737</xdr:row>
      <xdr:rowOff>103510</xdr:rowOff>
    </xdr:from>
    <xdr:to>
      <xdr:col>6</xdr:col>
      <xdr:colOff>173482</xdr:colOff>
      <xdr:row>1738</xdr:row>
      <xdr:rowOff>93990</xdr:rowOff>
    </xdr:to>
    <xdr:sp macro="_xll.PtreeEvent_ObjectClick" textlink="">
      <xdr:nvSpPr>
        <xdr:cNvPr id="3369" name="PTObj_DNode_1_860">
          <a:extLst>
            <a:ext uri="{FF2B5EF4-FFF2-40B4-BE49-F238E27FC236}">
              <a16:creationId xmlns:a16="http://schemas.microsoft.com/office/drawing/2014/main" id="{B7C4E31A-963D-4885-8700-9CD05FCE823F}"/>
            </a:ext>
          </a:extLst>
        </xdr:cNvPr>
        <xdr:cNvSpPr/>
      </xdr:nvSpPr>
      <xdr:spPr>
        <a:xfrm>
          <a:off x="12794107" y="31445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1737</xdr:row>
      <xdr:rowOff>102721</xdr:rowOff>
    </xdr:from>
    <xdr:ext cx="566520" cy="180627"/>
    <xdr:sp macro="_xll.PtreeEvent_ObjectClick" textlink="">
      <xdr:nvSpPr>
        <xdr:cNvPr id="3372" name="PTObj_DBranchName_1_860">
          <a:extLst>
            <a:ext uri="{FF2B5EF4-FFF2-40B4-BE49-F238E27FC236}">
              <a16:creationId xmlns:a16="http://schemas.microsoft.com/office/drawing/2014/main" id="{B58CC141-6B3B-49A4-B9A8-7575ED9856AD}"/>
            </a:ext>
          </a:extLst>
        </xdr:cNvPr>
        <xdr:cNvSpPr txBox="1"/>
      </xdr:nvSpPr>
      <xdr:spPr>
        <a:xfrm>
          <a:off x="11646980" y="314456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1717</xdr:row>
      <xdr:rowOff>65410</xdr:rowOff>
    </xdr:from>
    <xdr:to>
      <xdr:col>7</xdr:col>
      <xdr:colOff>171577</xdr:colOff>
      <xdr:row>1718</xdr:row>
      <xdr:rowOff>59700</xdr:rowOff>
    </xdr:to>
    <xdr:sp macro="_xll.PtreeEvent_ObjectClick" textlink="">
      <xdr:nvSpPr>
        <xdr:cNvPr id="3373" name="PTObj_DNode_1_850">
          <a:extLst>
            <a:ext uri="{FF2B5EF4-FFF2-40B4-BE49-F238E27FC236}">
              <a16:creationId xmlns:a16="http://schemas.microsoft.com/office/drawing/2014/main" id="{324E4DDF-1654-4BDC-BA64-05DBEC71694E}"/>
            </a:ext>
          </a:extLst>
        </xdr:cNvPr>
        <xdr:cNvSpPr/>
      </xdr:nvSpPr>
      <xdr:spPr>
        <a:xfrm>
          <a:off x="14219047" y="31079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1717</xdr:row>
      <xdr:rowOff>64621</xdr:rowOff>
    </xdr:from>
    <xdr:ext cx="568424" cy="180627"/>
    <xdr:sp macro="_xll.PtreeEvent_ObjectClick" textlink="">
      <xdr:nvSpPr>
        <xdr:cNvPr id="3376" name="PTObj_DBranchName_1_850">
          <a:extLst>
            <a:ext uri="{FF2B5EF4-FFF2-40B4-BE49-F238E27FC236}">
              <a16:creationId xmlns:a16="http://schemas.microsoft.com/office/drawing/2014/main" id="{39FC2E6F-09F4-4DF2-8AF8-129C1F0ED2E4}"/>
            </a:ext>
          </a:extLst>
        </xdr:cNvPr>
        <xdr:cNvSpPr txBox="1"/>
      </xdr:nvSpPr>
      <xdr:spPr>
        <a:xfrm>
          <a:off x="13072872" y="31079869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1707</xdr:row>
      <xdr:rowOff>46360</xdr:rowOff>
    </xdr:from>
    <xdr:to>
      <xdr:col>8</xdr:col>
      <xdr:colOff>167768</xdr:colOff>
      <xdr:row>1708</xdr:row>
      <xdr:rowOff>53985</xdr:rowOff>
    </xdr:to>
    <xdr:sp macro="_xll.PtreeEvent_ObjectClick" textlink="">
      <xdr:nvSpPr>
        <xdr:cNvPr id="3377" name="PTObj_DNode_1_845">
          <a:extLst>
            <a:ext uri="{FF2B5EF4-FFF2-40B4-BE49-F238E27FC236}">
              <a16:creationId xmlns:a16="http://schemas.microsoft.com/office/drawing/2014/main" id="{F781BD44-ADAE-4704-A9C6-EBDE303F577F}"/>
            </a:ext>
          </a:extLst>
        </xdr:cNvPr>
        <xdr:cNvSpPr/>
      </xdr:nvSpPr>
      <xdr:spPr>
        <a:xfrm>
          <a:off x="15643988" y="30897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1707</xdr:row>
      <xdr:rowOff>49381</xdr:rowOff>
    </xdr:from>
    <xdr:ext cx="566520" cy="180627"/>
    <xdr:sp macro="_xll.PtreeEvent_ObjectClick" textlink="">
      <xdr:nvSpPr>
        <xdr:cNvPr id="3380" name="PTObj_DBranchName_1_845">
          <a:extLst>
            <a:ext uri="{FF2B5EF4-FFF2-40B4-BE49-F238E27FC236}">
              <a16:creationId xmlns:a16="http://schemas.microsoft.com/office/drawing/2014/main" id="{AA1327B5-D09B-4999-8034-F08A8BABE60E}"/>
            </a:ext>
          </a:extLst>
        </xdr:cNvPr>
        <xdr:cNvSpPr txBox="1"/>
      </xdr:nvSpPr>
      <xdr:spPr>
        <a:xfrm>
          <a:off x="14500670" y="3089737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1699</xdr:row>
      <xdr:rowOff>31105</xdr:rowOff>
    </xdr:from>
    <xdr:to>
      <xdr:col>9</xdr:col>
      <xdr:colOff>154432</xdr:colOff>
      <xdr:row>1700</xdr:row>
      <xdr:rowOff>21585</xdr:rowOff>
    </xdr:to>
    <xdr:sp macro="_xll.PtreeEvent_ObjectClick" textlink="">
      <xdr:nvSpPr>
        <xdr:cNvPr id="3381" name="PTObj_DNode_1_841">
          <a:extLst>
            <a:ext uri="{FF2B5EF4-FFF2-40B4-BE49-F238E27FC236}">
              <a16:creationId xmlns:a16="http://schemas.microsoft.com/office/drawing/2014/main" id="{9E076EA8-978D-41CC-8B65-BEBD10A5A3F5}"/>
            </a:ext>
          </a:extLst>
        </xdr:cNvPr>
        <xdr:cNvSpPr/>
      </xdr:nvSpPr>
      <xdr:spPr>
        <a:xfrm>
          <a:off x="17068927" y="307507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1699</xdr:row>
      <xdr:rowOff>30341</xdr:rowOff>
    </xdr:from>
    <xdr:ext cx="566519" cy="180627"/>
    <xdr:sp macro="_xll.PtreeEvent_ObjectClick" textlink="">
      <xdr:nvSpPr>
        <xdr:cNvPr id="3384" name="PTObj_DBranchName_1_841">
          <a:extLst>
            <a:ext uri="{FF2B5EF4-FFF2-40B4-BE49-F238E27FC236}">
              <a16:creationId xmlns:a16="http://schemas.microsoft.com/office/drawing/2014/main" id="{DA19D658-ECA6-4FE4-8086-F6093CE8D06A}"/>
            </a:ext>
          </a:extLst>
        </xdr:cNvPr>
        <xdr:cNvSpPr txBox="1"/>
      </xdr:nvSpPr>
      <xdr:spPr>
        <a:xfrm>
          <a:off x="15922752" y="3075068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1701</xdr:row>
      <xdr:rowOff>34925</xdr:rowOff>
    </xdr:from>
    <xdr:to>
      <xdr:col>10</xdr:col>
      <xdr:colOff>150622</xdr:colOff>
      <xdr:row>1702</xdr:row>
      <xdr:rowOff>36835</xdr:rowOff>
    </xdr:to>
    <xdr:sp macro="_xll.PtreeEvent_ObjectClick" textlink="">
      <xdr:nvSpPr>
        <xdr:cNvPr id="3385" name="PTObj_DNode_1_842">
          <a:extLst>
            <a:ext uri="{FF2B5EF4-FFF2-40B4-BE49-F238E27FC236}">
              <a16:creationId xmlns:a16="http://schemas.microsoft.com/office/drawing/2014/main" id="{D3AA3484-1341-451A-ACA8-C54CEEADED54}"/>
            </a:ext>
          </a:extLst>
        </xdr:cNvPr>
        <xdr:cNvSpPr/>
      </xdr:nvSpPr>
      <xdr:spPr>
        <a:xfrm>
          <a:off x="18493867" y="307873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1701</xdr:row>
      <xdr:rowOff>36041</xdr:rowOff>
    </xdr:from>
    <xdr:ext cx="514857" cy="180627"/>
    <xdr:sp macro="_xll.PtreeEvent_ObjectClick" textlink="">
      <xdr:nvSpPr>
        <xdr:cNvPr id="3388" name="PTObj_DBranchName_1_842">
          <a:extLst>
            <a:ext uri="{FF2B5EF4-FFF2-40B4-BE49-F238E27FC236}">
              <a16:creationId xmlns:a16="http://schemas.microsoft.com/office/drawing/2014/main" id="{BCA7B0CD-1B45-4905-9C99-0259AF979EBE}"/>
            </a:ext>
          </a:extLst>
        </xdr:cNvPr>
        <xdr:cNvSpPr txBox="1"/>
      </xdr:nvSpPr>
      <xdr:spPr>
        <a:xfrm>
          <a:off x="17344834" y="3078745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1703</xdr:row>
      <xdr:rowOff>38745</xdr:rowOff>
    </xdr:from>
    <xdr:to>
      <xdr:col>11</xdr:col>
      <xdr:colOff>135383</xdr:colOff>
      <xdr:row>1704</xdr:row>
      <xdr:rowOff>40655</xdr:rowOff>
    </xdr:to>
    <xdr:sp macro="_xll.PtreeEvent_ObjectClick" textlink="">
      <xdr:nvSpPr>
        <xdr:cNvPr id="3389" name="PTObj_DNode_1_843">
          <a:extLst>
            <a:ext uri="{FF2B5EF4-FFF2-40B4-BE49-F238E27FC236}">
              <a16:creationId xmlns:a16="http://schemas.microsoft.com/office/drawing/2014/main" id="{A93D08F7-7720-4943-80B0-DC50261469AB}"/>
            </a:ext>
          </a:extLst>
        </xdr:cNvPr>
        <xdr:cNvSpPr/>
      </xdr:nvSpPr>
      <xdr:spPr>
        <a:xfrm>
          <a:off x="19918807" y="308239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1703</xdr:row>
      <xdr:rowOff>39861</xdr:rowOff>
    </xdr:from>
    <xdr:ext cx="514858" cy="180627"/>
    <xdr:sp macro="_xll.PtreeEvent_ObjectClick" textlink="">
      <xdr:nvSpPr>
        <xdr:cNvPr id="3392" name="PTObj_DBranchName_1_843">
          <a:extLst>
            <a:ext uri="{FF2B5EF4-FFF2-40B4-BE49-F238E27FC236}">
              <a16:creationId xmlns:a16="http://schemas.microsoft.com/office/drawing/2014/main" id="{6E9B8783-689D-4B81-A6CE-B4C40A21BC12}"/>
            </a:ext>
          </a:extLst>
        </xdr:cNvPr>
        <xdr:cNvSpPr txBox="1"/>
      </xdr:nvSpPr>
      <xdr:spPr>
        <a:xfrm>
          <a:off x="18768820" y="308240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1705</xdr:row>
      <xdr:rowOff>47305</xdr:rowOff>
    </xdr:from>
    <xdr:to>
      <xdr:col>12</xdr:col>
      <xdr:colOff>132527</xdr:colOff>
      <xdr:row>1706</xdr:row>
      <xdr:rowOff>58735</xdr:rowOff>
    </xdr:to>
    <xdr:sp macro="_xll.PtreeEvent_ObjectClick" textlink="">
      <xdr:nvSpPr>
        <xdr:cNvPr id="3393" name="PTObj_DNode_1_844">
          <a:extLst>
            <a:ext uri="{FF2B5EF4-FFF2-40B4-BE49-F238E27FC236}">
              <a16:creationId xmlns:a16="http://schemas.microsoft.com/office/drawing/2014/main" id="{EDDA0E40-72EC-4451-A9D3-345590DB8637}"/>
            </a:ext>
          </a:extLst>
        </xdr:cNvPr>
        <xdr:cNvSpPr/>
      </xdr:nvSpPr>
      <xdr:spPr>
        <a:xfrm rot="-5400000">
          <a:off x="21347557" y="3086068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1705</xdr:row>
      <xdr:rowOff>45586</xdr:rowOff>
    </xdr:from>
    <xdr:ext cx="514858" cy="180627"/>
    <xdr:sp macro="_xll.PtreeEvent_ObjectClick" textlink="">
      <xdr:nvSpPr>
        <xdr:cNvPr id="3396" name="PTObj_DBranchName_1_844">
          <a:extLst>
            <a:ext uri="{FF2B5EF4-FFF2-40B4-BE49-F238E27FC236}">
              <a16:creationId xmlns:a16="http://schemas.microsoft.com/office/drawing/2014/main" id="{6ED9ADC9-7CB3-4391-A994-3F6A14A35988}"/>
            </a:ext>
          </a:extLst>
        </xdr:cNvPr>
        <xdr:cNvSpPr txBox="1"/>
      </xdr:nvSpPr>
      <xdr:spPr>
        <a:xfrm>
          <a:off x="20188045" y="3086079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1709</xdr:row>
      <xdr:rowOff>50155</xdr:rowOff>
    </xdr:from>
    <xdr:to>
      <xdr:col>9</xdr:col>
      <xdr:colOff>154432</xdr:colOff>
      <xdr:row>1710</xdr:row>
      <xdr:rowOff>55875</xdr:rowOff>
    </xdr:to>
    <xdr:sp macro="_xll.PtreeEvent_ObjectClick" textlink="">
      <xdr:nvSpPr>
        <xdr:cNvPr id="3397" name="PTObj_DNode_1_846">
          <a:extLst>
            <a:ext uri="{FF2B5EF4-FFF2-40B4-BE49-F238E27FC236}">
              <a16:creationId xmlns:a16="http://schemas.microsoft.com/office/drawing/2014/main" id="{5AD0770E-5EA2-4947-981E-EF9A133E9D44}"/>
            </a:ext>
          </a:extLst>
        </xdr:cNvPr>
        <xdr:cNvSpPr/>
      </xdr:nvSpPr>
      <xdr:spPr>
        <a:xfrm>
          <a:off x="17068927" y="309336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1709</xdr:row>
      <xdr:rowOff>55106</xdr:rowOff>
    </xdr:from>
    <xdr:ext cx="566520" cy="180627"/>
    <xdr:sp macro="_xll.PtreeEvent_ObjectClick" textlink="">
      <xdr:nvSpPr>
        <xdr:cNvPr id="3400" name="PTObj_DBranchName_1_846">
          <a:extLst>
            <a:ext uri="{FF2B5EF4-FFF2-40B4-BE49-F238E27FC236}">
              <a16:creationId xmlns:a16="http://schemas.microsoft.com/office/drawing/2014/main" id="{6A95C9CB-C8C0-4C73-8B22-EB48C79A29C7}"/>
            </a:ext>
          </a:extLst>
        </xdr:cNvPr>
        <xdr:cNvSpPr txBox="1"/>
      </xdr:nvSpPr>
      <xdr:spPr>
        <a:xfrm>
          <a:off x="15926563" y="3093413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1711</xdr:row>
      <xdr:rowOff>53975</xdr:rowOff>
    </xdr:from>
    <xdr:to>
      <xdr:col>10</xdr:col>
      <xdr:colOff>150622</xdr:colOff>
      <xdr:row>1712</xdr:row>
      <xdr:rowOff>55885</xdr:rowOff>
    </xdr:to>
    <xdr:sp macro="_xll.PtreeEvent_ObjectClick" textlink="">
      <xdr:nvSpPr>
        <xdr:cNvPr id="3401" name="PTObj_DNode_1_847">
          <a:extLst>
            <a:ext uri="{FF2B5EF4-FFF2-40B4-BE49-F238E27FC236}">
              <a16:creationId xmlns:a16="http://schemas.microsoft.com/office/drawing/2014/main" id="{78419935-5BF1-4477-8933-80A1D11960C2}"/>
            </a:ext>
          </a:extLst>
        </xdr:cNvPr>
        <xdr:cNvSpPr/>
      </xdr:nvSpPr>
      <xdr:spPr>
        <a:xfrm>
          <a:off x="18493867" y="309702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1711</xdr:row>
      <xdr:rowOff>58901</xdr:rowOff>
    </xdr:from>
    <xdr:ext cx="514857" cy="180627"/>
    <xdr:sp macro="_xll.PtreeEvent_ObjectClick" textlink="">
      <xdr:nvSpPr>
        <xdr:cNvPr id="3404" name="PTObj_DBranchName_1_847">
          <a:extLst>
            <a:ext uri="{FF2B5EF4-FFF2-40B4-BE49-F238E27FC236}">
              <a16:creationId xmlns:a16="http://schemas.microsoft.com/office/drawing/2014/main" id="{85A20721-F37D-47A3-A0B9-52E84313DD5C}"/>
            </a:ext>
          </a:extLst>
        </xdr:cNvPr>
        <xdr:cNvSpPr txBox="1"/>
      </xdr:nvSpPr>
      <xdr:spPr>
        <a:xfrm>
          <a:off x="17344834" y="3097071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1713</xdr:row>
      <xdr:rowOff>57795</xdr:rowOff>
    </xdr:from>
    <xdr:to>
      <xdr:col>11</xdr:col>
      <xdr:colOff>135383</xdr:colOff>
      <xdr:row>1714</xdr:row>
      <xdr:rowOff>55895</xdr:rowOff>
    </xdr:to>
    <xdr:sp macro="_xll.PtreeEvent_ObjectClick" textlink="">
      <xdr:nvSpPr>
        <xdr:cNvPr id="3405" name="PTObj_DNode_1_848">
          <a:extLst>
            <a:ext uri="{FF2B5EF4-FFF2-40B4-BE49-F238E27FC236}">
              <a16:creationId xmlns:a16="http://schemas.microsoft.com/office/drawing/2014/main" id="{9957F11F-6A50-43AC-B440-1C7ABC9BFED5}"/>
            </a:ext>
          </a:extLst>
        </xdr:cNvPr>
        <xdr:cNvSpPr/>
      </xdr:nvSpPr>
      <xdr:spPr>
        <a:xfrm>
          <a:off x="19918807" y="310067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1713</xdr:row>
      <xdr:rowOff>55101</xdr:rowOff>
    </xdr:from>
    <xdr:ext cx="514858" cy="180627"/>
    <xdr:sp macro="_xll.PtreeEvent_ObjectClick" textlink="">
      <xdr:nvSpPr>
        <xdr:cNvPr id="3408" name="PTObj_DBranchName_1_848">
          <a:extLst>
            <a:ext uri="{FF2B5EF4-FFF2-40B4-BE49-F238E27FC236}">
              <a16:creationId xmlns:a16="http://schemas.microsoft.com/office/drawing/2014/main" id="{EFDAD52A-5FA4-40E1-8DD1-0C7AE883AE21}"/>
            </a:ext>
          </a:extLst>
        </xdr:cNvPr>
        <xdr:cNvSpPr txBox="1"/>
      </xdr:nvSpPr>
      <xdr:spPr>
        <a:xfrm>
          <a:off x="18768820" y="310065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1715</xdr:row>
      <xdr:rowOff>60640</xdr:rowOff>
    </xdr:from>
    <xdr:to>
      <xdr:col>12</xdr:col>
      <xdr:colOff>132527</xdr:colOff>
      <xdr:row>1716</xdr:row>
      <xdr:rowOff>56830</xdr:rowOff>
    </xdr:to>
    <xdr:sp macro="_xll.PtreeEvent_ObjectClick" textlink="">
      <xdr:nvSpPr>
        <xdr:cNvPr id="3409" name="PTObj_DNode_1_849">
          <a:extLst>
            <a:ext uri="{FF2B5EF4-FFF2-40B4-BE49-F238E27FC236}">
              <a16:creationId xmlns:a16="http://schemas.microsoft.com/office/drawing/2014/main" id="{C9966ABB-85DE-48B2-9C51-18E68631542D}"/>
            </a:ext>
          </a:extLst>
        </xdr:cNvPr>
        <xdr:cNvSpPr/>
      </xdr:nvSpPr>
      <xdr:spPr>
        <a:xfrm rot="-5400000">
          <a:off x="21347557" y="3104299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1715</xdr:row>
      <xdr:rowOff>58921</xdr:rowOff>
    </xdr:from>
    <xdr:ext cx="514858" cy="180627"/>
    <xdr:sp macro="_xll.PtreeEvent_ObjectClick" textlink="">
      <xdr:nvSpPr>
        <xdr:cNvPr id="3412" name="PTObj_DBranchName_1_849">
          <a:extLst>
            <a:ext uri="{FF2B5EF4-FFF2-40B4-BE49-F238E27FC236}">
              <a16:creationId xmlns:a16="http://schemas.microsoft.com/office/drawing/2014/main" id="{5EE1545C-C500-4E6B-80C5-A59F2E4232C5}"/>
            </a:ext>
          </a:extLst>
        </xdr:cNvPr>
        <xdr:cNvSpPr txBox="1"/>
      </xdr:nvSpPr>
      <xdr:spPr>
        <a:xfrm>
          <a:off x="20188045" y="310431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1727</xdr:row>
      <xdr:rowOff>84460</xdr:rowOff>
    </xdr:from>
    <xdr:to>
      <xdr:col>8</xdr:col>
      <xdr:colOff>171578</xdr:colOff>
      <xdr:row>1728</xdr:row>
      <xdr:rowOff>95895</xdr:rowOff>
    </xdr:to>
    <xdr:sp macro="_xll.PtreeEvent_ObjectClick" textlink="">
      <xdr:nvSpPr>
        <xdr:cNvPr id="3413" name="PTObj_DNode_1_855">
          <a:extLst>
            <a:ext uri="{FF2B5EF4-FFF2-40B4-BE49-F238E27FC236}">
              <a16:creationId xmlns:a16="http://schemas.microsoft.com/office/drawing/2014/main" id="{0C214CD9-3909-455E-9446-19F240F4AFDD}"/>
            </a:ext>
          </a:extLst>
        </xdr:cNvPr>
        <xdr:cNvSpPr/>
      </xdr:nvSpPr>
      <xdr:spPr>
        <a:xfrm>
          <a:off x="15643988" y="312628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1727</xdr:row>
      <xdr:rowOff>87481</xdr:rowOff>
    </xdr:from>
    <xdr:ext cx="566520" cy="180627"/>
    <xdr:sp macro="_xll.PtreeEvent_ObjectClick" textlink="">
      <xdr:nvSpPr>
        <xdr:cNvPr id="3416" name="PTObj_DBranchName_1_855">
          <a:extLst>
            <a:ext uri="{FF2B5EF4-FFF2-40B4-BE49-F238E27FC236}">
              <a16:creationId xmlns:a16="http://schemas.microsoft.com/office/drawing/2014/main" id="{8CF0F46D-A809-4D9A-967D-8D7E11AA35A1}"/>
            </a:ext>
          </a:extLst>
        </xdr:cNvPr>
        <xdr:cNvSpPr txBox="1"/>
      </xdr:nvSpPr>
      <xdr:spPr>
        <a:xfrm>
          <a:off x="14498765" y="3126313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1719</xdr:row>
      <xdr:rowOff>69205</xdr:rowOff>
    </xdr:from>
    <xdr:to>
      <xdr:col>9</xdr:col>
      <xdr:colOff>154432</xdr:colOff>
      <xdr:row>1720</xdr:row>
      <xdr:rowOff>55875</xdr:rowOff>
    </xdr:to>
    <xdr:sp macro="_xll.PtreeEvent_ObjectClick" textlink="">
      <xdr:nvSpPr>
        <xdr:cNvPr id="3417" name="PTObj_DNode_1_851">
          <a:extLst>
            <a:ext uri="{FF2B5EF4-FFF2-40B4-BE49-F238E27FC236}">
              <a16:creationId xmlns:a16="http://schemas.microsoft.com/office/drawing/2014/main" id="{02B65140-B322-4B80-B3C3-8ED0F0045252}"/>
            </a:ext>
          </a:extLst>
        </xdr:cNvPr>
        <xdr:cNvSpPr/>
      </xdr:nvSpPr>
      <xdr:spPr>
        <a:xfrm>
          <a:off x="17068927" y="311165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1719</xdr:row>
      <xdr:rowOff>68441</xdr:rowOff>
    </xdr:from>
    <xdr:ext cx="566519" cy="180627"/>
    <xdr:sp macro="_xll.PtreeEvent_ObjectClick" textlink="">
      <xdr:nvSpPr>
        <xdr:cNvPr id="3420" name="PTObj_DBranchName_1_851">
          <a:extLst>
            <a:ext uri="{FF2B5EF4-FFF2-40B4-BE49-F238E27FC236}">
              <a16:creationId xmlns:a16="http://schemas.microsoft.com/office/drawing/2014/main" id="{D742F7BA-7B24-4D3A-8348-D2EAC132EE74}"/>
            </a:ext>
          </a:extLst>
        </xdr:cNvPr>
        <xdr:cNvSpPr txBox="1"/>
      </xdr:nvSpPr>
      <xdr:spPr>
        <a:xfrm>
          <a:off x="15922752" y="3111644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1721</xdr:row>
      <xdr:rowOff>73025</xdr:rowOff>
    </xdr:from>
    <xdr:to>
      <xdr:col>10</xdr:col>
      <xdr:colOff>150622</xdr:colOff>
      <xdr:row>1722</xdr:row>
      <xdr:rowOff>74935</xdr:rowOff>
    </xdr:to>
    <xdr:sp macro="_xll.PtreeEvent_ObjectClick" textlink="">
      <xdr:nvSpPr>
        <xdr:cNvPr id="3421" name="PTObj_DNode_1_852">
          <a:extLst>
            <a:ext uri="{FF2B5EF4-FFF2-40B4-BE49-F238E27FC236}">
              <a16:creationId xmlns:a16="http://schemas.microsoft.com/office/drawing/2014/main" id="{675B6AE4-FD8B-48BF-979D-13395C1E64AB}"/>
            </a:ext>
          </a:extLst>
        </xdr:cNvPr>
        <xdr:cNvSpPr/>
      </xdr:nvSpPr>
      <xdr:spPr>
        <a:xfrm>
          <a:off x="18493867" y="311531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1721</xdr:row>
      <xdr:rowOff>74141</xdr:rowOff>
    </xdr:from>
    <xdr:ext cx="514857" cy="180627"/>
    <xdr:sp macro="_xll.PtreeEvent_ObjectClick" textlink="">
      <xdr:nvSpPr>
        <xdr:cNvPr id="3424" name="PTObj_DBranchName_1_852">
          <a:extLst>
            <a:ext uri="{FF2B5EF4-FFF2-40B4-BE49-F238E27FC236}">
              <a16:creationId xmlns:a16="http://schemas.microsoft.com/office/drawing/2014/main" id="{8B88B20D-0D9F-4D3F-9F16-CD9FB15F55B5}"/>
            </a:ext>
          </a:extLst>
        </xdr:cNvPr>
        <xdr:cNvSpPr txBox="1"/>
      </xdr:nvSpPr>
      <xdr:spPr>
        <a:xfrm>
          <a:off x="17344834" y="3115321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1723</xdr:row>
      <xdr:rowOff>76845</xdr:rowOff>
    </xdr:from>
    <xdr:to>
      <xdr:col>11</xdr:col>
      <xdr:colOff>131573</xdr:colOff>
      <xdr:row>1724</xdr:row>
      <xdr:rowOff>78755</xdr:rowOff>
    </xdr:to>
    <xdr:sp macro="_xll.PtreeEvent_ObjectClick" textlink="">
      <xdr:nvSpPr>
        <xdr:cNvPr id="3425" name="PTObj_DNode_1_853">
          <a:extLst>
            <a:ext uri="{FF2B5EF4-FFF2-40B4-BE49-F238E27FC236}">
              <a16:creationId xmlns:a16="http://schemas.microsoft.com/office/drawing/2014/main" id="{E89AE35D-0401-498B-A32F-DEC23517DE08}"/>
            </a:ext>
          </a:extLst>
        </xdr:cNvPr>
        <xdr:cNvSpPr/>
      </xdr:nvSpPr>
      <xdr:spPr>
        <a:xfrm>
          <a:off x="19918807" y="311896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1723</xdr:row>
      <xdr:rowOff>77961</xdr:rowOff>
    </xdr:from>
    <xdr:ext cx="514858" cy="180627"/>
    <xdr:sp macro="_xll.PtreeEvent_ObjectClick" textlink="">
      <xdr:nvSpPr>
        <xdr:cNvPr id="3428" name="PTObj_DBranchName_1_853">
          <a:extLst>
            <a:ext uri="{FF2B5EF4-FFF2-40B4-BE49-F238E27FC236}">
              <a16:creationId xmlns:a16="http://schemas.microsoft.com/office/drawing/2014/main" id="{9268C4C8-3387-4E51-99F5-307B081A3673}"/>
            </a:ext>
          </a:extLst>
        </xdr:cNvPr>
        <xdr:cNvSpPr txBox="1"/>
      </xdr:nvSpPr>
      <xdr:spPr>
        <a:xfrm>
          <a:off x="18768820" y="311897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1725</xdr:row>
      <xdr:rowOff>85405</xdr:rowOff>
    </xdr:from>
    <xdr:to>
      <xdr:col>12</xdr:col>
      <xdr:colOff>136337</xdr:colOff>
      <xdr:row>1726</xdr:row>
      <xdr:rowOff>93025</xdr:rowOff>
    </xdr:to>
    <xdr:sp macro="_xll.PtreeEvent_ObjectClick" textlink="">
      <xdr:nvSpPr>
        <xdr:cNvPr id="3429" name="PTObj_DNode_1_854">
          <a:extLst>
            <a:ext uri="{FF2B5EF4-FFF2-40B4-BE49-F238E27FC236}">
              <a16:creationId xmlns:a16="http://schemas.microsoft.com/office/drawing/2014/main" id="{60FF6B78-6089-4217-B83C-A2EC96BCE9DB}"/>
            </a:ext>
          </a:extLst>
        </xdr:cNvPr>
        <xdr:cNvSpPr/>
      </xdr:nvSpPr>
      <xdr:spPr>
        <a:xfrm rot="-5400000">
          <a:off x="21347557" y="3122644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1725</xdr:row>
      <xdr:rowOff>83686</xdr:rowOff>
    </xdr:from>
    <xdr:ext cx="514858" cy="180627"/>
    <xdr:sp macro="_xll.PtreeEvent_ObjectClick" textlink="">
      <xdr:nvSpPr>
        <xdr:cNvPr id="3432" name="PTObj_DBranchName_1_854">
          <a:extLst>
            <a:ext uri="{FF2B5EF4-FFF2-40B4-BE49-F238E27FC236}">
              <a16:creationId xmlns:a16="http://schemas.microsoft.com/office/drawing/2014/main" id="{24719CD3-EFE6-48C9-8C19-63B659349A11}"/>
            </a:ext>
          </a:extLst>
        </xdr:cNvPr>
        <xdr:cNvSpPr txBox="1"/>
      </xdr:nvSpPr>
      <xdr:spPr>
        <a:xfrm>
          <a:off x="20188045" y="312265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1729</xdr:row>
      <xdr:rowOff>88255</xdr:rowOff>
    </xdr:from>
    <xdr:to>
      <xdr:col>9</xdr:col>
      <xdr:colOff>154432</xdr:colOff>
      <xdr:row>1730</xdr:row>
      <xdr:rowOff>97785</xdr:rowOff>
    </xdr:to>
    <xdr:sp macro="_xll.PtreeEvent_ObjectClick" textlink="">
      <xdr:nvSpPr>
        <xdr:cNvPr id="3433" name="PTObj_DNode_1_856">
          <a:extLst>
            <a:ext uri="{FF2B5EF4-FFF2-40B4-BE49-F238E27FC236}">
              <a16:creationId xmlns:a16="http://schemas.microsoft.com/office/drawing/2014/main" id="{566F6916-7453-44C5-88E3-805DEFD5BF97}"/>
            </a:ext>
          </a:extLst>
        </xdr:cNvPr>
        <xdr:cNvSpPr/>
      </xdr:nvSpPr>
      <xdr:spPr>
        <a:xfrm>
          <a:off x="17068927" y="312994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1729</xdr:row>
      <xdr:rowOff>93206</xdr:rowOff>
    </xdr:from>
    <xdr:ext cx="566520" cy="180627"/>
    <xdr:sp macro="_xll.PtreeEvent_ObjectClick" textlink="">
      <xdr:nvSpPr>
        <xdr:cNvPr id="3436" name="PTObj_DBranchName_1_856">
          <a:extLst>
            <a:ext uri="{FF2B5EF4-FFF2-40B4-BE49-F238E27FC236}">
              <a16:creationId xmlns:a16="http://schemas.microsoft.com/office/drawing/2014/main" id="{542F2E0F-192F-44F8-8F4B-7AB8C18CD5FF}"/>
            </a:ext>
          </a:extLst>
        </xdr:cNvPr>
        <xdr:cNvSpPr txBox="1"/>
      </xdr:nvSpPr>
      <xdr:spPr>
        <a:xfrm>
          <a:off x="15926563" y="3129989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1731</xdr:row>
      <xdr:rowOff>92075</xdr:rowOff>
    </xdr:from>
    <xdr:to>
      <xdr:col>10</xdr:col>
      <xdr:colOff>150622</xdr:colOff>
      <xdr:row>1732</xdr:row>
      <xdr:rowOff>97795</xdr:rowOff>
    </xdr:to>
    <xdr:sp macro="_xll.PtreeEvent_ObjectClick" textlink="">
      <xdr:nvSpPr>
        <xdr:cNvPr id="3437" name="PTObj_DNode_1_857">
          <a:extLst>
            <a:ext uri="{FF2B5EF4-FFF2-40B4-BE49-F238E27FC236}">
              <a16:creationId xmlns:a16="http://schemas.microsoft.com/office/drawing/2014/main" id="{2EF2F046-20C4-4E7F-B523-91ABBFA66C66}"/>
            </a:ext>
          </a:extLst>
        </xdr:cNvPr>
        <xdr:cNvSpPr/>
      </xdr:nvSpPr>
      <xdr:spPr>
        <a:xfrm>
          <a:off x="18493867" y="313359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1731</xdr:row>
      <xdr:rowOff>97001</xdr:rowOff>
    </xdr:from>
    <xdr:ext cx="514857" cy="180627"/>
    <xdr:sp macro="_xll.PtreeEvent_ObjectClick" textlink="">
      <xdr:nvSpPr>
        <xdr:cNvPr id="3440" name="PTObj_DBranchName_1_857">
          <a:extLst>
            <a:ext uri="{FF2B5EF4-FFF2-40B4-BE49-F238E27FC236}">
              <a16:creationId xmlns:a16="http://schemas.microsoft.com/office/drawing/2014/main" id="{C05ACE24-E0F5-4A21-8065-AA94C89A66C6}"/>
            </a:ext>
          </a:extLst>
        </xdr:cNvPr>
        <xdr:cNvSpPr txBox="1"/>
      </xdr:nvSpPr>
      <xdr:spPr>
        <a:xfrm>
          <a:off x="17344834" y="3133647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1733</xdr:row>
      <xdr:rowOff>95895</xdr:rowOff>
    </xdr:from>
    <xdr:to>
      <xdr:col>11</xdr:col>
      <xdr:colOff>131573</xdr:colOff>
      <xdr:row>1734</xdr:row>
      <xdr:rowOff>97805</xdr:rowOff>
    </xdr:to>
    <xdr:sp macro="_xll.PtreeEvent_ObjectClick" textlink="">
      <xdr:nvSpPr>
        <xdr:cNvPr id="3441" name="PTObj_DNode_1_858">
          <a:extLst>
            <a:ext uri="{FF2B5EF4-FFF2-40B4-BE49-F238E27FC236}">
              <a16:creationId xmlns:a16="http://schemas.microsoft.com/office/drawing/2014/main" id="{F383C62E-D75B-489E-B2B8-6FADAA447168}"/>
            </a:ext>
          </a:extLst>
        </xdr:cNvPr>
        <xdr:cNvSpPr/>
      </xdr:nvSpPr>
      <xdr:spPr>
        <a:xfrm>
          <a:off x="19918807" y="313725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1733</xdr:row>
      <xdr:rowOff>93201</xdr:rowOff>
    </xdr:from>
    <xdr:ext cx="514858" cy="180627"/>
    <xdr:sp macro="_xll.PtreeEvent_ObjectClick" textlink="">
      <xdr:nvSpPr>
        <xdr:cNvPr id="3444" name="PTObj_DBranchName_1_858">
          <a:extLst>
            <a:ext uri="{FF2B5EF4-FFF2-40B4-BE49-F238E27FC236}">
              <a16:creationId xmlns:a16="http://schemas.microsoft.com/office/drawing/2014/main" id="{CA4867C7-ABD4-465C-A09A-6E1C65441D43}"/>
            </a:ext>
          </a:extLst>
        </xdr:cNvPr>
        <xdr:cNvSpPr txBox="1"/>
      </xdr:nvSpPr>
      <xdr:spPr>
        <a:xfrm>
          <a:off x="18768820" y="313722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1735</xdr:row>
      <xdr:rowOff>98740</xdr:rowOff>
    </xdr:from>
    <xdr:to>
      <xdr:col>12</xdr:col>
      <xdr:colOff>136337</xdr:colOff>
      <xdr:row>1736</xdr:row>
      <xdr:rowOff>98740</xdr:rowOff>
    </xdr:to>
    <xdr:sp macro="_xll.PtreeEvent_ObjectClick" textlink="">
      <xdr:nvSpPr>
        <xdr:cNvPr id="3445" name="PTObj_DNode_1_859">
          <a:extLst>
            <a:ext uri="{FF2B5EF4-FFF2-40B4-BE49-F238E27FC236}">
              <a16:creationId xmlns:a16="http://schemas.microsoft.com/office/drawing/2014/main" id="{E0788A0B-3FCE-4633-AE60-3BE86E240161}"/>
            </a:ext>
          </a:extLst>
        </xdr:cNvPr>
        <xdr:cNvSpPr/>
      </xdr:nvSpPr>
      <xdr:spPr>
        <a:xfrm rot="-5400000">
          <a:off x="21347557" y="3140875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1735</xdr:row>
      <xdr:rowOff>97021</xdr:rowOff>
    </xdr:from>
    <xdr:ext cx="514858" cy="180627"/>
    <xdr:sp macro="_xll.PtreeEvent_ObjectClick" textlink="">
      <xdr:nvSpPr>
        <xdr:cNvPr id="3448" name="PTObj_DBranchName_1_859">
          <a:extLst>
            <a:ext uri="{FF2B5EF4-FFF2-40B4-BE49-F238E27FC236}">
              <a16:creationId xmlns:a16="http://schemas.microsoft.com/office/drawing/2014/main" id="{B35338C7-3B9C-428C-A410-99C086B2BB3B}"/>
            </a:ext>
          </a:extLst>
        </xdr:cNvPr>
        <xdr:cNvSpPr txBox="1"/>
      </xdr:nvSpPr>
      <xdr:spPr>
        <a:xfrm>
          <a:off x="20188045" y="314088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1757</xdr:row>
      <xdr:rowOff>141610</xdr:rowOff>
    </xdr:from>
    <xdr:to>
      <xdr:col>7</xdr:col>
      <xdr:colOff>167767</xdr:colOff>
      <xdr:row>1758</xdr:row>
      <xdr:rowOff>132090</xdr:rowOff>
    </xdr:to>
    <xdr:sp macro="_xll.PtreeEvent_ObjectClick" textlink="">
      <xdr:nvSpPr>
        <xdr:cNvPr id="3449" name="PTObj_DNode_1_870">
          <a:extLst>
            <a:ext uri="{FF2B5EF4-FFF2-40B4-BE49-F238E27FC236}">
              <a16:creationId xmlns:a16="http://schemas.microsoft.com/office/drawing/2014/main" id="{21E68BF4-CEE0-49F8-A7F7-CEDA99EF9D45}"/>
            </a:ext>
          </a:extLst>
        </xdr:cNvPr>
        <xdr:cNvSpPr/>
      </xdr:nvSpPr>
      <xdr:spPr>
        <a:xfrm>
          <a:off x="14219047" y="318114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1757</xdr:row>
      <xdr:rowOff>140821</xdr:rowOff>
    </xdr:from>
    <xdr:ext cx="566520" cy="180627"/>
    <xdr:sp macro="_xll.PtreeEvent_ObjectClick" textlink="">
      <xdr:nvSpPr>
        <xdr:cNvPr id="3452" name="PTObj_DBranchName_1_870">
          <a:extLst>
            <a:ext uri="{FF2B5EF4-FFF2-40B4-BE49-F238E27FC236}">
              <a16:creationId xmlns:a16="http://schemas.microsoft.com/office/drawing/2014/main" id="{0776085F-E679-473F-A01C-6DA13C8C4034}"/>
            </a:ext>
          </a:extLst>
        </xdr:cNvPr>
        <xdr:cNvSpPr txBox="1"/>
      </xdr:nvSpPr>
      <xdr:spPr>
        <a:xfrm>
          <a:off x="13074777" y="318113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1747</xdr:row>
      <xdr:rowOff>122560</xdr:rowOff>
    </xdr:from>
    <xdr:to>
      <xdr:col>8</xdr:col>
      <xdr:colOff>171578</xdr:colOff>
      <xdr:row>1748</xdr:row>
      <xdr:rowOff>133995</xdr:rowOff>
    </xdr:to>
    <xdr:sp macro="_xll.PtreeEvent_ObjectClick" textlink="">
      <xdr:nvSpPr>
        <xdr:cNvPr id="3453" name="PTObj_DNode_1_865">
          <a:extLst>
            <a:ext uri="{FF2B5EF4-FFF2-40B4-BE49-F238E27FC236}">
              <a16:creationId xmlns:a16="http://schemas.microsoft.com/office/drawing/2014/main" id="{F5F2D111-BB54-4897-96F4-4FA5660A71EF}"/>
            </a:ext>
          </a:extLst>
        </xdr:cNvPr>
        <xdr:cNvSpPr/>
      </xdr:nvSpPr>
      <xdr:spPr>
        <a:xfrm>
          <a:off x="15643988" y="31628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1747</xdr:row>
      <xdr:rowOff>125581</xdr:rowOff>
    </xdr:from>
    <xdr:ext cx="566520" cy="180627"/>
    <xdr:sp macro="_xll.PtreeEvent_ObjectClick" textlink="">
      <xdr:nvSpPr>
        <xdr:cNvPr id="3456" name="PTObj_DBranchName_1_865">
          <a:extLst>
            <a:ext uri="{FF2B5EF4-FFF2-40B4-BE49-F238E27FC236}">
              <a16:creationId xmlns:a16="http://schemas.microsoft.com/office/drawing/2014/main" id="{60C6C898-7457-4546-9FD4-5727A397DE74}"/>
            </a:ext>
          </a:extLst>
        </xdr:cNvPr>
        <xdr:cNvSpPr txBox="1"/>
      </xdr:nvSpPr>
      <xdr:spPr>
        <a:xfrm>
          <a:off x="14500670" y="316288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1739</xdr:row>
      <xdr:rowOff>107305</xdr:rowOff>
    </xdr:from>
    <xdr:to>
      <xdr:col>9</xdr:col>
      <xdr:colOff>154432</xdr:colOff>
      <xdr:row>1740</xdr:row>
      <xdr:rowOff>93975</xdr:rowOff>
    </xdr:to>
    <xdr:sp macro="_xll.PtreeEvent_ObjectClick" textlink="">
      <xdr:nvSpPr>
        <xdr:cNvPr id="3457" name="PTObj_DNode_1_861">
          <a:extLst>
            <a:ext uri="{FF2B5EF4-FFF2-40B4-BE49-F238E27FC236}">
              <a16:creationId xmlns:a16="http://schemas.microsoft.com/office/drawing/2014/main" id="{5E77E279-05EC-42DA-A186-170015589AFD}"/>
            </a:ext>
          </a:extLst>
        </xdr:cNvPr>
        <xdr:cNvSpPr/>
      </xdr:nvSpPr>
      <xdr:spPr>
        <a:xfrm>
          <a:off x="17068927" y="314822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1739</xdr:row>
      <xdr:rowOff>106541</xdr:rowOff>
    </xdr:from>
    <xdr:ext cx="566519" cy="180627"/>
    <xdr:sp macro="_xll.PtreeEvent_ObjectClick" textlink="">
      <xdr:nvSpPr>
        <xdr:cNvPr id="3460" name="PTObj_DBranchName_1_861">
          <a:extLst>
            <a:ext uri="{FF2B5EF4-FFF2-40B4-BE49-F238E27FC236}">
              <a16:creationId xmlns:a16="http://schemas.microsoft.com/office/drawing/2014/main" id="{BC66A30E-C9FD-4061-B6E6-575F5131CDEF}"/>
            </a:ext>
          </a:extLst>
        </xdr:cNvPr>
        <xdr:cNvSpPr txBox="1"/>
      </xdr:nvSpPr>
      <xdr:spPr>
        <a:xfrm>
          <a:off x="15922752" y="3148220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1741</xdr:row>
      <xdr:rowOff>111125</xdr:rowOff>
    </xdr:from>
    <xdr:to>
      <xdr:col>10</xdr:col>
      <xdr:colOff>150622</xdr:colOff>
      <xdr:row>1742</xdr:row>
      <xdr:rowOff>113035</xdr:rowOff>
    </xdr:to>
    <xdr:sp macro="_xll.PtreeEvent_ObjectClick" textlink="">
      <xdr:nvSpPr>
        <xdr:cNvPr id="3461" name="PTObj_DNode_1_862">
          <a:extLst>
            <a:ext uri="{FF2B5EF4-FFF2-40B4-BE49-F238E27FC236}">
              <a16:creationId xmlns:a16="http://schemas.microsoft.com/office/drawing/2014/main" id="{F09CAF42-18E4-46D3-9567-4076502D5E54}"/>
            </a:ext>
          </a:extLst>
        </xdr:cNvPr>
        <xdr:cNvSpPr/>
      </xdr:nvSpPr>
      <xdr:spPr>
        <a:xfrm>
          <a:off x="18493867" y="315188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1741</xdr:row>
      <xdr:rowOff>112241</xdr:rowOff>
    </xdr:from>
    <xdr:ext cx="514857" cy="180627"/>
    <xdr:sp macro="_xll.PtreeEvent_ObjectClick" textlink="">
      <xdr:nvSpPr>
        <xdr:cNvPr id="3464" name="PTObj_DBranchName_1_862">
          <a:extLst>
            <a:ext uri="{FF2B5EF4-FFF2-40B4-BE49-F238E27FC236}">
              <a16:creationId xmlns:a16="http://schemas.microsoft.com/office/drawing/2014/main" id="{F2B73BF5-6671-4499-9321-C54413381C3D}"/>
            </a:ext>
          </a:extLst>
        </xdr:cNvPr>
        <xdr:cNvSpPr txBox="1"/>
      </xdr:nvSpPr>
      <xdr:spPr>
        <a:xfrm>
          <a:off x="17344834" y="3151897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1743</xdr:row>
      <xdr:rowOff>114945</xdr:rowOff>
    </xdr:from>
    <xdr:to>
      <xdr:col>11</xdr:col>
      <xdr:colOff>131573</xdr:colOff>
      <xdr:row>1744</xdr:row>
      <xdr:rowOff>116855</xdr:rowOff>
    </xdr:to>
    <xdr:sp macro="_xll.PtreeEvent_ObjectClick" textlink="">
      <xdr:nvSpPr>
        <xdr:cNvPr id="3465" name="PTObj_DNode_1_863">
          <a:extLst>
            <a:ext uri="{FF2B5EF4-FFF2-40B4-BE49-F238E27FC236}">
              <a16:creationId xmlns:a16="http://schemas.microsoft.com/office/drawing/2014/main" id="{5D6558E1-C829-47D7-9CB1-C731715EE155}"/>
            </a:ext>
          </a:extLst>
        </xdr:cNvPr>
        <xdr:cNvSpPr/>
      </xdr:nvSpPr>
      <xdr:spPr>
        <a:xfrm>
          <a:off x="19918807" y="315554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1743</xdr:row>
      <xdr:rowOff>116061</xdr:rowOff>
    </xdr:from>
    <xdr:ext cx="514858" cy="180627"/>
    <xdr:sp macro="_xll.PtreeEvent_ObjectClick" textlink="">
      <xdr:nvSpPr>
        <xdr:cNvPr id="3468" name="PTObj_DBranchName_1_863">
          <a:extLst>
            <a:ext uri="{FF2B5EF4-FFF2-40B4-BE49-F238E27FC236}">
              <a16:creationId xmlns:a16="http://schemas.microsoft.com/office/drawing/2014/main" id="{FBEF2558-5C8E-4F0E-8C36-132C0605ACAD}"/>
            </a:ext>
          </a:extLst>
        </xdr:cNvPr>
        <xdr:cNvSpPr txBox="1"/>
      </xdr:nvSpPr>
      <xdr:spPr>
        <a:xfrm>
          <a:off x="18768820" y="315555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1745</xdr:row>
      <xdr:rowOff>123505</xdr:rowOff>
    </xdr:from>
    <xdr:to>
      <xdr:col>12</xdr:col>
      <xdr:colOff>136337</xdr:colOff>
      <xdr:row>1746</xdr:row>
      <xdr:rowOff>131125</xdr:rowOff>
    </xdr:to>
    <xdr:sp macro="_xll.PtreeEvent_ObjectClick" textlink="">
      <xdr:nvSpPr>
        <xdr:cNvPr id="3469" name="PTObj_DNode_1_864">
          <a:extLst>
            <a:ext uri="{FF2B5EF4-FFF2-40B4-BE49-F238E27FC236}">
              <a16:creationId xmlns:a16="http://schemas.microsoft.com/office/drawing/2014/main" id="{D94F8C53-CAEE-4AE8-9EC2-6D04A7591214}"/>
            </a:ext>
          </a:extLst>
        </xdr:cNvPr>
        <xdr:cNvSpPr/>
      </xdr:nvSpPr>
      <xdr:spPr>
        <a:xfrm rot="-5400000">
          <a:off x="21347557" y="3159220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1745</xdr:row>
      <xdr:rowOff>121786</xdr:rowOff>
    </xdr:from>
    <xdr:ext cx="514858" cy="180627"/>
    <xdr:sp macro="_xll.PtreeEvent_ObjectClick" textlink="">
      <xdr:nvSpPr>
        <xdr:cNvPr id="3472" name="PTObj_DBranchName_1_864">
          <a:extLst>
            <a:ext uri="{FF2B5EF4-FFF2-40B4-BE49-F238E27FC236}">
              <a16:creationId xmlns:a16="http://schemas.microsoft.com/office/drawing/2014/main" id="{6409488C-1CF7-4316-B408-048A5B3F8450}"/>
            </a:ext>
          </a:extLst>
        </xdr:cNvPr>
        <xdr:cNvSpPr txBox="1"/>
      </xdr:nvSpPr>
      <xdr:spPr>
        <a:xfrm>
          <a:off x="20188045" y="3159231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1749</xdr:row>
      <xdr:rowOff>126355</xdr:rowOff>
    </xdr:from>
    <xdr:to>
      <xdr:col>9</xdr:col>
      <xdr:colOff>154432</xdr:colOff>
      <xdr:row>1750</xdr:row>
      <xdr:rowOff>135885</xdr:rowOff>
    </xdr:to>
    <xdr:sp macro="_xll.PtreeEvent_ObjectClick" textlink="">
      <xdr:nvSpPr>
        <xdr:cNvPr id="3473" name="PTObj_DNode_1_866">
          <a:extLst>
            <a:ext uri="{FF2B5EF4-FFF2-40B4-BE49-F238E27FC236}">
              <a16:creationId xmlns:a16="http://schemas.microsoft.com/office/drawing/2014/main" id="{EB01B8BE-BFD8-4B5E-83EF-FECF6EFE1BFB}"/>
            </a:ext>
          </a:extLst>
        </xdr:cNvPr>
        <xdr:cNvSpPr/>
      </xdr:nvSpPr>
      <xdr:spPr>
        <a:xfrm>
          <a:off x="17068927" y="316651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1749</xdr:row>
      <xdr:rowOff>131306</xdr:rowOff>
    </xdr:from>
    <xdr:ext cx="566520" cy="180627"/>
    <xdr:sp macro="_xll.PtreeEvent_ObjectClick" textlink="">
      <xdr:nvSpPr>
        <xdr:cNvPr id="3476" name="PTObj_DBranchName_1_866">
          <a:extLst>
            <a:ext uri="{FF2B5EF4-FFF2-40B4-BE49-F238E27FC236}">
              <a16:creationId xmlns:a16="http://schemas.microsoft.com/office/drawing/2014/main" id="{10948E1D-9AAE-403C-88C6-025B6884EE76}"/>
            </a:ext>
          </a:extLst>
        </xdr:cNvPr>
        <xdr:cNvSpPr txBox="1"/>
      </xdr:nvSpPr>
      <xdr:spPr>
        <a:xfrm>
          <a:off x="15926563" y="3166565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1751</xdr:row>
      <xdr:rowOff>130175</xdr:rowOff>
    </xdr:from>
    <xdr:to>
      <xdr:col>10</xdr:col>
      <xdr:colOff>150622</xdr:colOff>
      <xdr:row>1752</xdr:row>
      <xdr:rowOff>135895</xdr:rowOff>
    </xdr:to>
    <xdr:sp macro="_xll.PtreeEvent_ObjectClick" textlink="">
      <xdr:nvSpPr>
        <xdr:cNvPr id="3477" name="PTObj_DNode_1_867">
          <a:extLst>
            <a:ext uri="{FF2B5EF4-FFF2-40B4-BE49-F238E27FC236}">
              <a16:creationId xmlns:a16="http://schemas.microsoft.com/office/drawing/2014/main" id="{288AC339-C617-4051-B31B-E67FAFDC6F30}"/>
            </a:ext>
          </a:extLst>
        </xdr:cNvPr>
        <xdr:cNvSpPr/>
      </xdr:nvSpPr>
      <xdr:spPr>
        <a:xfrm>
          <a:off x="18493867" y="317017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1751</xdr:row>
      <xdr:rowOff>135101</xdr:rowOff>
    </xdr:from>
    <xdr:ext cx="514857" cy="180627"/>
    <xdr:sp macro="_xll.PtreeEvent_ObjectClick" textlink="">
      <xdr:nvSpPr>
        <xdr:cNvPr id="3480" name="PTObj_DBranchName_1_867">
          <a:extLst>
            <a:ext uri="{FF2B5EF4-FFF2-40B4-BE49-F238E27FC236}">
              <a16:creationId xmlns:a16="http://schemas.microsoft.com/office/drawing/2014/main" id="{7020CA1D-1948-4C83-A847-5DAC742EBFC4}"/>
            </a:ext>
          </a:extLst>
        </xdr:cNvPr>
        <xdr:cNvSpPr txBox="1"/>
      </xdr:nvSpPr>
      <xdr:spPr>
        <a:xfrm>
          <a:off x="17344834" y="3170223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1753</xdr:row>
      <xdr:rowOff>133995</xdr:rowOff>
    </xdr:from>
    <xdr:to>
      <xdr:col>11</xdr:col>
      <xdr:colOff>131573</xdr:colOff>
      <xdr:row>1754</xdr:row>
      <xdr:rowOff>135905</xdr:rowOff>
    </xdr:to>
    <xdr:sp macro="_xll.PtreeEvent_ObjectClick" textlink="">
      <xdr:nvSpPr>
        <xdr:cNvPr id="3481" name="PTObj_DNode_1_868">
          <a:extLst>
            <a:ext uri="{FF2B5EF4-FFF2-40B4-BE49-F238E27FC236}">
              <a16:creationId xmlns:a16="http://schemas.microsoft.com/office/drawing/2014/main" id="{9730B197-892F-4DE9-9328-C0AC10D5956C}"/>
            </a:ext>
          </a:extLst>
        </xdr:cNvPr>
        <xdr:cNvSpPr/>
      </xdr:nvSpPr>
      <xdr:spPr>
        <a:xfrm>
          <a:off x="19918807" y="317383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1753</xdr:row>
      <xdr:rowOff>131301</xdr:rowOff>
    </xdr:from>
    <xdr:ext cx="514858" cy="180627"/>
    <xdr:sp macro="_xll.PtreeEvent_ObjectClick" textlink="">
      <xdr:nvSpPr>
        <xdr:cNvPr id="3484" name="PTObj_DBranchName_1_868">
          <a:extLst>
            <a:ext uri="{FF2B5EF4-FFF2-40B4-BE49-F238E27FC236}">
              <a16:creationId xmlns:a16="http://schemas.microsoft.com/office/drawing/2014/main" id="{636CD093-B891-43F2-9736-1A383A6B54FF}"/>
            </a:ext>
          </a:extLst>
        </xdr:cNvPr>
        <xdr:cNvSpPr txBox="1"/>
      </xdr:nvSpPr>
      <xdr:spPr>
        <a:xfrm>
          <a:off x="18768820" y="317380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1755</xdr:row>
      <xdr:rowOff>136840</xdr:rowOff>
    </xdr:from>
    <xdr:to>
      <xdr:col>12</xdr:col>
      <xdr:colOff>136337</xdr:colOff>
      <xdr:row>1756</xdr:row>
      <xdr:rowOff>136840</xdr:rowOff>
    </xdr:to>
    <xdr:sp macro="_xll.PtreeEvent_ObjectClick" textlink="">
      <xdr:nvSpPr>
        <xdr:cNvPr id="3485" name="PTObj_DNode_1_869">
          <a:extLst>
            <a:ext uri="{FF2B5EF4-FFF2-40B4-BE49-F238E27FC236}">
              <a16:creationId xmlns:a16="http://schemas.microsoft.com/office/drawing/2014/main" id="{FC0037A1-B41C-4B2F-A606-2A598CC583BE}"/>
            </a:ext>
          </a:extLst>
        </xdr:cNvPr>
        <xdr:cNvSpPr/>
      </xdr:nvSpPr>
      <xdr:spPr>
        <a:xfrm rot="-5400000">
          <a:off x="21347557" y="3177451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1755</xdr:row>
      <xdr:rowOff>135121</xdr:rowOff>
    </xdr:from>
    <xdr:ext cx="514858" cy="180627"/>
    <xdr:sp macro="_xll.PtreeEvent_ObjectClick" textlink="">
      <xdr:nvSpPr>
        <xdr:cNvPr id="3488" name="PTObj_DBranchName_1_869">
          <a:extLst>
            <a:ext uri="{FF2B5EF4-FFF2-40B4-BE49-F238E27FC236}">
              <a16:creationId xmlns:a16="http://schemas.microsoft.com/office/drawing/2014/main" id="{050673D9-426C-45D9-B054-6B56E89E6D3E}"/>
            </a:ext>
          </a:extLst>
        </xdr:cNvPr>
        <xdr:cNvSpPr txBox="1"/>
      </xdr:nvSpPr>
      <xdr:spPr>
        <a:xfrm>
          <a:off x="20188045" y="3177462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1767</xdr:row>
      <xdr:rowOff>160660</xdr:rowOff>
    </xdr:from>
    <xdr:to>
      <xdr:col>8</xdr:col>
      <xdr:colOff>167768</xdr:colOff>
      <xdr:row>1768</xdr:row>
      <xdr:rowOff>168285</xdr:rowOff>
    </xdr:to>
    <xdr:sp macro="_xll.PtreeEvent_ObjectClick" textlink="">
      <xdr:nvSpPr>
        <xdr:cNvPr id="3489" name="PTObj_DNode_1_875">
          <a:extLst>
            <a:ext uri="{FF2B5EF4-FFF2-40B4-BE49-F238E27FC236}">
              <a16:creationId xmlns:a16="http://schemas.microsoft.com/office/drawing/2014/main" id="{CB58DD98-0921-418E-82CC-57B211D9FA33}"/>
            </a:ext>
          </a:extLst>
        </xdr:cNvPr>
        <xdr:cNvSpPr/>
      </xdr:nvSpPr>
      <xdr:spPr>
        <a:xfrm>
          <a:off x="15643988" y="319943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1767</xdr:row>
      <xdr:rowOff>163681</xdr:rowOff>
    </xdr:from>
    <xdr:ext cx="566520" cy="180627"/>
    <xdr:sp macro="_xll.PtreeEvent_ObjectClick" textlink="">
      <xdr:nvSpPr>
        <xdr:cNvPr id="3492" name="PTObj_DBranchName_1_875">
          <a:extLst>
            <a:ext uri="{FF2B5EF4-FFF2-40B4-BE49-F238E27FC236}">
              <a16:creationId xmlns:a16="http://schemas.microsoft.com/office/drawing/2014/main" id="{8BC91B33-2EDC-43FC-8E23-01EB4DBDCF30}"/>
            </a:ext>
          </a:extLst>
        </xdr:cNvPr>
        <xdr:cNvSpPr txBox="1"/>
      </xdr:nvSpPr>
      <xdr:spPr>
        <a:xfrm>
          <a:off x="14498765" y="319946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1759</xdr:row>
      <xdr:rowOff>145405</xdr:rowOff>
    </xdr:from>
    <xdr:to>
      <xdr:col>9</xdr:col>
      <xdr:colOff>154432</xdr:colOff>
      <xdr:row>1760</xdr:row>
      <xdr:rowOff>135885</xdr:rowOff>
    </xdr:to>
    <xdr:sp macro="_xll.PtreeEvent_ObjectClick" textlink="">
      <xdr:nvSpPr>
        <xdr:cNvPr id="3493" name="PTObj_DNode_1_871">
          <a:extLst>
            <a:ext uri="{FF2B5EF4-FFF2-40B4-BE49-F238E27FC236}">
              <a16:creationId xmlns:a16="http://schemas.microsoft.com/office/drawing/2014/main" id="{C8362B3F-44F0-42B1-91EC-7DCBE07925D2}"/>
            </a:ext>
          </a:extLst>
        </xdr:cNvPr>
        <xdr:cNvSpPr/>
      </xdr:nvSpPr>
      <xdr:spPr>
        <a:xfrm>
          <a:off x="17068927" y="318480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1759</xdr:row>
      <xdr:rowOff>144641</xdr:rowOff>
    </xdr:from>
    <xdr:ext cx="566519" cy="180627"/>
    <xdr:sp macro="_xll.PtreeEvent_ObjectClick" textlink="">
      <xdr:nvSpPr>
        <xdr:cNvPr id="3496" name="PTObj_DBranchName_1_871">
          <a:extLst>
            <a:ext uri="{FF2B5EF4-FFF2-40B4-BE49-F238E27FC236}">
              <a16:creationId xmlns:a16="http://schemas.microsoft.com/office/drawing/2014/main" id="{FC93793E-F3A7-4DB8-848B-7092A8059E9C}"/>
            </a:ext>
          </a:extLst>
        </xdr:cNvPr>
        <xdr:cNvSpPr txBox="1"/>
      </xdr:nvSpPr>
      <xdr:spPr>
        <a:xfrm>
          <a:off x="15922752" y="3184796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1761</xdr:row>
      <xdr:rowOff>149225</xdr:rowOff>
    </xdr:from>
    <xdr:to>
      <xdr:col>10</xdr:col>
      <xdr:colOff>150622</xdr:colOff>
      <xdr:row>1762</xdr:row>
      <xdr:rowOff>151135</xdr:rowOff>
    </xdr:to>
    <xdr:sp macro="_xll.PtreeEvent_ObjectClick" textlink="">
      <xdr:nvSpPr>
        <xdr:cNvPr id="3497" name="PTObj_DNode_1_872">
          <a:extLst>
            <a:ext uri="{FF2B5EF4-FFF2-40B4-BE49-F238E27FC236}">
              <a16:creationId xmlns:a16="http://schemas.microsoft.com/office/drawing/2014/main" id="{E1623392-D37F-4433-A5A4-D721CCA449AD}"/>
            </a:ext>
          </a:extLst>
        </xdr:cNvPr>
        <xdr:cNvSpPr/>
      </xdr:nvSpPr>
      <xdr:spPr>
        <a:xfrm>
          <a:off x="18493867" y="318846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1761</xdr:row>
      <xdr:rowOff>150341</xdr:rowOff>
    </xdr:from>
    <xdr:ext cx="514857" cy="180627"/>
    <xdr:sp macro="_xll.PtreeEvent_ObjectClick" textlink="">
      <xdr:nvSpPr>
        <xdr:cNvPr id="3500" name="PTObj_DBranchName_1_872">
          <a:extLst>
            <a:ext uri="{FF2B5EF4-FFF2-40B4-BE49-F238E27FC236}">
              <a16:creationId xmlns:a16="http://schemas.microsoft.com/office/drawing/2014/main" id="{E05364BC-B992-4018-B44E-01BFA99A255D}"/>
            </a:ext>
          </a:extLst>
        </xdr:cNvPr>
        <xdr:cNvSpPr txBox="1"/>
      </xdr:nvSpPr>
      <xdr:spPr>
        <a:xfrm>
          <a:off x="17344834" y="3188473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1763</xdr:row>
      <xdr:rowOff>153045</xdr:rowOff>
    </xdr:from>
    <xdr:to>
      <xdr:col>11</xdr:col>
      <xdr:colOff>135383</xdr:colOff>
      <xdr:row>1764</xdr:row>
      <xdr:rowOff>154955</xdr:rowOff>
    </xdr:to>
    <xdr:sp macro="_xll.PtreeEvent_ObjectClick" textlink="">
      <xdr:nvSpPr>
        <xdr:cNvPr id="3501" name="PTObj_DNode_1_873">
          <a:extLst>
            <a:ext uri="{FF2B5EF4-FFF2-40B4-BE49-F238E27FC236}">
              <a16:creationId xmlns:a16="http://schemas.microsoft.com/office/drawing/2014/main" id="{5211554E-C065-49E3-A772-ACD94AFCC5CE}"/>
            </a:ext>
          </a:extLst>
        </xdr:cNvPr>
        <xdr:cNvSpPr/>
      </xdr:nvSpPr>
      <xdr:spPr>
        <a:xfrm>
          <a:off x="19918807" y="319211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1763</xdr:row>
      <xdr:rowOff>154161</xdr:rowOff>
    </xdr:from>
    <xdr:ext cx="514858" cy="180627"/>
    <xdr:sp macro="_xll.PtreeEvent_ObjectClick" textlink="">
      <xdr:nvSpPr>
        <xdr:cNvPr id="3504" name="PTObj_DBranchName_1_873">
          <a:extLst>
            <a:ext uri="{FF2B5EF4-FFF2-40B4-BE49-F238E27FC236}">
              <a16:creationId xmlns:a16="http://schemas.microsoft.com/office/drawing/2014/main" id="{2FD35D8C-2CC2-4FD9-8849-A35C1F461940}"/>
            </a:ext>
          </a:extLst>
        </xdr:cNvPr>
        <xdr:cNvSpPr txBox="1"/>
      </xdr:nvSpPr>
      <xdr:spPr>
        <a:xfrm>
          <a:off x="18768820" y="319213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1765</xdr:row>
      <xdr:rowOff>161605</xdr:rowOff>
    </xdr:from>
    <xdr:to>
      <xdr:col>12</xdr:col>
      <xdr:colOff>132527</xdr:colOff>
      <xdr:row>1766</xdr:row>
      <xdr:rowOff>173035</xdr:rowOff>
    </xdr:to>
    <xdr:sp macro="_xll.PtreeEvent_ObjectClick" textlink="">
      <xdr:nvSpPr>
        <xdr:cNvPr id="3505" name="PTObj_DNode_1_874">
          <a:extLst>
            <a:ext uri="{FF2B5EF4-FFF2-40B4-BE49-F238E27FC236}">
              <a16:creationId xmlns:a16="http://schemas.microsoft.com/office/drawing/2014/main" id="{2E90A7D4-065E-4353-A141-C24F8965F9DD}"/>
            </a:ext>
          </a:extLst>
        </xdr:cNvPr>
        <xdr:cNvSpPr/>
      </xdr:nvSpPr>
      <xdr:spPr>
        <a:xfrm rot="-5400000">
          <a:off x="21347557" y="3195796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1765</xdr:row>
      <xdr:rowOff>159886</xdr:rowOff>
    </xdr:from>
    <xdr:ext cx="514858" cy="180627"/>
    <xdr:sp macro="_xll.PtreeEvent_ObjectClick" textlink="">
      <xdr:nvSpPr>
        <xdr:cNvPr id="3508" name="PTObj_DBranchName_1_874">
          <a:extLst>
            <a:ext uri="{FF2B5EF4-FFF2-40B4-BE49-F238E27FC236}">
              <a16:creationId xmlns:a16="http://schemas.microsoft.com/office/drawing/2014/main" id="{AB1ED239-DD28-4BC6-88A5-F6FFD21C52E2}"/>
            </a:ext>
          </a:extLst>
        </xdr:cNvPr>
        <xdr:cNvSpPr txBox="1"/>
      </xdr:nvSpPr>
      <xdr:spPr>
        <a:xfrm>
          <a:off x="20188045" y="3195807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1769</xdr:row>
      <xdr:rowOff>164455</xdr:rowOff>
    </xdr:from>
    <xdr:to>
      <xdr:col>9</xdr:col>
      <xdr:colOff>154432</xdr:colOff>
      <xdr:row>1770</xdr:row>
      <xdr:rowOff>170175</xdr:rowOff>
    </xdr:to>
    <xdr:sp macro="_xll.PtreeEvent_ObjectClick" textlink="">
      <xdr:nvSpPr>
        <xdr:cNvPr id="3509" name="PTObj_DNode_1_876">
          <a:extLst>
            <a:ext uri="{FF2B5EF4-FFF2-40B4-BE49-F238E27FC236}">
              <a16:creationId xmlns:a16="http://schemas.microsoft.com/office/drawing/2014/main" id="{24BF3E9A-8012-418B-ADCE-D244F0BCC922}"/>
            </a:ext>
          </a:extLst>
        </xdr:cNvPr>
        <xdr:cNvSpPr/>
      </xdr:nvSpPr>
      <xdr:spPr>
        <a:xfrm>
          <a:off x="17068927" y="320309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1769</xdr:row>
      <xdr:rowOff>169406</xdr:rowOff>
    </xdr:from>
    <xdr:ext cx="566520" cy="180627"/>
    <xdr:sp macro="_xll.PtreeEvent_ObjectClick" textlink="">
      <xdr:nvSpPr>
        <xdr:cNvPr id="3512" name="PTObj_DBranchName_1_876">
          <a:extLst>
            <a:ext uri="{FF2B5EF4-FFF2-40B4-BE49-F238E27FC236}">
              <a16:creationId xmlns:a16="http://schemas.microsoft.com/office/drawing/2014/main" id="{14E23B7B-8314-46A1-A714-70A83BDB9805}"/>
            </a:ext>
          </a:extLst>
        </xdr:cNvPr>
        <xdr:cNvSpPr txBox="1"/>
      </xdr:nvSpPr>
      <xdr:spPr>
        <a:xfrm>
          <a:off x="15926563" y="3203141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1771</xdr:row>
      <xdr:rowOff>168275</xdr:rowOff>
    </xdr:from>
    <xdr:to>
      <xdr:col>10</xdr:col>
      <xdr:colOff>150622</xdr:colOff>
      <xdr:row>1772</xdr:row>
      <xdr:rowOff>170185</xdr:rowOff>
    </xdr:to>
    <xdr:sp macro="_xll.PtreeEvent_ObjectClick" textlink="">
      <xdr:nvSpPr>
        <xdr:cNvPr id="3513" name="PTObj_DNode_1_877">
          <a:extLst>
            <a:ext uri="{FF2B5EF4-FFF2-40B4-BE49-F238E27FC236}">
              <a16:creationId xmlns:a16="http://schemas.microsoft.com/office/drawing/2014/main" id="{6EC09747-FC17-4E1B-9AD7-7EAD4300E36D}"/>
            </a:ext>
          </a:extLst>
        </xdr:cNvPr>
        <xdr:cNvSpPr/>
      </xdr:nvSpPr>
      <xdr:spPr>
        <a:xfrm>
          <a:off x="18493867" y="320675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1771</xdr:row>
      <xdr:rowOff>173201</xdr:rowOff>
    </xdr:from>
    <xdr:ext cx="514857" cy="180627"/>
    <xdr:sp macro="_xll.PtreeEvent_ObjectClick" textlink="">
      <xdr:nvSpPr>
        <xdr:cNvPr id="3516" name="PTObj_DBranchName_1_877">
          <a:extLst>
            <a:ext uri="{FF2B5EF4-FFF2-40B4-BE49-F238E27FC236}">
              <a16:creationId xmlns:a16="http://schemas.microsoft.com/office/drawing/2014/main" id="{21D4265F-4D24-491F-854B-2512D0122E40}"/>
            </a:ext>
          </a:extLst>
        </xdr:cNvPr>
        <xdr:cNvSpPr txBox="1"/>
      </xdr:nvSpPr>
      <xdr:spPr>
        <a:xfrm>
          <a:off x="17344834" y="3206799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1773</xdr:row>
      <xdr:rowOff>172095</xdr:rowOff>
    </xdr:from>
    <xdr:to>
      <xdr:col>11</xdr:col>
      <xdr:colOff>135383</xdr:colOff>
      <xdr:row>1774</xdr:row>
      <xdr:rowOff>170195</xdr:rowOff>
    </xdr:to>
    <xdr:sp macro="_xll.PtreeEvent_ObjectClick" textlink="">
      <xdr:nvSpPr>
        <xdr:cNvPr id="3517" name="PTObj_DNode_1_878">
          <a:extLst>
            <a:ext uri="{FF2B5EF4-FFF2-40B4-BE49-F238E27FC236}">
              <a16:creationId xmlns:a16="http://schemas.microsoft.com/office/drawing/2014/main" id="{5D286BF2-F52D-484D-861F-14F9EF359BFB}"/>
            </a:ext>
          </a:extLst>
        </xdr:cNvPr>
        <xdr:cNvSpPr/>
      </xdr:nvSpPr>
      <xdr:spPr>
        <a:xfrm>
          <a:off x="19918807" y="321040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1773</xdr:row>
      <xdr:rowOff>169401</xdr:rowOff>
    </xdr:from>
    <xdr:ext cx="514858" cy="180627"/>
    <xdr:sp macro="_xll.PtreeEvent_ObjectClick" textlink="">
      <xdr:nvSpPr>
        <xdr:cNvPr id="3520" name="PTObj_DBranchName_1_878">
          <a:extLst>
            <a:ext uri="{FF2B5EF4-FFF2-40B4-BE49-F238E27FC236}">
              <a16:creationId xmlns:a16="http://schemas.microsoft.com/office/drawing/2014/main" id="{9740F6AF-8D4A-47C6-A9B6-1D1C6939278A}"/>
            </a:ext>
          </a:extLst>
        </xdr:cNvPr>
        <xdr:cNvSpPr txBox="1"/>
      </xdr:nvSpPr>
      <xdr:spPr>
        <a:xfrm>
          <a:off x="18768820" y="321038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1775</xdr:row>
      <xdr:rowOff>174940</xdr:rowOff>
    </xdr:from>
    <xdr:to>
      <xdr:col>12</xdr:col>
      <xdr:colOff>132527</xdr:colOff>
      <xdr:row>1776</xdr:row>
      <xdr:rowOff>171130</xdr:rowOff>
    </xdr:to>
    <xdr:sp macro="_xll.PtreeEvent_ObjectClick" textlink="">
      <xdr:nvSpPr>
        <xdr:cNvPr id="3521" name="PTObj_DNode_1_879">
          <a:extLst>
            <a:ext uri="{FF2B5EF4-FFF2-40B4-BE49-F238E27FC236}">
              <a16:creationId xmlns:a16="http://schemas.microsoft.com/office/drawing/2014/main" id="{50AC99A5-3F37-456C-895E-A900BFD2310F}"/>
            </a:ext>
          </a:extLst>
        </xdr:cNvPr>
        <xdr:cNvSpPr/>
      </xdr:nvSpPr>
      <xdr:spPr>
        <a:xfrm rot="-5400000">
          <a:off x="21347557" y="3214027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1775</xdr:row>
      <xdr:rowOff>173221</xdr:rowOff>
    </xdr:from>
    <xdr:ext cx="514858" cy="180627"/>
    <xdr:sp macro="_xll.PtreeEvent_ObjectClick" textlink="">
      <xdr:nvSpPr>
        <xdr:cNvPr id="3524" name="PTObj_DBranchName_1_879">
          <a:extLst>
            <a:ext uri="{FF2B5EF4-FFF2-40B4-BE49-F238E27FC236}">
              <a16:creationId xmlns:a16="http://schemas.microsoft.com/office/drawing/2014/main" id="{3A18BC98-F73C-4C2D-945C-D9A922C60EF5}"/>
            </a:ext>
          </a:extLst>
        </xdr:cNvPr>
        <xdr:cNvSpPr txBox="1"/>
      </xdr:nvSpPr>
      <xdr:spPr>
        <a:xfrm>
          <a:off x="20188045" y="3214038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1415542</xdr:colOff>
      <xdr:row>1858</xdr:row>
      <xdr:rowOff>151135</xdr:rowOff>
    </xdr:from>
    <xdr:to>
      <xdr:col>5</xdr:col>
      <xdr:colOff>173483</xdr:colOff>
      <xdr:row>1859</xdr:row>
      <xdr:rowOff>153045</xdr:rowOff>
    </xdr:to>
    <xdr:sp macro="_xll.PtreeEvent_ObjectClick" textlink="">
      <xdr:nvSpPr>
        <xdr:cNvPr id="3525" name="PTObj_DNode_1_920">
          <a:extLst>
            <a:ext uri="{FF2B5EF4-FFF2-40B4-BE49-F238E27FC236}">
              <a16:creationId xmlns:a16="http://schemas.microsoft.com/office/drawing/2014/main" id="{D80E9895-E50E-4BB3-9CFE-1A04BF1ACE23}"/>
            </a:ext>
          </a:extLst>
        </xdr:cNvPr>
        <xdr:cNvSpPr/>
      </xdr:nvSpPr>
      <xdr:spPr>
        <a:xfrm>
          <a:off x="11369167" y="3364026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266509</xdr:colOff>
      <xdr:row>1858</xdr:row>
      <xdr:rowOff>152251</xdr:rowOff>
    </xdr:from>
    <xdr:ext cx="566520" cy="180627"/>
    <xdr:sp macro="_xll.PtreeEvent_ObjectClick" textlink="">
      <xdr:nvSpPr>
        <xdr:cNvPr id="3528" name="PTObj_DBranchName_1_920">
          <a:extLst>
            <a:ext uri="{FF2B5EF4-FFF2-40B4-BE49-F238E27FC236}">
              <a16:creationId xmlns:a16="http://schemas.microsoft.com/office/drawing/2014/main" id="{F1F77BFA-FA89-47F7-87EB-73C9D442EE69}"/>
            </a:ext>
          </a:extLst>
        </xdr:cNvPr>
        <xdr:cNvSpPr txBox="1"/>
      </xdr:nvSpPr>
      <xdr:spPr>
        <a:xfrm>
          <a:off x="10220134" y="336403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1411732</xdr:colOff>
      <xdr:row>1818</xdr:row>
      <xdr:rowOff>74935</xdr:rowOff>
    </xdr:from>
    <xdr:to>
      <xdr:col>6</xdr:col>
      <xdr:colOff>173482</xdr:colOff>
      <xdr:row>1819</xdr:row>
      <xdr:rowOff>76845</xdr:rowOff>
    </xdr:to>
    <xdr:sp macro="_xll.PtreeEvent_ObjectClick" textlink="">
      <xdr:nvSpPr>
        <xdr:cNvPr id="3529" name="PTObj_DNode_1_900">
          <a:extLst>
            <a:ext uri="{FF2B5EF4-FFF2-40B4-BE49-F238E27FC236}">
              <a16:creationId xmlns:a16="http://schemas.microsoft.com/office/drawing/2014/main" id="{ECD44806-4C17-4B28-AE89-17B5AA111A13}"/>
            </a:ext>
          </a:extLst>
        </xdr:cNvPr>
        <xdr:cNvSpPr/>
      </xdr:nvSpPr>
      <xdr:spPr>
        <a:xfrm>
          <a:off x="12794107" y="329087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1818</xdr:row>
      <xdr:rowOff>76051</xdr:rowOff>
    </xdr:from>
    <xdr:ext cx="566520" cy="180627"/>
    <xdr:sp macro="_xll.PtreeEvent_ObjectClick" textlink="">
      <xdr:nvSpPr>
        <xdr:cNvPr id="3532" name="PTObj_DBranchName_1_900">
          <a:extLst>
            <a:ext uri="{FF2B5EF4-FFF2-40B4-BE49-F238E27FC236}">
              <a16:creationId xmlns:a16="http://schemas.microsoft.com/office/drawing/2014/main" id="{1DF5BE0D-2580-4711-811F-22B7361951A8}"/>
            </a:ext>
          </a:extLst>
        </xdr:cNvPr>
        <xdr:cNvSpPr txBox="1"/>
      </xdr:nvSpPr>
      <xdr:spPr>
        <a:xfrm>
          <a:off x="11648885" y="3290886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1798</xdr:row>
      <xdr:rowOff>36835</xdr:rowOff>
    </xdr:from>
    <xdr:to>
      <xdr:col>7</xdr:col>
      <xdr:colOff>171577</xdr:colOff>
      <xdr:row>1799</xdr:row>
      <xdr:rowOff>38745</xdr:rowOff>
    </xdr:to>
    <xdr:sp macro="_xll.PtreeEvent_ObjectClick" textlink="">
      <xdr:nvSpPr>
        <xdr:cNvPr id="3533" name="PTObj_DNode_1_890">
          <a:extLst>
            <a:ext uri="{FF2B5EF4-FFF2-40B4-BE49-F238E27FC236}">
              <a16:creationId xmlns:a16="http://schemas.microsoft.com/office/drawing/2014/main" id="{8AD635F0-B62F-40F4-BDB9-7B88A11D66F1}"/>
            </a:ext>
          </a:extLst>
        </xdr:cNvPr>
        <xdr:cNvSpPr/>
      </xdr:nvSpPr>
      <xdr:spPr>
        <a:xfrm>
          <a:off x="14219047" y="325429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1798</xdr:row>
      <xdr:rowOff>37951</xdr:rowOff>
    </xdr:from>
    <xdr:ext cx="568424" cy="180627"/>
    <xdr:sp macro="_xll.PtreeEvent_ObjectClick" textlink="">
      <xdr:nvSpPr>
        <xdr:cNvPr id="3536" name="PTObj_DBranchName_1_890">
          <a:extLst>
            <a:ext uri="{FF2B5EF4-FFF2-40B4-BE49-F238E27FC236}">
              <a16:creationId xmlns:a16="http://schemas.microsoft.com/office/drawing/2014/main" id="{106F5E18-460B-4344-8040-7C121DCEC938}"/>
            </a:ext>
          </a:extLst>
        </xdr:cNvPr>
        <xdr:cNvSpPr txBox="1"/>
      </xdr:nvSpPr>
      <xdr:spPr>
        <a:xfrm>
          <a:off x="13072872" y="32543100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1788</xdr:row>
      <xdr:rowOff>17785</xdr:rowOff>
    </xdr:from>
    <xdr:to>
      <xdr:col>8</xdr:col>
      <xdr:colOff>167768</xdr:colOff>
      <xdr:row>1789</xdr:row>
      <xdr:rowOff>19695</xdr:rowOff>
    </xdr:to>
    <xdr:sp macro="_xll.PtreeEvent_ObjectClick" textlink="">
      <xdr:nvSpPr>
        <xdr:cNvPr id="3537" name="PTObj_DNode_1_885">
          <a:extLst>
            <a:ext uri="{FF2B5EF4-FFF2-40B4-BE49-F238E27FC236}">
              <a16:creationId xmlns:a16="http://schemas.microsoft.com/office/drawing/2014/main" id="{954EA04B-4702-4E3F-9124-671574963859}"/>
            </a:ext>
          </a:extLst>
        </xdr:cNvPr>
        <xdr:cNvSpPr/>
      </xdr:nvSpPr>
      <xdr:spPr>
        <a:xfrm>
          <a:off x="15643988" y="323601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1788</xdr:row>
      <xdr:rowOff>22711</xdr:rowOff>
    </xdr:from>
    <xdr:ext cx="566520" cy="180627"/>
    <xdr:sp macro="_xll.PtreeEvent_ObjectClick" textlink="">
      <xdr:nvSpPr>
        <xdr:cNvPr id="3540" name="PTObj_DBranchName_1_885">
          <a:extLst>
            <a:ext uri="{FF2B5EF4-FFF2-40B4-BE49-F238E27FC236}">
              <a16:creationId xmlns:a16="http://schemas.microsoft.com/office/drawing/2014/main" id="{09057CCD-539C-4A07-A3E3-58A170A465EB}"/>
            </a:ext>
          </a:extLst>
        </xdr:cNvPr>
        <xdr:cNvSpPr txBox="1"/>
      </xdr:nvSpPr>
      <xdr:spPr>
        <a:xfrm>
          <a:off x="14500670" y="3236060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1780</xdr:row>
      <xdr:rowOff>2530</xdr:rowOff>
    </xdr:from>
    <xdr:to>
      <xdr:col>9</xdr:col>
      <xdr:colOff>154432</xdr:colOff>
      <xdr:row>1781</xdr:row>
      <xdr:rowOff>15870</xdr:rowOff>
    </xdr:to>
    <xdr:sp macro="_xll.PtreeEvent_ObjectClick" textlink="">
      <xdr:nvSpPr>
        <xdr:cNvPr id="3541" name="PTObj_DNode_1_881">
          <a:extLst>
            <a:ext uri="{FF2B5EF4-FFF2-40B4-BE49-F238E27FC236}">
              <a16:creationId xmlns:a16="http://schemas.microsoft.com/office/drawing/2014/main" id="{81264D22-EAB1-41EC-939F-1CB7D2FA805C}"/>
            </a:ext>
          </a:extLst>
        </xdr:cNvPr>
        <xdr:cNvSpPr/>
      </xdr:nvSpPr>
      <xdr:spPr>
        <a:xfrm>
          <a:off x="17068927" y="322138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1780</xdr:row>
      <xdr:rowOff>3671</xdr:rowOff>
    </xdr:from>
    <xdr:ext cx="566519" cy="180627"/>
    <xdr:sp macro="_xll.PtreeEvent_ObjectClick" textlink="">
      <xdr:nvSpPr>
        <xdr:cNvPr id="3544" name="PTObj_DBranchName_1_881">
          <a:extLst>
            <a:ext uri="{FF2B5EF4-FFF2-40B4-BE49-F238E27FC236}">
              <a16:creationId xmlns:a16="http://schemas.microsoft.com/office/drawing/2014/main" id="{412B23D0-FF56-4E58-84CC-7115F748D79C}"/>
            </a:ext>
          </a:extLst>
        </xdr:cNvPr>
        <xdr:cNvSpPr txBox="1"/>
      </xdr:nvSpPr>
      <xdr:spPr>
        <a:xfrm>
          <a:off x="15922752" y="3221391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1782</xdr:row>
      <xdr:rowOff>6350</xdr:rowOff>
    </xdr:from>
    <xdr:to>
      <xdr:col>10</xdr:col>
      <xdr:colOff>150622</xdr:colOff>
      <xdr:row>1783</xdr:row>
      <xdr:rowOff>19690</xdr:rowOff>
    </xdr:to>
    <xdr:sp macro="_xll.PtreeEvent_ObjectClick" textlink="">
      <xdr:nvSpPr>
        <xdr:cNvPr id="3545" name="PTObj_DNode_1_882">
          <a:extLst>
            <a:ext uri="{FF2B5EF4-FFF2-40B4-BE49-F238E27FC236}">
              <a16:creationId xmlns:a16="http://schemas.microsoft.com/office/drawing/2014/main" id="{26345813-1D72-44A8-BDC4-0BBFDE379664}"/>
            </a:ext>
          </a:extLst>
        </xdr:cNvPr>
        <xdr:cNvSpPr/>
      </xdr:nvSpPr>
      <xdr:spPr>
        <a:xfrm>
          <a:off x="18493867" y="322503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1782</xdr:row>
      <xdr:rowOff>9371</xdr:rowOff>
    </xdr:from>
    <xdr:ext cx="514857" cy="180627"/>
    <xdr:sp macro="_xll.PtreeEvent_ObjectClick" textlink="">
      <xdr:nvSpPr>
        <xdr:cNvPr id="3548" name="PTObj_DBranchName_1_882">
          <a:extLst>
            <a:ext uri="{FF2B5EF4-FFF2-40B4-BE49-F238E27FC236}">
              <a16:creationId xmlns:a16="http://schemas.microsoft.com/office/drawing/2014/main" id="{E607090F-07A5-47B5-87C8-CF9875D97959}"/>
            </a:ext>
          </a:extLst>
        </xdr:cNvPr>
        <xdr:cNvSpPr txBox="1"/>
      </xdr:nvSpPr>
      <xdr:spPr>
        <a:xfrm>
          <a:off x="17344834" y="3225068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1784</xdr:row>
      <xdr:rowOff>10170</xdr:rowOff>
    </xdr:from>
    <xdr:to>
      <xdr:col>11</xdr:col>
      <xdr:colOff>135383</xdr:colOff>
      <xdr:row>1785</xdr:row>
      <xdr:rowOff>15890</xdr:rowOff>
    </xdr:to>
    <xdr:sp macro="_xll.PtreeEvent_ObjectClick" textlink="">
      <xdr:nvSpPr>
        <xdr:cNvPr id="3549" name="PTObj_DNode_1_883">
          <a:extLst>
            <a:ext uri="{FF2B5EF4-FFF2-40B4-BE49-F238E27FC236}">
              <a16:creationId xmlns:a16="http://schemas.microsoft.com/office/drawing/2014/main" id="{A315C308-1320-4476-8FBA-038F90705E75}"/>
            </a:ext>
          </a:extLst>
        </xdr:cNvPr>
        <xdr:cNvSpPr/>
      </xdr:nvSpPr>
      <xdr:spPr>
        <a:xfrm>
          <a:off x="19918807" y="322869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1784</xdr:row>
      <xdr:rowOff>13191</xdr:rowOff>
    </xdr:from>
    <xdr:ext cx="514858" cy="180627"/>
    <xdr:sp macro="_xll.PtreeEvent_ObjectClick" textlink="">
      <xdr:nvSpPr>
        <xdr:cNvPr id="3552" name="PTObj_DBranchName_1_883">
          <a:extLst>
            <a:ext uri="{FF2B5EF4-FFF2-40B4-BE49-F238E27FC236}">
              <a16:creationId xmlns:a16="http://schemas.microsoft.com/office/drawing/2014/main" id="{2AD799DE-40DD-410A-9F28-DD6165B59EE8}"/>
            </a:ext>
          </a:extLst>
        </xdr:cNvPr>
        <xdr:cNvSpPr txBox="1"/>
      </xdr:nvSpPr>
      <xdr:spPr>
        <a:xfrm>
          <a:off x="18768820" y="322872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1786</xdr:row>
      <xdr:rowOff>20635</xdr:rowOff>
    </xdr:from>
    <xdr:to>
      <xdr:col>12</xdr:col>
      <xdr:colOff>132527</xdr:colOff>
      <xdr:row>1787</xdr:row>
      <xdr:rowOff>16825</xdr:rowOff>
    </xdr:to>
    <xdr:sp macro="_xll.PtreeEvent_ObjectClick" textlink="">
      <xdr:nvSpPr>
        <xdr:cNvPr id="3553" name="PTObj_DNode_1_884">
          <a:extLst>
            <a:ext uri="{FF2B5EF4-FFF2-40B4-BE49-F238E27FC236}">
              <a16:creationId xmlns:a16="http://schemas.microsoft.com/office/drawing/2014/main" id="{0B1A89C3-2357-4B19-85D0-67D63F546B8E}"/>
            </a:ext>
          </a:extLst>
        </xdr:cNvPr>
        <xdr:cNvSpPr/>
      </xdr:nvSpPr>
      <xdr:spPr>
        <a:xfrm rot="-5400000">
          <a:off x="21347557" y="3232391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1786</xdr:row>
      <xdr:rowOff>18916</xdr:rowOff>
    </xdr:from>
    <xdr:ext cx="514858" cy="180627"/>
    <xdr:sp macro="_xll.PtreeEvent_ObjectClick" textlink="">
      <xdr:nvSpPr>
        <xdr:cNvPr id="3556" name="PTObj_DBranchName_1_884">
          <a:extLst>
            <a:ext uri="{FF2B5EF4-FFF2-40B4-BE49-F238E27FC236}">
              <a16:creationId xmlns:a16="http://schemas.microsoft.com/office/drawing/2014/main" id="{0454FAD7-D302-4B9D-8BC8-50A9AD0865E4}"/>
            </a:ext>
          </a:extLst>
        </xdr:cNvPr>
        <xdr:cNvSpPr txBox="1"/>
      </xdr:nvSpPr>
      <xdr:spPr>
        <a:xfrm>
          <a:off x="20188045" y="3232402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1790</xdr:row>
      <xdr:rowOff>21580</xdr:rowOff>
    </xdr:from>
    <xdr:to>
      <xdr:col>9</xdr:col>
      <xdr:colOff>154432</xdr:colOff>
      <xdr:row>1791</xdr:row>
      <xdr:rowOff>19680</xdr:rowOff>
    </xdr:to>
    <xdr:sp macro="_xll.PtreeEvent_ObjectClick" textlink="">
      <xdr:nvSpPr>
        <xdr:cNvPr id="3557" name="PTObj_DNode_1_886">
          <a:extLst>
            <a:ext uri="{FF2B5EF4-FFF2-40B4-BE49-F238E27FC236}">
              <a16:creationId xmlns:a16="http://schemas.microsoft.com/office/drawing/2014/main" id="{72D9EFCB-4F8A-46FA-86B9-CEDB8D1F1F69}"/>
            </a:ext>
          </a:extLst>
        </xdr:cNvPr>
        <xdr:cNvSpPr/>
      </xdr:nvSpPr>
      <xdr:spPr>
        <a:xfrm>
          <a:off x="17068927" y="323966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1790</xdr:row>
      <xdr:rowOff>18911</xdr:rowOff>
    </xdr:from>
    <xdr:ext cx="566520" cy="180627"/>
    <xdr:sp macro="_xll.PtreeEvent_ObjectClick" textlink="">
      <xdr:nvSpPr>
        <xdr:cNvPr id="3560" name="PTObj_DBranchName_1_886">
          <a:extLst>
            <a:ext uri="{FF2B5EF4-FFF2-40B4-BE49-F238E27FC236}">
              <a16:creationId xmlns:a16="http://schemas.microsoft.com/office/drawing/2014/main" id="{84FA1679-A50E-4ACC-BF53-03C0A12F487A}"/>
            </a:ext>
          </a:extLst>
        </xdr:cNvPr>
        <xdr:cNvSpPr txBox="1"/>
      </xdr:nvSpPr>
      <xdr:spPr>
        <a:xfrm>
          <a:off x="15926563" y="3239641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1792</xdr:row>
      <xdr:rowOff>25400</xdr:rowOff>
    </xdr:from>
    <xdr:to>
      <xdr:col>10</xdr:col>
      <xdr:colOff>150622</xdr:colOff>
      <xdr:row>1793</xdr:row>
      <xdr:rowOff>21595</xdr:rowOff>
    </xdr:to>
    <xdr:sp macro="_xll.PtreeEvent_ObjectClick" textlink="">
      <xdr:nvSpPr>
        <xdr:cNvPr id="3561" name="PTObj_DNode_1_887">
          <a:extLst>
            <a:ext uri="{FF2B5EF4-FFF2-40B4-BE49-F238E27FC236}">
              <a16:creationId xmlns:a16="http://schemas.microsoft.com/office/drawing/2014/main" id="{9C022814-956A-4696-AA4D-ED171A643F4C}"/>
            </a:ext>
          </a:extLst>
        </xdr:cNvPr>
        <xdr:cNvSpPr/>
      </xdr:nvSpPr>
      <xdr:spPr>
        <a:xfrm>
          <a:off x="18493867" y="324332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1792</xdr:row>
      <xdr:rowOff>22706</xdr:rowOff>
    </xdr:from>
    <xdr:ext cx="514857" cy="180627"/>
    <xdr:sp macro="_xll.PtreeEvent_ObjectClick" textlink="">
      <xdr:nvSpPr>
        <xdr:cNvPr id="3564" name="PTObj_DBranchName_1_887">
          <a:extLst>
            <a:ext uri="{FF2B5EF4-FFF2-40B4-BE49-F238E27FC236}">
              <a16:creationId xmlns:a16="http://schemas.microsoft.com/office/drawing/2014/main" id="{82D9E194-8465-439E-9967-B71FF4A979D6}"/>
            </a:ext>
          </a:extLst>
        </xdr:cNvPr>
        <xdr:cNvSpPr txBox="1"/>
      </xdr:nvSpPr>
      <xdr:spPr>
        <a:xfrm>
          <a:off x="17344834" y="3243299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1794</xdr:row>
      <xdr:rowOff>29220</xdr:rowOff>
    </xdr:from>
    <xdr:to>
      <xdr:col>11</xdr:col>
      <xdr:colOff>135383</xdr:colOff>
      <xdr:row>1795</xdr:row>
      <xdr:rowOff>17795</xdr:rowOff>
    </xdr:to>
    <xdr:sp macro="_xll.PtreeEvent_ObjectClick" textlink="">
      <xdr:nvSpPr>
        <xdr:cNvPr id="3565" name="PTObj_DNode_1_888">
          <a:extLst>
            <a:ext uri="{FF2B5EF4-FFF2-40B4-BE49-F238E27FC236}">
              <a16:creationId xmlns:a16="http://schemas.microsoft.com/office/drawing/2014/main" id="{37B6028F-F115-4C60-987C-E8620E82019C}"/>
            </a:ext>
          </a:extLst>
        </xdr:cNvPr>
        <xdr:cNvSpPr/>
      </xdr:nvSpPr>
      <xdr:spPr>
        <a:xfrm>
          <a:off x="19918807" y="324698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1794</xdr:row>
      <xdr:rowOff>28431</xdr:rowOff>
    </xdr:from>
    <xdr:ext cx="514858" cy="180627"/>
    <xdr:sp macro="_xll.PtreeEvent_ObjectClick" textlink="">
      <xdr:nvSpPr>
        <xdr:cNvPr id="3568" name="PTObj_DBranchName_1_888">
          <a:extLst>
            <a:ext uri="{FF2B5EF4-FFF2-40B4-BE49-F238E27FC236}">
              <a16:creationId xmlns:a16="http://schemas.microsoft.com/office/drawing/2014/main" id="{A29F115B-2FDA-4EB9-B8CB-0FCB35C2D4C7}"/>
            </a:ext>
          </a:extLst>
        </xdr:cNvPr>
        <xdr:cNvSpPr txBox="1"/>
      </xdr:nvSpPr>
      <xdr:spPr>
        <a:xfrm>
          <a:off x="18768820" y="324697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1796</xdr:row>
      <xdr:rowOff>34922</xdr:rowOff>
    </xdr:from>
    <xdr:to>
      <xdr:col>12</xdr:col>
      <xdr:colOff>135385</xdr:colOff>
      <xdr:row>1797</xdr:row>
      <xdr:rowOff>21587</xdr:rowOff>
    </xdr:to>
    <xdr:sp macro="_xll.PtreeEvent_ObjectClick" textlink="">
      <xdr:nvSpPr>
        <xdr:cNvPr id="3569" name="PTObj_DNode_1_889">
          <a:extLst>
            <a:ext uri="{FF2B5EF4-FFF2-40B4-BE49-F238E27FC236}">
              <a16:creationId xmlns:a16="http://schemas.microsoft.com/office/drawing/2014/main" id="{773BFC10-B248-4B88-9E0A-4763A3594F54}"/>
            </a:ext>
          </a:extLst>
        </xdr:cNvPr>
        <xdr:cNvSpPr/>
      </xdr:nvSpPr>
      <xdr:spPr>
        <a:xfrm rot="-5400000">
          <a:off x="21347557" y="3250622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1796</xdr:row>
      <xdr:rowOff>32251</xdr:rowOff>
    </xdr:from>
    <xdr:ext cx="514858" cy="180627"/>
    <xdr:sp macro="_xll.PtreeEvent_ObjectClick" textlink="">
      <xdr:nvSpPr>
        <xdr:cNvPr id="3572" name="PTObj_DBranchName_1_889">
          <a:extLst>
            <a:ext uri="{FF2B5EF4-FFF2-40B4-BE49-F238E27FC236}">
              <a16:creationId xmlns:a16="http://schemas.microsoft.com/office/drawing/2014/main" id="{3E5DE9E8-AF49-451C-91DF-46E49E528DDE}"/>
            </a:ext>
          </a:extLst>
        </xdr:cNvPr>
        <xdr:cNvSpPr txBox="1"/>
      </xdr:nvSpPr>
      <xdr:spPr>
        <a:xfrm>
          <a:off x="20188045" y="3250633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1808</xdr:row>
      <xdr:rowOff>55885</xdr:rowOff>
    </xdr:from>
    <xdr:to>
      <xdr:col>8</xdr:col>
      <xdr:colOff>171578</xdr:colOff>
      <xdr:row>1809</xdr:row>
      <xdr:rowOff>53985</xdr:rowOff>
    </xdr:to>
    <xdr:sp macro="_xll.PtreeEvent_ObjectClick" textlink="">
      <xdr:nvSpPr>
        <xdr:cNvPr id="3573" name="PTObj_DNode_1_895">
          <a:extLst>
            <a:ext uri="{FF2B5EF4-FFF2-40B4-BE49-F238E27FC236}">
              <a16:creationId xmlns:a16="http://schemas.microsoft.com/office/drawing/2014/main" id="{84356D17-2EA4-4D47-A578-5BA27AEC95D5}"/>
            </a:ext>
          </a:extLst>
        </xdr:cNvPr>
        <xdr:cNvSpPr/>
      </xdr:nvSpPr>
      <xdr:spPr>
        <a:xfrm>
          <a:off x="15643988" y="327258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1808</xdr:row>
      <xdr:rowOff>60811</xdr:rowOff>
    </xdr:from>
    <xdr:ext cx="566520" cy="180627"/>
    <xdr:sp macro="_xll.PtreeEvent_ObjectClick" textlink="">
      <xdr:nvSpPr>
        <xdr:cNvPr id="3576" name="PTObj_DBranchName_1_895">
          <a:extLst>
            <a:ext uri="{FF2B5EF4-FFF2-40B4-BE49-F238E27FC236}">
              <a16:creationId xmlns:a16="http://schemas.microsoft.com/office/drawing/2014/main" id="{E2C551C4-5256-4AE9-A7E2-D0127166C74F}"/>
            </a:ext>
          </a:extLst>
        </xdr:cNvPr>
        <xdr:cNvSpPr txBox="1"/>
      </xdr:nvSpPr>
      <xdr:spPr>
        <a:xfrm>
          <a:off x="14498765" y="3272636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1800</xdr:row>
      <xdr:rowOff>40630</xdr:rowOff>
    </xdr:from>
    <xdr:to>
      <xdr:col>9</xdr:col>
      <xdr:colOff>154432</xdr:colOff>
      <xdr:row>1801</xdr:row>
      <xdr:rowOff>57780</xdr:rowOff>
    </xdr:to>
    <xdr:sp macro="_xll.PtreeEvent_ObjectClick" textlink="">
      <xdr:nvSpPr>
        <xdr:cNvPr id="3577" name="PTObj_DNode_1_891">
          <a:extLst>
            <a:ext uri="{FF2B5EF4-FFF2-40B4-BE49-F238E27FC236}">
              <a16:creationId xmlns:a16="http://schemas.microsoft.com/office/drawing/2014/main" id="{BCAEBDD6-D53F-4041-98B4-F22473ED5CA5}"/>
            </a:ext>
          </a:extLst>
        </xdr:cNvPr>
        <xdr:cNvSpPr/>
      </xdr:nvSpPr>
      <xdr:spPr>
        <a:xfrm>
          <a:off x="17068927" y="325795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1800</xdr:row>
      <xdr:rowOff>41771</xdr:rowOff>
    </xdr:from>
    <xdr:ext cx="566519" cy="180627"/>
    <xdr:sp macro="_xll.PtreeEvent_ObjectClick" textlink="">
      <xdr:nvSpPr>
        <xdr:cNvPr id="3580" name="PTObj_DBranchName_1_891">
          <a:extLst>
            <a:ext uri="{FF2B5EF4-FFF2-40B4-BE49-F238E27FC236}">
              <a16:creationId xmlns:a16="http://schemas.microsoft.com/office/drawing/2014/main" id="{7CC03250-7DD0-4396-88DF-2A4BA74CC3B2}"/>
            </a:ext>
          </a:extLst>
        </xdr:cNvPr>
        <xdr:cNvSpPr txBox="1"/>
      </xdr:nvSpPr>
      <xdr:spPr>
        <a:xfrm>
          <a:off x="15922752" y="3257967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1802</xdr:row>
      <xdr:rowOff>44450</xdr:rowOff>
    </xdr:from>
    <xdr:to>
      <xdr:col>10</xdr:col>
      <xdr:colOff>150622</xdr:colOff>
      <xdr:row>1803</xdr:row>
      <xdr:rowOff>53980</xdr:rowOff>
    </xdr:to>
    <xdr:sp macro="_xll.PtreeEvent_ObjectClick" textlink="">
      <xdr:nvSpPr>
        <xdr:cNvPr id="3581" name="PTObj_DNode_1_892">
          <a:extLst>
            <a:ext uri="{FF2B5EF4-FFF2-40B4-BE49-F238E27FC236}">
              <a16:creationId xmlns:a16="http://schemas.microsoft.com/office/drawing/2014/main" id="{DE457DF1-B1CF-498A-BB6A-D02E40976E91}"/>
            </a:ext>
          </a:extLst>
        </xdr:cNvPr>
        <xdr:cNvSpPr/>
      </xdr:nvSpPr>
      <xdr:spPr>
        <a:xfrm>
          <a:off x="18493867" y="326161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1802</xdr:row>
      <xdr:rowOff>47471</xdr:rowOff>
    </xdr:from>
    <xdr:ext cx="514857" cy="180627"/>
    <xdr:sp macro="_xll.PtreeEvent_ObjectClick" textlink="">
      <xdr:nvSpPr>
        <xdr:cNvPr id="3584" name="PTObj_DBranchName_1_892">
          <a:extLst>
            <a:ext uri="{FF2B5EF4-FFF2-40B4-BE49-F238E27FC236}">
              <a16:creationId xmlns:a16="http://schemas.microsoft.com/office/drawing/2014/main" id="{246C7638-611C-4D27-A90E-5D9D767D0F14}"/>
            </a:ext>
          </a:extLst>
        </xdr:cNvPr>
        <xdr:cNvSpPr txBox="1"/>
      </xdr:nvSpPr>
      <xdr:spPr>
        <a:xfrm>
          <a:off x="17344834" y="3261644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1804</xdr:row>
      <xdr:rowOff>48270</xdr:rowOff>
    </xdr:from>
    <xdr:to>
      <xdr:col>11</xdr:col>
      <xdr:colOff>131573</xdr:colOff>
      <xdr:row>1805</xdr:row>
      <xdr:rowOff>57800</xdr:rowOff>
    </xdr:to>
    <xdr:sp macro="_xll.PtreeEvent_ObjectClick" textlink="">
      <xdr:nvSpPr>
        <xdr:cNvPr id="3585" name="PTObj_DNode_1_893">
          <a:extLst>
            <a:ext uri="{FF2B5EF4-FFF2-40B4-BE49-F238E27FC236}">
              <a16:creationId xmlns:a16="http://schemas.microsoft.com/office/drawing/2014/main" id="{122091CA-52C6-428E-ABEE-9241736A9EC5}"/>
            </a:ext>
          </a:extLst>
        </xdr:cNvPr>
        <xdr:cNvSpPr/>
      </xdr:nvSpPr>
      <xdr:spPr>
        <a:xfrm>
          <a:off x="19918807" y="326527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1804</xdr:row>
      <xdr:rowOff>51291</xdr:rowOff>
    </xdr:from>
    <xdr:ext cx="514858" cy="180627"/>
    <xdr:sp macro="_xll.PtreeEvent_ObjectClick" textlink="">
      <xdr:nvSpPr>
        <xdr:cNvPr id="3588" name="PTObj_DBranchName_1_893">
          <a:extLst>
            <a:ext uri="{FF2B5EF4-FFF2-40B4-BE49-F238E27FC236}">
              <a16:creationId xmlns:a16="http://schemas.microsoft.com/office/drawing/2014/main" id="{7544A1F1-BB90-4973-AC9F-2D5FA9807C43}"/>
            </a:ext>
          </a:extLst>
        </xdr:cNvPr>
        <xdr:cNvSpPr txBox="1"/>
      </xdr:nvSpPr>
      <xdr:spPr>
        <a:xfrm>
          <a:off x="18768820" y="326530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1806</xdr:row>
      <xdr:rowOff>58735</xdr:rowOff>
    </xdr:from>
    <xdr:to>
      <xdr:col>12</xdr:col>
      <xdr:colOff>136337</xdr:colOff>
      <xdr:row>1807</xdr:row>
      <xdr:rowOff>58735</xdr:rowOff>
    </xdr:to>
    <xdr:sp macro="_xll.PtreeEvent_ObjectClick" textlink="">
      <xdr:nvSpPr>
        <xdr:cNvPr id="3589" name="PTObj_DNode_1_894">
          <a:extLst>
            <a:ext uri="{FF2B5EF4-FFF2-40B4-BE49-F238E27FC236}">
              <a16:creationId xmlns:a16="http://schemas.microsoft.com/office/drawing/2014/main" id="{5DD8819A-F138-4B16-A192-3D1526627B99}"/>
            </a:ext>
          </a:extLst>
        </xdr:cNvPr>
        <xdr:cNvSpPr/>
      </xdr:nvSpPr>
      <xdr:spPr>
        <a:xfrm rot="-5400000">
          <a:off x="21347557" y="3268967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1806</xdr:row>
      <xdr:rowOff>57016</xdr:rowOff>
    </xdr:from>
    <xdr:ext cx="514858" cy="180627"/>
    <xdr:sp macro="_xll.PtreeEvent_ObjectClick" textlink="">
      <xdr:nvSpPr>
        <xdr:cNvPr id="3592" name="PTObj_DBranchName_1_894">
          <a:extLst>
            <a:ext uri="{FF2B5EF4-FFF2-40B4-BE49-F238E27FC236}">
              <a16:creationId xmlns:a16="http://schemas.microsoft.com/office/drawing/2014/main" id="{32462395-75D4-4EF6-B206-95CE912323BB}"/>
            </a:ext>
          </a:extLst>
        </xdr:cNvPr>
        <xdr:cNvSpPr txBox="1"/>
      </xdr:nvSpPr>
      <xdr:spPr>
        <a:xfrm>
          <a:off x="20188045" y="3268978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1810</xdr:row>
      <xdr:rowOff>59680</xdr:rowOff>
    </xdr:from>
    <xdr:to>
      <xdr:col>9</xdr:col>
      <xdr:colOff>154432</xdr:colOff>
      <xdr:row>1811</xdr:row>
      <xdr:rowOff>53970</xdr:rowOff>
    </xdr:to>
    <xdr:sp macro="_xll.PtreeEvent_ObjectClick" textlink="">
      <xdr:nvSpPr>
        <xdr:cNvPr id="3593" name="PTObj_DNode_1_896">
          <a:extLst>
            <a:ext uri="{FF2B5EF4-FFF2-40B4-BE49-F238E27FC236}">
              <a16:creationId xmlns:a16="http://schemas.microsoft.com/office/drawing/2014/main" id="{1E8F2139-6046-4E80-9FBA-CC6651A4315E}"/>
            </a:ext>
          </a:extLst>
        </xdr:cNvPr>
        <xdr:cNvSpPr/>
      </xdr:nvSpPr>
      <xdr:spPr>
        <a:xfrm>
          <a:off x="17068927" y="327624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1810</xdr:row>
      <xdr:rowOff>57011</xdr:rowOff>
    </xdr:from>
    <xdr:ext cx="566520" cy="180627"/>
    <xdr:sp macro="_xll.PtreeEvent_ObjectClick" textlink="">
      <xdr:nvSpPr>
        <xdr:cNvPr id="3596" name="PTObj_DBranchName_1_896">
          <a:extLst>
            <a:ext uri="{FF2B5EF4-FFF2-40B4-BE49-F238E27FC236}">
              <a16:creationId xmlns:a16="http://schemas.microsoft.com/office/drawing/2014/main" id="{9C4A1665-23D9-4381-8641-EFF7A095A745}"/>
            </a:ext>
          </a:extLst>
        </xdr:cNvPr>
        <xdr:cNvSpPr txBox="1"/>
      </xdr:nvSpPr>
      <xdr:spPr>
        <a:xfrm>
          <a:off x="15926563" y="3276217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1812</xdr:row>
      <xdr:rowOff>63500</xdr:rowOff>
    </xdr:from>
    <xdr:to>
      <xdr:col>10</xdr:col>
      <xdr:colOff>150622</xdr:colOff>
      <xdr:row>1813</xdr:row>
      <xdr:rowOff>55885</xdr:rowOff>
    </xdr:to>
    <xdr:sp macro="_xll.PtreeEvent_ObjectClick" textlink="">
      <xdr:nvSpPr>
        <xdr:cNvPr id="3597" name="PTObj_DNode_1_897">
          <a:extLst>
            <a:ext uri="{FF2B5EF4-FFF2-40B4-BE49-F238E27FC236}">
              <a16:creationId xmlns:a16="http://schemas.microsoft.com/office/drawing/2014/main" id="{8B84F175-A21B-4F0F-89D6-7D56F4ED7451}"/>
            </a:ext>
          </a:extLst>
        </xdr:cNvPr>
        <xdr:cNvSpPr/>
      </xdr:nvSpPr>
      <xdr:spPr>
        <a:xfrm>
          <a:off x="18493867" y="327990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1812</xdr:row>
      <xdr:rowOff>60806</xdr:rowOff>
    </xdr:from>
    <xdr:ext cx="514857" cy="180627"/>
    <xdr:sp macro="_xll.PtreeEvent_ObjectClick" textlink="">
      <xdr:nvSpPr>
        <xdr:cNvPr id="3600" name="PTObj_DBranchName_1_897">
          <a:extLst>
            <a:ext uri="{FF2B5EF4-FFF2-40B4-BE49-F238E27FC236}">
              <a16:creationId xmlns:a16="http://schemas.microsoft.com/office/drawing/2014/main" id="{6DF8B040-3BB6-45F0-A029-F3E921D02C17}"/>
            </a:ext>
          </a:extLst>
        </xdr:cNvPr>
        <xdr:cNvSpPr txBox="1"/>
      </xdr:nvSpPr>
      <xdr:spPr>
        <a:xfrm>
          <a:off x="17344834" y="3279875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1814</xdr:row>
      <xdr:rowOff>67320</xdr:rowOff>
    </xdr:from>
    <xdr:to>
      <xdr:col>11</xdr:col>
      <xdr:colOff>131573</xdr:colOff>
      <xdr:row>1815</xdr:row>
      <xdr:rowOff>59705</xdr:rowOff>
    </xdr:to>
    <xdr:sp macro="_xll.PtreeEvent_ObjectClick" textlink="">
      <xdr:nvSpPr>
        <xdr:cNvPr id="3601" name="PTObj_DNode_1_898">
          <a:extLst>
            <a:ext uri="{FF2B5EF4-FFF2-40B4-BE49-F238E27FC236}">
              <a16:creationId xmlns:a16="http://schemas.microsoft.com/office/drawing/2014/main" id="{7BA85690-12FC-4DDC-8D7C-7A544BB64E41}"/>
            </a:ext>
          </a:extLst>
        </xdr:cNvPr>
        <xdr:cNvSpPr/>
      </xdr:nvSpPr>
      <xdr:spPr>
        <a:xfrm>
          <a:off x="19918807" y="328355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1814</xdr:row>
      <xdr:rowOff>66531</xdr:rowOff>
    </xdr:from>
    <xdr:ext cx="514858" cy="180627"/>
    <xdr:sp macro="_xll.PtreeEvent_ObjectClick" textlink="">
      <xdr:nvSpPr>
        <xdr:cNvPr id="3604" name="PTObj_DBranchName_1_898">
          <a:extLst>
            <a:ext uri="{FF2B5EF4-FFF2-40B4-BE49-F238E27FC236}">
              <a16:creationId xmlns:a16="http://schemas.microsoft.com/office/drawing/2014/main" id="{680419C6-82ED-44E0-AFB0-A8FE09FF8CF6}"/>
            </a:ext>
          </a:extLst>
        </xdr:cNvPr>
        <xdr:cNvSpPr txBox="1"/>
      </xdr:nvSpPr>
      <xdr:spPr>
        <a:xfrm>
          <a:off x="18768820" y="328355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1816</xdr:row>
      <xdr:rowOff>73022</xdr:rowOff>
    </xdr:from>
    <xdr:to>
      <xdr:col>12</xdr:col>
      <xdr:colOff>131575</xdr:colOff>
      <xdr:row>1817</xdr:row>
      <xdr:rowOff>55877</xdr:rowOff>
    </xdr:to>
    <xdr:sp macro="_xll.PtreeEvent_ObjectClick" textlink="">
      <xdr:nvSpPr>
        <xdr:cNvPr id="3605" name="PTObj_DNode_1_899">
          <a:extLst>
            <a:ext uri="{FF2B5EF4-FFF2-40B4-BE49-F238E27FC236}">
              <a16:creationId xmlns:a16="http://schemas.microsoft.com/office/drawing/2014/main" id="{7F3C0578-38DB-4EE2-A454-B7BC3DE736EF}"/>
            </a:ext>
          </a:extLst>
        </xdr:cNvPr>
        <xdr:cNvSpPr/>
      </xdr:nvSpPr>
      <xdr:spPr>
        <a:xfrm rot="-5400000">
          <a:off x="21347557" y="3287198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1816</xdr:row>
      <xdr:rowOff>70351</xdr:rowOff>
    </xdr:from>
    <xdr:ext cx="514858" cy="180627"/>
    <xdr:sp macro="_xll.PtreeEvent_ObjectClick" textlink="">
      <xdr:nvSpPr>
        <xdr:cNvPr id="3608" name="PTObj_DBranchName_1_899">
          <a:extLst>
            <a:ext uri="{FF2B5EF4-FFF2-40B4-BE49-F238E27FC236}">
              <a16:creationId xmlns:a16="http://schemas.microsoft.com/office/drawing/2014/main" id="{C60D86C0-ED52-48D6-BA4D-A0B1FF6958E2}"/>
            </a:ext>
          </a:extLst>
        </xdr:cNvPr>
        <xdr:cNvSpPr txBox="1"/>
      </xdr:nvSpPr>
      <xdr:spPr>
        <a:xfrm>
          <a:off x="20188045" y="3287209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1838</xdr:row>
      <xdr:rowOff>113035</xdr:rowOff>
    </xdr:from>
    <xdr:to>
      <xdr:col>7</xdr:col>
      <xdr:colOff>167767</xdr:colOff>
      <xdr:row>1839</xdr:row>
      <xdr:rowOff>114945</xdr:rowOff>
    </xdr:to>
    <xdr:sp macro="_xll.PtreeEvent_ObjectClick" textlink="">
      <xdr:nvSpPr>
        <xdr:cNvPr id="3609" name="PTObj_DNode_1_910">
          <a:extLst>
            <a:ext uri="{FF2B5EF4-FFF2-40B4-BE49-F238E27FC236}">
              <a16:creationId xmlns:a16="http://schemas.microsoft.com/office/drawing/2014/main" id="{FCD9AADE-04DE-466B-BEF1-553B3DFE5EC5}"/>
            </a:ext>
          </a:extLst>
        </xdr:cNvPr>
        <xdr:cNvSpPr/>
      </xdr:nvSpPr>
      <xdr:spPr>
        <a:xfrm>
          <a:off x="14219047" y="33274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1838</xdr:row>
      <xdr:rowOff>114151</xdr:rowOff>
    </xdr:from>
    <xdr:ext cx="566520" cy="180627"/>
    <xdr:sp macro="_xll.PtreeEvent_ObjectClick" textlink="">
      <xdr:nvSpPr>
        <xdr:cNvPr id="3612" name="PTObj_DBranchName_1_910">
          <a:extLst>
            <a:ext uri="{FF2B5EF4-FFF2-40B4-BE49-F238E27FC236}">
              <a16:creationId xmlns:a16="http://schemas.microsoft.com/office/drawing/2014/main" id="{80DDE109-1C30-4FE8-901B-AE22517493C4}"/>
            </a:ext>
          </a:extLst>
        </xdr:cNvPr>
        <xdr:cNvSpPr txBox="1"/>
      </xdr:nvSpPr>
      <xdr:spPr>
        <a:xfrm>
          <a:off x="13074777" y="3327462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1828</xdr:row>
      <xdr:rowOff>93985</xdr:rowOff>
    </xdr:from>
    <xdr:to>
      <xdr:col>8</xdr:col>
      <xdr:colOff>171578</xdr:colOff>
      <xdr:row>1829</xdr:row>
      <xdr:rowOff>92085</xdr:rowOff>
    </xdr:to>
    <xdr:sp macro="_xll.PtreeEvent_ObjectClick" textlink="">
      <xdr:nvSpPr>
        <xdr:cNvPr id="3613" name="PTObj_DNode_1_905">
          <a:extLst>
            <a:ext uri="{FF2B5EF4-FFF2-40B4-BE49-F238E27FC236}">
              <a16:creationId xmlns:a16="http://schemas.microsoft.com/office/drawing/2014/main" id="{F7293BA7-97FD-48F1-9E39-5A56D7B12D4F}"/>
            </a:ext>
          </a:extLst>
        </xdr:cNvPr>
        <xdr:cNvSpPr/>
      </xdr:nvSpPr>
      <xdr:spPr>
        <a:xfrm>
          <a:off x="15643988" y="330916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1828</xdr:row>
      <xdr:rowOff>98911</xdr:rowOff>
    </xdr:from>
    <xdr:ext cx="566520" cy="180627"/>
    <xdr:sp macro="_xll.PtreeEvent_ObjectClick" textlink="">
      <xdr:nvSpPr>
        <xdr:cNvPr id="3616" name="PTObj_DBranchName_1_905">
          <a:extLst>
            <a:ext uri="{FF2B5EF4-FFF2-40B4-BE49-F238E27FC236}">
              <a16:creationId xmlns:a16="http://schemas.microsoft.com/office/drawing/2014/main" id="{999C8CD1-14EB-4EDA-9B58-A2A4E10F0CA2}"/>
            </a:ext>
          </a:extLst>
        </xdr:cNvPr>
        <xdr:cNvSpPr txBox="1"/>
      </xdr:nvSpPr>
      <xdr:spPr>
        <a:xfrm>
          <a:off x="14500670" y="330921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1820</xdr:row>
      <xdr:rowOff>78730</xdr:rowOff>
    </xdr:from>
    <xdr:to>
      <xdr:col>9</xdr:col>
      <xdr:colOff>154432</xdr:colOff>
      <xdr:row>1821</xdr:row>
      <xdr:rowOff>95880</xdr:rowOff>
    </xdr:to>
    <xdr:sp macro="_xll.PtreeEvent_ObjectClick" textlink="">
      <xdr:nvSpPr>
        <xdr:cNvPr id="3617" name="PTObj_DNode_1_901">
          <a:extLst>
            <a:ext uri="{FF2B5EF4-FFF2-40B4-BE49-F238E27FC236}">
              <a16:creationId xmlns:a16="http://schemas.microsoft.com/office/drawing/2014/main" id="{44DA582F-6BFC-4340-A098-B2875CAFF184}"/>
            </a:ext>
          </a:extLst>
        </xdr:cNvPr>
        <xdr:cNvSpPr/>
      </xdr:nvSpPr>
      <xdr:spPr>
        <a:xfrm>
          <a:off x="17068927" y="329453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1820</xdr:row>
      <xdr:rowOff>79871</xdr:rowOff>
    </xdr:from>
    <xdr:ext cx="566519" cy="180627"/>
    <xdr:sp macro="_xll.PtreeEvent_ObjectClick" textlink="">
      <xdr:nvSpPr>
        <xdr:cNvPr id="3620" name="PTObj_DBranchName_1_901">
          <a:extLst>
            <a:ext uri="{FF2B5EF4-FFF2-40B4-BE49-F238E27FC236}">
              <a16:creationId xmlns:a16="http://schemas.microsoft.com/office/drawing/2014/main" id="{1DDFCB6C-CADF-4BA4-9503-B7BB736EE89E}"/>
            </a:ext>
          </a:extLst>
        </xdr:cNvPr>
        <xdr:cNvSpPr txBox="1"/>
      </xdr:nvSpPr>
      <xdr:spPr>
        <a:xfrm>
          <a:off x="15922752" y="3294543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1822</xdr:row>
      <xdr:rowOff>82550</xdr:rowOff>
    </xdr:from>
    <xdr:to>
      <xdr:col>10</xdr:col>
      <xdr:colOff>150622</xdr:colOff>
      <xdr:row>1823</xdr:row>
      <xdr:rowOff>92080</xdr:rowOff>
    </xdr:to>
    <xdr:sp macro="_xll.PtreeEvent_ObjectClick" textlink="">
      <xdr:nvSpPr>
        <xdr:cNvPr id="3621" name="PTObj_DNode_1_902">
          <a:extLst>
            <a:ext uri="{FF2B5EF4-FFF2-40B4-BE49-F238E27FC236}">
              <a16:creationId xmlns:a16="http://schemas.microsoft.com/office/drawing/2014/main" id="{7CFB2735-4AB9-4807-B669-7D35AB860634}"/>
            </a:ext>
          </a:extLst>
        </xdr:cNvPr>
        <xdr:cNvSpPr/>
      </xdr:nvSpPr>
      <xdr:spPr>
        <a:xfrm>
          <a:off x="18493867" y="329819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1822</xdr:row>
      <xdr:rowOff>85571</xdr:rowOff>
    </xdr:from>
    <xdr:ext cx="514857" cy="180627"/>
    <xdr:sp macro="_xll.PtreeEvent_ObjectClick" textlink="">
      <xdr:nvSpPr>
        <xdr:cNvPr id="3624" name="PTObj_DBranchName_1_902">
          <a:extLst>
            <a:ext uri="{FF2B5EF4-FFF2-40B4-BE49-F238E27FC236}">
              <a16:creationId xmlns:a16="http://schemas.microsoft.com/office/drawing/2014/main" id="{DD009307-800F-4ABD-9395-953440DF9364}"/>
            </a:ext>
          </a:extLst>
        </xdr:cNvPr>
        <xdr:cNvSpPr txBox="1"/>
      </xdr:nvSpPr>
      <xdr:spPr>
        <a:xfrm>
          <a:off x="17344834" y="3298220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1824</xdr:row>
      <xdr:rowOff>86370</xdr:rowOff>
    </xdr:from>
    <xdr:to>
      <xdr:col>11</xdr:col>
      <xdr:colOff>131573</xdr:colOff>
      <xdr:row>1825</xdr:row>
      <xdr:rowOff>95900</xdr:rowOff>
    </xdr:to>
    <xdr:sp macro="_xll.PtreeEvent_ObjectClick" textlink="">
      <xdr:nvSpPr>
        <xdr:cNvPr id="3625" name="PTObj_DNode_1_903">
          <a:extLst>
            <a:ext uri="{FF2B5EF4-FFF2-40B4-BE49-F238E27FC236}">
              <a16:creationId xmlns:a16="http://schemas.microsoft.com/office/drawing/2014/main" id="{FA6C47C0-348E-4145-AF90-49FAEF939B13}"/>
            </a:ext>
          </a:extLst>
        </xdr:cNvPr>
        <xdr:cNvSpPr/>
      </xdr:nvSpPr>
      <xdr:spPr>
        <a:xfrm>
          <a:off x="19918807" y="330184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1824</xdr:row>
      <xdr:rowOff>89391</xdr:rowOff>
    </xdr:from>
    <xdr:ext cx="514858" cy="180627"/>
    <xdr:sp macro="_xll.PtreeEvent_ObjectClick" textlink="">
      <xdr:nvSpPr>
        <xdr:cNvPr id="3628" name="PTObj_DBranchName_1_903">
          <a:extLst>
            <a:ext uri="{FF2B5EF4-FFF2-40B4-BE49-F238E27FC236}">
              <a16:creationId xmlns:a16="http://schemas.microsoft.com/office/drawing/2014/main" id="{4BCB29F0-9AD2-4E3B-B298-0E7E05399DF2}"/>
            </a:ext>
          </a:extLst>
        </xdr:cNvPr>
        <xdr:cNvSpPr txBox="1"/>
      </xdr:nvSpPr>
      <xdr:spPr>
        <a:xfrm>
          <a:off x="18768820" y="330187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1826</xdr:row>
      <xdr:rowOff>96835</xdr:rowOff>
    </xdr:from>
    <xdr:to>
      <xdr:col>12</xdr:col>
      <xdr:colOff>136337</xdr:colOff>
      <xdr:row>1827</xdr:row>
      <xdr:rowOff>96835</xdr:rowOff>
    </xdr:to>
    <xdr:sp macro="_xll.PtreeEvent_ObjectClick" textlink="">
      <xdr:nvSpPr>
        <xdr:cNvPr id="3629" name="PTObj_DNode_1_904">
          <a:extLst>
            <a:ext uri="{FF2B5EF4-FFF2-40B4-BE49-F238E27FC236}">
              <a16:creationId xmlns:a16="http://schemas.microsoft.com/office/drawing/2014/main" id="{E68190A6-3105-4B6C-B8AC-EA15C5BE72D0}"/>
            </a:ext>
          </a:extLst>
        </xdr:cNvPr>
        <xdr:cNvSpPr/>
      </xdr:nvSpPr>
      <xdr:spPr>
        <a:xfrm rot="-5400000">
          <a:off x="21347557" y="3305543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1826</xdr:row>
      <xdr:rowOff>95116</xdr:rowOff>
    </xdr:from>
    <xdr:ext cx="514858" cy="180627"/>
    <xdr:sp macro="_xll.PtreeEvent_ObjectClick" textlink="">
      <xdr:nvSpPr>
        <xdr:cNvPr id="3632" name="PTObj_DBranchName_1_904">
          <a:extLst>
            <a:ext uri="{FF2B5EF4-FFF2-40B4-BE49-F238E27FC236}">
              <a16:creationId xmlns:a16="http://schemas.microsoft.com/office/drawing/2014/main" id="{7CBF779F-A2E4-4EBF-82C0-943D96346EF1}"/>
            </a:ext>
          </a:extLst>
        </xdr:cNvPr>
        <xdr:cNvSpPr txBox="1"/>
      </xdr:nvSpPr>
      <xdr:spPr>
        <a:xfrm>
          <a:off x="20188045" y="3305554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1830</xdr:row>
      <xdr:rowOff>97780</xdr:rowOff>
    </xdr:from>
    <xdr:to>
      <xdr:col>9</xdr:col>
      <xdr:colOff>154432</xdr:colOff>
      <xdr:row>1831</xdr:row>
      <xdr:rowOff>92070</xdr:rowOff>
    </xdr:to>
    <xdr:sp macro="_xll.PtreeEvent_ObjectClick" textlink="">
      <xdr:nvSpPr>
        <xdr:cNvPr id="3633" name="PTObj_DNode_1_906">
          <a:extLst>
            <a:ext uri="{FF2B5EF4-FFF2-40B4-BE49-F238E27FC236}">
              <a16:creationId xmlns:a16="http://schemas.microsoft.com/office/drawing/2014/main" id="{5030BC12-A63D-4111-A556-A6BF74C59E21}"/>
            </a:ext>
          </a:extLst>
        </xdr:cNvPr>
        <xdr:cNvSpPr/>
      </xdr:nvSpPr>
      <xdr:spPr>
        <a:xfrm>
          <a:off x="17068927" y="331282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1830</xdr:row>
      <xdr:rowOff>95111</xdr:rowOff>
    </xdr:from>
    <xdr:ext cx="566520" cy="180627"/>
    <xdr:sp macro="_xll.PtreeEvent_ObjectClick" textlink="">
      <xdr:nvSpPr>
        <xdr:cNvPr id="3636" name="PTObj_DBranchName_1_906">
          <a:extLst>
            <a:ext uri="{FF2B5EF4-FFF2-40B4-BE49-F238E27FC236}">
              <a16:creationId xmlns:a16="http://schemas.microsoft.com/office/drawing/2014/main" id="{CA405680-5080-47DC-B415-9A503B140D59}"/>
            </a:ext>
          </a:extLst>
        </xdr:cNvPr>
        <xdr:cNvSpPr txBox="1"/>
      </xdr:nvSpPr>
      <xdr:spPr>
        <a:xfrm>
          <a:off x="15926563" y="3312793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1832</xdr:row>
      <xdr:rowOff>101600</xdr:rowOff>
    </xdr:from>
    <xdr:to>
      <xdr:col>10</xdr:col>
      <xdr:colOff>150622</xdr:colOff>
      <xdr:row>1833</xdr:row>
      <xdr:rowOff>93985</xdr:rowOff>
    </xdr:to>
    <xdr:sp macro="_xll.PtreeEvent_ObjectClick" textlink="">
      <xdr:nvSpPr>
        <xdr:cNvPr id="3637" name="PTObj_DNode_1_907">
          <a:extLst>
            <a:ext uri="{FF2B5EF4-FFF2-40B4-BE49-F238E27FC236}">
              <a16:creationId xmlns:a16="http://schemas.microsoft.com/office/drawing/2014/main" id="{740D6593-2C64-42F1-85D8-6C1AC8928B51}"/>
            </a:ext>
          </a:extLst>
        </xdr:cNvPr>
        <xdr:cNvSpPr/>
      </xdr:nvSpPr>
      <xdr:spPr>
        <a:xfrm>
          <a:off x="18493867" y="331647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1832</xdr:row>
      <xdr:rowOff>98906</xdr:rowOff>
    </xdr:from>
    <xdr:ext cx="514857" cy="180627"/>
    <xdr:sp macro="_xll.PtreeEvent_ObjectClick" textlink="">
      <xdr:nvSpPr>
        <xdr:cNvPr id="3640" name="PTObj_DBranchName_1_907">
          <a:extLst>
            <a:ext uri="{FF2B5EF4-FFF2-40B4-BE49-F238E27FC236}">
              <a16:creationId xmlns:a16="http://schemas.microsoft.com/office/drawing/2014/main" id="{D635119C-F639-4C4C-A7E3-E9FDCA5BE6CE}"/>
            </a:ext>
          </a:extLst>
        </xdr:cNvPr>
        <xdr:cNvSpPr txBox="1"/>
      </xdr:nvSpPr>
      <xdr:spPr>
        <a:xfrm>
          <a:off x="17344834" y="3316451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1834</xdr:row>
      <xdr:rowOff>105420</xdr:rowOff>
    </xdr:from>
    <xdr:to>
      <xdr:col>11</xdr:col>
      <xdr:colOff>131573</xdr:colOff>
      <xdr:row>1835</xdr:row>
      <xdr:rowOff>97805</xdr:rowOff>
    </xdr:to>
    <xdr:sp macro="_xll.PtreeEvent_ObjectClick" textlink="">
      <xdr:nvSpPr>
        <xdr:cNvPr id="3641" name="PTObj_DNode_1_908">
          <a:extLst>
            <a:ext uri="{FF2B5EF4-FFF2-40B4-BE49-F238E27FC236}">
              <a16:creationId xmlns:a16="http://schemas.microsoft.com/office/drawing/2014/main" id="{4ABB3D1A-007D-4861-BAEB-BBBC12EB9480}"/>
            </a:ext>
          </a:extLst>
        </xdr:cNvPr>
        <xdr:cNvSpPr/>
      </xdr:nvSpPr>
      <xdr:spPr>
        <a:xfrm>
          <a:off x="19918807" y="332013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1834</xdr:row>
      <xdr:rowOff>104631</xdr:rowOff>
    </xdr:from>
    <xdr:ext cx="514858" cy="180627"/>
    <xdr:sp macro="_xll.PtreeEvent_ObjectClick" textlink="">
      <xdr:nvSpPr>
        <xdr:cNvPr id="3644" name="PTObj_DBranchName_1_908">
          <a:extLst>
            <a:ext uri="{FF2B5EF4-FFF2-40B4-BE49-F238E27FC236}">
              <a16:creationId xmlns:a16="http://schemas.microsoft.com/office/drawing/2014/main" id="{BCC64323-6247-46BC-91BB-9E431E7225CE}"/>
            </a:ext>
          </a:extLst>
        </xdr:cNvPr>
        <xdr:cNvSpPr txBox="1"/>
      </xdr:nvSpPr>
      <xdr:spPr>
        <a:xfrm>
          <a:off x="18768820" y="332012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1836</xdr:row>
      <xdr:rowOff>111122</xdr:rowOff>
    </xdr:from>
    <xdr:to>
      <xdr:col>12</xdr:col>
      <xdr:colOff>131575</xdr:colOff>
      <xdr:row>1837</xdr:row>
      <xdr:rowOff>93977</xdr:rowOff>
    </xdr:to>
    <xdr:sp macro="_xll.PtreeEvent_ObjectClick" textlink="">
      <xdr:nvSpPr>
        <xdr:cNvPr id="3645" name="PTObj_DNode_1_909">
          <a:extLst>
            <a:ext uri="{FF2B5EF4-FFF2-40B4-BE49-F238E27FC236}">
              <a16:creationId xmlns:a16="http://schemas.microsoft.com/office/drawing/2014/main" id="{77E46255-DDAA-4628-9B4A-A25178FBE842}"/>
            </a:ext>
          </a:extLst>
        </xdr:cNvPr>
        <xdr:cNvSpPr/>
      </xdr:nvSpPr>
      <xdr:spPr>
        <a:xfrm rot="-5400000">
          <a:off x="21347557" y="3323774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1836</xdr:row>
      <xdr:rowOff>108451</xdr:rowOff>
    </xdr:from>
    <xdr:ext cx="514858" cy="180627"/>
    <xdr:sp macro="_xll.PtreeEvent_ObjectClick" textlink="">
      <xdr:nvSpPr>
        <xdr:cNvPr id="3648" name="PTObj_DBranchName_1_909">
          <a:extLst>
            <a:ext uri="{FF2B5EF4-FFF2-40B4-BE49-F238E27FC236}">
              <a16:creationId xmlns:a16="http://schemas.microsoft.com/office/drawing/2014/main" id="{EC33E10C-03F2-452A-9A9C-7059775B4C62}"/>
            </a:ext>
          </a:extLst>
        </xdr:cNvPr>
        <xdr:cNvSpPr txBox="1"/>
      </xdr:nvSpPr>
      <xdr:spPr>
        <a:xfrm>
          <a:off x="20188045" y="3323785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1848</xdr:row>
      <xdr:rowOff>132085</xdr:rowOff>
    </xdr:from>
    <xdr:to>
      <xdr:col>8</xdr:col>
      <xdr:colOff>167768</xdr:colOff>
      <xdr:row>1849</xdr:row>
      <xdr:rowOff>133995</xdr:rowOff>
    </xdr:to>
    <xdr:sp macro="_xll.PtreeEvent_ObjectClick" textlink="">
      <xdr:nvSpPr>
        <xdr:cNvPr id="3649" name="PTObj_DNode_1_915">
          <a:extLst>
            <a:ext uri="{FF2B5EF4-FFF2-40B4-BE49-F238E27FC236}">
              <a16:creationId xmlns:a16="http://schemas.microsoft.com/office/drawing/2014/main" id="{65E3E568-D7A7-4919-A694-FAC7250F6C46}"/>
            </a:ext>
          </a:extLst>
        </xdr:cNvPr>
        <xdr:cNvSpPr/>
      </xdr:nvSpPr>
      <xdr:spPr>
        <a:xfrm>
          <a:off x="15643988" y="33457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1848</xdr:row>
      <xdr:rowOff>137011</xdr:rowOff>
    </xdr:from>
    <xdr:ext cx="566520" cy="180627"/>
    <xdr:sp macro="_xll.PtreeEvent_ObjectClick" textlink="">
      <xdr:nvSpPr>
        <xdr:cNvPr id="3652" name="PTObj_DBranchName_1_915">
          <a:extLst>
            <a:ext uri="{FF2B5EF4-FFF2-40B4-BE49-F238E27FC236}">
              <a16:creationId xmlns:a16="http://schemas.microsoft.com/office/drawing/2014/main" id="{4F3DA9FB-3C1F-423F-942A-08955C86B4B6}"/>
            </a:ext>
          </a:extLst>
        </xdr:cNvPr>
        <xdr:cNvSpPr txBox="1"/>
      </xdr:nvSpPr>
      <xdr:spPr>
        <a:xfrm>
          <a:off x="14498765" y="334578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1840</xdr:row>
      <xdr:rowOff>116830</xdr:rowOff>
    </xdr:from>
    <xdr:to>
      <xdr:col>9</xdr:col>
      <xdr:colOff>154432</xdr:colOff>
      <xdr:row>1841</xdr:row>
      <xdr:rowOff>130170</xdr:rowOff>
    </xdr:to>
    <xdr:sp macro="_xll.PtreeEvent_ObjectClick" textlink="">
      <xdr:nvSpPr>
        <xdr:cNvPr id="3653" name="PTObj_DNode_1_911">
          <a:extLst>
            <a:ext uri="{FF2B5EF4-FFF2-40B4-BE49-F238E27FC236}">
              <a16:creationId xmlns:a16="http://schemas.microsoft.com/office/drawing/2014/main" id="{D64ACB4C-B7A9-4795-A8EA-F1D38C88709D}"/>
            </a:ext>
          </a:extLst>
        </xdr:cNvPr>
        <xdr:cNvSpPr/>
      </xdr:nvSpPr>
      <xdr:spPr>
        <a:xfrm>
          <a:off x="17068927" y="333110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1840</xdr:row>
      <xdr:rowOff>117971</xdr:rowOff>
    </xdr:from>
    <xdr:ext cx="566519" cy="180627"/>
    <xdr:sp macro="_xll.PtreeEvent_ObjectClick" textlink="">
      <xdr:nvSpPr>
        <xdr:cNvPr id="3656" name="PTObj_DBranchName_1_911">
          <a:extLst>
            <a:ext uri="{FF2B5EF4-FFF2-40B4-BE49-F238E27FC236}">
              <a16:creationId xmlns:a16="http://schemas.microsoft.com/office/drawing/2014/main" id="{DC941A58-E58A-4CED-9D98-A682532BF79D}"/>
            </a:ext>
          </a:extLst>
        </xdr:cNvPr>
        <xdr:cNvSpPr txBox="1"/>
      </xdr:nvSpPr>
      <xdr:spPr>
        <a:xfrm>
          <a:off x="15922752" y="3331119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1842</xdr:row>
      <xdr:rowOff>120650</xdr:rowOff>
    </xdr:from>
    <xdr:to>
      <xdr:col>10</xdr:col>
      <xdr:colOff>150622</xdr:colOff>
      <xdr:row>1843</xdr:row>
      <xdr:rowOff>133990</xdr:rowOff>
    </xdr:to>
    <xdr:sp macro="_xll.PtreeEvent_ObjectClick" textlink="">
      <xdr:nvSpPr>
        <xdr:cNvPr id="3657" name="PTObj_DNode_1_912">
          <a:extLst>
            <a:ext uri="{FF2B5EF4-FFF2-40B4-BE49-F238E27FC236}">
              <a16:creationId xmlns:a16="http://schemas.microsoft.com/office/drawing/2014/main" id="{4092876B-DD2C-4DBB-A095-A672F8628B7D}"/>
            </a:ext>
          </a:extLst>
        </xdr:cNvPr>
        <xdr:cNvSpPr/>
      </xdr:nvSpPr>
      <xdr:spPr>
        <a:xfrm>
          <a:off x="18493867" y="333476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1842</xdr:row>
      <xdr:rowOff>123671</xdr:rowOff>
    </xdr:from>
    <xdr:ext cx="514857" cy="180627"/>
    <xdr:sp macro="_xll.PtreeEvent_ObjectClick" textlink="">
      <xdr:nvSpPr>
        <xdr:cNvPr id="3660" name="PTObj_DBranchName_1_912">
          <a:extLst>
            <a:ext uri="{FF2B5EF4-FFF2-40B4-BE49-F238E27FC236}">
              <a16:creationId xmlns:a16="http://schemas.microsoft.com/office/drawing/2014/main" id="{A67499DC-878F-406A-AF58-B7E9DE493A65}"/>
            </a:ext>
          </a:extLst>
        </xdr:cNvPr>
        <xdr:cNvSpPr txBox="1"/>
      </xdr:nvSpPr>
      <xdr:spPr>
        <a:xfrm>
          <a:off x="17344834" y="3334796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1844</xdr:row>
      <xdr:rowOff>124470</xdr:rowOff>
    </xdr:from>
    <xdr:to>
      <xdr:col>11</xdr:col>
      <xdr:colOff>135383</xdr:colOff>
      <xdr:row>1845</xdr:row>
      <xdr:rowOff>130190</xdr:rowOff>
    </xdr:to>
    <xdr:sp macro="_xll.PtreeEvent_ObjectClick" textlink="">
      <xdr:nvSpPr>
        <xdr:cNvPr id="3661" name="PTObj_DNode_1_913">
          <a:extLst>
            <a:ext uri="{FF2B5EF4-FFF2-40B4-BE49-F238E27FC236}">
              <a16:creationId xmlns:a16="http://schemas.microsoft.com/office/drawing/2014/main" id="{3B043D1E-003D-4504-8C2D-7B7183E54BCD}"/>
            </a:ext>
          </a:extLst>
        </xdr:cNvPr>
        <xdr:cNvSpPr/>
      </xdr:nvSpPr>
      <xdr:spPr>
        <a:xfrm>
          <a:off x="19918807" y="333842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1844</xdr:row>
      <xdr:rowOff>127491</xdr:rowOff>
    </xdr:from>
    <xdr:ext cx="514858" cy="180627"/>
    <xdr:sp macro="_xll.PtreeEvent_ObjectClick" textlink="">
      <xdr:nvSpPr>
        <xdr:cNvPr id="3664" name="PTObj_DBranchName_1_913">
          <a:extLst>
            <a:ext uri="{FF2B5EF4-FFF2-40B4-BE49-F238E27FC236}">
              <a16:creationId xmlns:a16="http://schemas.microsoft.com/office/drawing/2014/main" id="{89D6B9E7-E55A-4BEE-9D92-18788AF757A7}"/>
            </a:ext>
          </a:extLst>
        </xdr:cNvPr>
        <xdr:cNvSpPr txBox="1"/>
      </xdr:nvSpPr>
      <xdr:spPr>
        <a:xfrm>
          <a:off x="18768820" y="333845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1846</xdr:row>
      <xdr:rowOff>134935</xdr:rowOff>
    </xdr:from>
    <xdr:to>
      <xdr:col>12</xdr:col>
      <xdr:colOff>132527</xdr:colOff>
      <xdr:row>1847</xdr:row>
      <xdr:rowOff>131125</xdr:rowOff>
    </xdr:to>
    <xdr:sp macro="_xll.PtreeEvent_ObjectClick" textlink="">
      <xdr:nvSpPr>
        <xdr:cNvPr id="3665" name="PTObj_DNode_1_914">
          <a:extLst>
            <a:ext uri="{FF2B5EF4-FFF2-40B4-BE49-F238E27FC236}">
              <a16:creationId xmlns:a16="http://schemas.microsoft.com/office/drawing/2014/main" id="{1A3C02DF-37FC-4D6E-A255-83F649F4FD2E}"/>
            </a:ext>
          </a:extLst>
        </xdr:cNvPr>
        <xdr:cNvSpPr/>
      </xdr:nvSpPr>
      <xdr:spPr>
        <a:xfrm rot="-5400000">
          <a:off x="21347557" y="3342119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1846</xdr:row>
      <xdr:rowOff>133216</xdr:rowOff>
    </xdr:from>
    <xdr:ext cx="514858" cy="180627"/>
    <xdr:sp macro="_xll.PtreeEvent_ObjectClick" textlink="">
      <xdr:nvSpPr>
        <xdr:cNvPr id="3668" name="PTObj_DBranchName_1_914">
          <a:extLst>
            <a:ext uri="{FF2B5EF4-FFF2-40B4-BE49-F238E27FC236}">
              <a16:creationId xmlns:a16="http://schemas.microsoft.com/office/drawing/2014/main" id="{8A7F6C2E-F98A-4081-BEBF-477980B979DE}"/>
            </a:ext>
          </a:extLst>
        </xdr:cNvPr>
        <xdr:cNvSpPr txBox="1"/>
      </xdr:nvSpPr>
      <xdr:spPr>
        <a:xfrm>
          <a:off x="20188045" y="3342130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1850</xdr:row>
      <xdr:rowOff>135880</xdr:rowOff>
    </xdr:from>
    <xdr:to>
      <xdr:col>9</xdr:col>
      <xdr:colOff>154432</xdr:colOff>
      <xdr:row>1851</xdr:row>
      <xdr:rowOff>133980</xdr:rowOff>
    </xdr:to>
    <xdr:sp macro="_xll.PtreeEvent_ObjectClick" textlink="">
      <xdr:nvSpPr>
        <xdr:cNvPr id="3669" name="PTObj_DNode_1_916">
          <a:extLst>
            <a:ext uri="{FF2B5EF4-FFF2-40B4-BE49-F238E27FC236}">
              <a16:creationId xmlns:a16="http://schemas.microsoft.com/office/drawing/2014/main" id="{F9D0CFD0-22D0-47D4-8911-C14BED09C039}"/>
            </a:ext>
          </a:extLst>
        </xdr:cNvPr>
        <xdr:cNvSpPr/>
      </xdr:nvSpPr>
      <xdr:spPr>
        <a:xfrm>
          <a:off x="17068927" y="334939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1850</xdr:row>
      <xdr:rowOff>133211</xdr:rowOff>
    </xdr:from>
    <xdr:ext cx="566520" cy="180627"/>
    <xdr:sp macro="_xll.PtreeEvent_ObjectClick" textlink="">
      <xdr:nvSpPr>
        <xdr:cNvPr id="3672" name="PTObj_DBranchName_1_916">
          <a:extLst>
            <a:ext uri="{FF2B5EF4-FFF2-40B4-BE49-F238E27FC236}">
              <a16:creationId xmlns:a16="http://schemas.microsoft.com/office/drawing/2014/main" id="{D5A4E696-F052-43D4-8E71-53ED2CC8EDA4}"/>
            </a:ext>
          </a:extLst>
        </xdr:cNvPr>
        <xdr:cNvSpPr txBox="1"/>
      </xdr:nvSpPr>
      <xdr:spPr>
        <a:xfrm>
          <a:off x="15926563" y="3349369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1852</xdr:row>
      <xdr:rowOff>139700</xdr:rowOff>
    </xdr:from>
    <xdr:to>
      <xdr:col>10</xdr:col>
      <xdr:colOff>150622</xdr:colOff>
      <xdr:row>1853</xdr:row>
      <xdr:rowOff>135895</xdr:rowOff>
    </xdr:to>
    <xdr:sp macro="_xll.PtreeEvent_ObjectClick" textlink="">
      <xdr:nvSpPr>
        <xdr:cNvPr id="3673" name="PTObj_DNode_1_917">
          <a:extLst>
            <a:ext uri="{FF2B5EF4-FFF2-40B4-BE49-F238E27FC236}">
              <a16:creationId xmlns:a16="http://schemas.microsoft.com/office/drawing/2014/main" id="{6EF52F35-9F20-49A9-8A5B-142AC62C7794}"/>
            </a:ext>
          </a:extLst>
        </xdr:cNvPr>
        <xdr:cNvSpPr/>
      </xdr:nvSpPr>
      <xdr:spPr>
        <a:xfrm>
          <a:off x="18493867" y="335305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1852</xdr:row>
      <xdr:rowOff>137006</xdr:rowOff>
    </xdr:from>
    <xdr:ext cx="514857" cy="180627"/>
    <xdr:sp macro="_xll.PtreeEvent_ObjectClick" textlink="">
      <xdr:nvSpPr>
        <xdr:cNvPr id="3676" name="PTObj_DBranchName_1_917">
          <a:extLst>
            <a:ext uri="{FF2B5EF4-FFF2-40B4-BE49-F238E27FC236}">
              <a16:creationId xmlns:a16="http://schemas.microsoft.com/office/drawing/2014/main" id="{2B58211E-3301-4D6C-8200-32AA05ACA7A9}"/>
            </a:ext>
          </a:extLst>
        </xdr:cNvPr>
        <xdr:cNvSpPr txBox="1"/>
      </xdr:nvSpPr>
      <xdr:spPr>
        <a:xfrm>
          <a:off x="17344834" y="3353027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1854</xdr:row>
      <xdr:rowOff>143520</xdr:rowOff>
    </xdr:from>
    <xdr:to>
      <xdr:col>11</xdr:col>
      <xdr:colOff>135383</xdr:colOff>
      <xdr:row>1855</xdr:row>
      <xdr:rowOff>132095</xdr:rowOff>
    </xdr:to>
    <xdr:sp macro="_xll.PtreeEvent_ObjectClick" textlink="">
      <xdr:nvSpPr>
        <xdr:cNvPr id="3677" name="PTObj_DNode_1_918">
          <a:extLst>
            <a:ext uri="{FF2B5EF4-FFF2-40B4-BE49-F238E27FC236}">
              <a16:creationId xmlns:a16="http://schemas.microsoft.com/office/drawing/2014/main" id="{19BFA9F1-5126-4A98-8388-A70485713499}"/>
            </a:ext>
          </a:extLst>
        </xdr:cNvPr>
        <xdr:cNvSpPr/>
      </xdr:nvSpPr>
      <xdr:spPr>
        <a:xfrm>
          <a:off x="19918807" y="335671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1854</xdr:row>
      <xdr:rowOff>142731</xdr:rowOff>
    </xdr:from>
    <xdr:ext cx="514858" cy="180627"/>
    <xdr:sp macro="_xll.PtreeEvent_ObjectClick" textlink="">
      <xdr:nvSpPr>
        <xdr:cNvPr id="3680" name="PTObj_DBranchName_1_918">
          <a:extLst>
            <a:ext uri="{FF2B5EF4-FFF2-40B4-BE49-F238E27FC236}">
              <a16:creationId xmlns:a16="http://schemas.microsoft.com/office/drawing/2014/main" id="{038BAFD5-4F3E-4495-A299-7E17012FED35}"/>
            </a:ext>
          </a:extLst>
        </xdr:cNvPr>
        <xdr:cNvSpPr txBox="1"/>
      </xdr:nvSpPr>
      <xdr:spPr>
        <a:xfrm>
          <a:off x="18768820" y="335670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1856</xdr:row>
      <xdr:rowOff>149222</xdr:rowOff>
    </xdr:from>
    <xdr:to>
      <xdr:col>12</xdr:col>
      <xdr:colOff>135385</xdr:colOff>
      <xdr:row>1857</xdr:row>
      <xdr:rowOff>135887</xdr:rowOff>
    </xdr:to>
    <xdr:sp macro="_xll.PtreeEvent_ObjectClick" textlink="">
      <xdr:nvSpPr>
        <xdr:cNvPr id="3681" name="PTObj_DNode_1_919">
          <a:extLst>
            <a:ext uri="{FF2B5EF4-FFF2-40B4-BE49-F238E27FC236}">
              <a16:creationId xmlns:a16="http://schemas.microsoft.com/office/drawing/2014/main" id="{C497FE91-D6CE-4E2E-902D-6272CC783BC2}"/>
            </a:ext>
          </a:extLst>
        </xdr:cNvPr>
        <xdr:cNvSpPr/>
      </xdr:nvSpPr>
      <xdr:spPr>
        <a:xfrm rot="-5400000">
          <a:off x="21347557" y="3360350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1856</xdr:row>
      <xdr:rowOff>146551</xdr:rowOff>
    </xdr:from>
    <xdr:ext cx="514858" cy="180627"/>
    <xdr:sp macro="_xll.PtreeEvent_ObjectClick" textlink="">
      <xdr:nvSpPr>
        <xdr:cNvPr id="3684" name="PTObj_DBranchName_1_919">
          <a:extLst>
            <a:ext uri="{FF2B5EF4-FFF2-40B4-BE49-F238E27FC236}">
              <a16:creationId xmlns:a16="http://schemas.microsoft.com/office/drawing/2014/main" id="{66BAA0E6-4ED5-424C-93F3-4291C076B130}"/>
            </a:ext>
          </a:extLst>
        </xdr:cNvPr>
        <xdr:cNvSpPr txBox="1"/>
      </xdr:nvSpPr>
      <xdr:spPr>
        <a:xfrm>
          <a:off x="20188045" y="3360361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1899</xdr:row>
      <xdr:rowOff>46360</xdr:rowOff>
    </xdr:from>
    <xdr:to>
      <xdr:col>6</xdr:col>
      <xdr:colOff>169672</xdr:colOff>
      <xdr:row>1900</xdr:row>
      <xdr:rowOff>57795</xdr:rowOff>
    </xdr:to>
    <xdr:sp macro="_xll.PtreeEvent_ObjectClick" textlink="">
      <xdr:nvSpPr>
        <xdr:cNvPr id="3685" name="PTObj_DNode_1_940">
          <a:extLst>
            <a:ext uri="{FF2B5EF4-FFF2-40B4-BE49-F238E27FC236}">
              <a16:creationId xmlns:a16="http://schemas.microsoft.com/office/drawing/2014/main" id="{BB2A4CB1-B2F8-49BB-A60B-E1085429789E}"/>
            </a:ext>
          </a:extLst>
        </xdr:cNvPr>
        <xdr:cNvSpPr/>
      </xdr:nvSpPr>
      <xdr:spPr>
        <a:xfrm>
          <a:off x="12794107" y="34371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1899</xdr:row>
      <xdr:rowOff>49381</xdr:rowOff>
    </xdr:from>
    <xdr:ext cx="566520" cy="180627"/>
    <xdr:sp macro="_xll.PtreeEvent_ObjectClick" textlink="">
      <xdr:nvSpPr>
        <xdr:cNvPr id="3688" name="PTObj_DBranchName_1_940">
          <a:extLst>
            <a:ext uri="{FF2B5EF4-FFF2-40B4-BE49-F238E27FC236}">
              <a16:creationId xmlns:a16="http://schemas.microsoft.com/office/drawing/2014/main" id="{A5516511-F28D-4E1A-9D24-27613B5A69BA}"/>
            </a:ext>
          </a:extLst>
        </xdr:cNvPr>
        <xdr:cNvSpPr txBox="1"/>
      </xdr:nvSpPr>
      <xdr:spPr>
        <a:xfrm>
          <a:off x="11646980" y="343720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1879</xdr:row>
      <xdr:rowOff>8260</xdr:rowOff>
    </xdr:from>
    <xdr:to>
      <xdr:col>7</xdr:col>
      <xdr:colOff>167767</xdr:colOff>
      <xdr:row>1880</xdr:row>
      <xdr:rowOff>15885</xdr:rowOff>
    </xdr:to>
    <xdr:sp macro="_xll.PtreeEvent_ObjectClick" textlink="">
      <xdr:nvSpPr>
        <xdr:cNvPr id="3689" name="PTObj_DNode_1_930">
          <a:extLst>
            <a:ext uri="{FF2B5EF4-FFF2-40B4-BE49-F238E27FC236}">
              <a16:creationId xmlns:a16="http://schemas.microsoft.com/office/drawing/2014/main" id="{AD0C37B5-C21F-43D2-87AB-31CE83486EC0}"/>
            </a:ext>
          </a:extLst>
        </xdr:cNvPr>
        <xdr:cNvSpPr/>
      </xdr:nvSpPr>
      <xdr:spPr>
        <a:xfrm>
          <a:off x="14219047" y="340060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1879</xdr:row>
      <xdr:rowOff>11281</xdr:rowOff>
    </xdr:from>
    <xdr:ext cx="568424" cy="180627"/>
    <xdr:sp macro="_xll.PtreeEvent_ObjectClick" textlink="">
      <xdr:nvSpPr>
        <xdr:cNvPr id="3692" name="PTObj_DBranchName_1_930">
          <a:extLst>
            <a:ext uri="{FF2B5EF4-FFF2-40B4-BE49-F238E27FC236}">
              <a16:creationId xmlns:a16="http://schemas.microsoft.com/office/drawing/2014/main" id="{FBD2337F-539E-4926-8896-99F69AEBEF8B}"/>
            </a:ext>
          </a:extLst>
        </xdr:cNvPr>
        <xdr:cNvSpPr txBox="1"/>
      </xdr:nvSpPr>
      <xdr:spPr>
        <a:xfrm>
          <a:off x="13072872" y="3400633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1868</xdr:row>
      <xdr:rowOff>170185</xdr:rowOff>
    </xdr:from>
    <xdr:to>
      <xdr:col>8</xdr:col>
      <xdr:colOff>171578</xdr:colOff>
      <xdr:row>1869</xdr:row>
      <xdr:rowOff>168285</xdr:rowOff>
    </xdr:to>
    <xdr:sp macro="_xll.PtreeEvent_ObjectClick" textlink="">
      <xdr:nvSpPr>
        <xdr:cNvPr id="3693" name="PTObj_DNode_1_925">
          <a:extLst>
            <a:ext uri="{FF2B5EF4-FFF2-40B4-BE49-F238E27FC236}">
              <a16:creationId xmlns:a16="http://schemas.microsoft.com/office/drawing/2014/main" id="{342BAD04-86FA-4593-8BBA-4FEAC5073F39}"/>
            </a:ext>
          </a:extLst>
        </xdr:cNvPr>
        <xdr:cNvSpPr/>
      </xdr:nvSpPr>
      <xdr:spPr>
        <a:xfrm>
          <a:off x="15643988" y="338231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1868</xdr:row>
      <xdr:rowOff>175111</xdr:rowOff>
    </xdr:from>
    <xdr:ext cx="566520" cy="180627"/>
    <xdr:sp macro="_xll.PtreeEvent_ObjectClick" textlink="">
      <xdr:nvSpPr>
        <xdr:cNvPr id="3696" name="PTObj_DBranchName_1_925">
          <a:extLst>
            <a:ext uri="{FF2B5EF4-FFF2-40B4-BE49-F238E27FC236}">
              <a16:creationId xmlns:a16="http://schemas.microsoft.com/office/drawing/2014/main" id="{55497935-CDE2-4B4F-A027-90EC64E4D195}"/>
            </a:ext>
          </a:extLst>
        </xdr:cNvPr>
        <xdr:cNvSpPr txBox="1"/>
      </xdr:nvSpPr>
      <xdr:spPr>
        <a:xfrm>
          <a:off x="14500670" y="338236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1860</xdr:row>
      <xdr:rowOff>154930</xdr:rowOff>
    </xdr:from>
    <xdr:to>
      <xdr:col>9</xdr:col>
      <xdr:colOff>154432</xdr:colOff>
      <xdr:row>1861</xdr:row>
      <xdr:rowOff>172080</xdr:rowOff>
    </xdr:to>
    <xdr:sp macro="_xll.PtreeEvent_ObjectClick" textlink="">
      <xdr:nvSpPr>
        <xdr:cNvPr id="3697" name="PTObj_DNode_1_921">
          <a:extLst>
            <a:ext uri="{FF2B5EF4-FFF2-40B4-BE49-F238E27FC236}">
              <a16:creationId xmlns:a16="http://schemas.microsoft.com/office/drawing/2014/main" id="{0E5F6D58-34A9-4372-BB60-C97EA0B30F47}"/>
            </a:ext>
          </a:extLst>
        </xdr:cNvPr>
        <xdr:cNvSpPr/>
      </xdr:nvSpPr>
      <xdr:spPr>
        <a:xfrm>
          <a:off x="17068927" y="336768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1860</xdr:row>
      <xdr:rowOff>156071</xdr:rowOff>
    </xdr:from>
    <xdr:ext cx="566519" cy="180627"/>
    <xdr:sp macro="_xll.PtreeEvent_ObjectClick" textlink="">
      <xdr:nvSpPr>
        <xdr:cNvPr id="3700" name="PTObj_DBranchName_1_921">
          <a:extLst>
            <a:ext uri="{FF2B5EF4-FFF2-40B4-BE49-F238E27FC236}">
              <a16:creationId xmlns:a16="http://schemas.microsoft.com/office/drawing/2014/main" id="{6E22783A-7602-46ED-A3DA-3104AB1AB8EF}"/>
            </a:ext>
          </a:extLst>
        </xdr:cNvPr>
        <xdr:cNvSpPr txBox="1"/>
      </xdr:nvSpPr>
      <xdr:spPr>
        <a:xfrm>
          <a:off x="15922752" y="3367695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1862</xdr:row>
      <xdr:rowOff>158750</xdr:rowOff>
    </xdr:from>
    <xdr:to>
      <xdr:col>10</xdr:col>
      <xdr:colOff>150622</xdr:colOff>
      <xdr:row>1863</xdr:row>
      <xdr:rowOff>168280</xdr:rowOff>
    </xdr:to>
    <xdr:sp macro="_xll.PtreeEvent_ObjectClick" textlink="">
      <xdr:nvSpPr>
        <xdr:cNvPr id="3701" name="PTObj_DNode_1_922">
          <a:extLst>
            <a:ext uri="{FF2B5EF4-FFF2-40B4-BE49-F238E27FC236}">
              <a16:creationId xmlns:a16="http://schemas.microsoft.com/office/drawing/2014/main" id="{271A5E45-73A8-48ED-830D-0D916F9676A1}"/>
            </a:ext>
          </a:extLst>
        </xdr:cNvPr>
        <xdr:cNvSpPr/>
      </xdr:nvSpPr>
      <xdr:spPr>
        <a:xfrm>
          <a:off x="18493867" y="337134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1862</xdr:row>
      <xdr:rowOff>161771</xdr:rowOff>
    </xdr:from>
    <xdr:ext cx="514857" cy="180627"/>
    <xdr:sp macro="_xll.PtreeEvent_ObjectClick" textlink="">
      <xdr:nvSpPr>
        <xdr:cNvPr id="3704" name="PTObj_DBranchName_1_922">
          <a:extLst>
            <a:ext uri="{FF2B5EF4-FFF2-40B4-BE49-F238E27FC236}">
              <a16:creationId xmlns:a16="http://schemas.microsoft.com/office/drawing/2014/main" id="{2F3F28CB-8A98-4212-B620-E08E7D58F512}"/>
            </a:ext>
          </a:extLst>
        </xdr:cNvPr>
        <xdr:cNvSpPr txBox="1"/>
      </xdr:nvSpPr>
      <xdr:spPr>
        <a:xfrm>
          <a:off x="17344834" y="3371372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1864</xdr:row>
      <xdr:rowOff>162570</xdr:rowOff>
    </xdr:from>
    <xdr:to>
      <xdr:col>11</xdr:col>
      <xdr:colOff>131573</xdr:colOff>
      <xdr:row>1865</xdr:row>
      <xdr:rowOff>172100</xdr:rowOff>
    </xdr:to>
    <xdr:sp macro="_xll.PtreeEvent_ObjectClick" textlink="">
      <xdr:nvSpPr>
        <xdr:cNvPr id="3705" name="PTObj_DNode_1_923">
          <a:extLst>
            <a:ext uri="{FF2B5EF4-FFF2-40B4-BE49-F238E27FC236}">
              <a16:creationId xmlns:a16="http://schemas.microsoft.com/office/drawing/2014/main" id="{81B03094-A4DA-4063-A5FA-5CA606603D15}"/>
            </a:ext>
          </a:extLst>
        </xdr:cNvPr>
        <xdr:cNvSpPr/>
      </xdr:nvSpPr>
      <xdr:spPr>
        <a:xfrm>
          <a:off x="19918807" y="337499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1864</xdr:row>
      <xdr:rowOff>165591</xdr:rowOff>
    </xdr:from>
    <xdr:ext cx="514858" cy="180627"/>
    <xdr:sp macro="_xll.PtreeEvent_ObjectClick" textlink="">
      <xdr:nvSpPr>
        <xdr:cNvPr id="3708" name="PTObj_DBranchName_1_923">
          <a:extLst>
            <a:ext uri="{FF2B5EF4-FFF2-40B4-BE49-F238E27FC236}">
              <a16:creationId xmlns:a16="http://schemas.microsoft.com/office/drawing/2014/main" id="{871F8B7D-FAE3-4501-A91A-CEC87E23090F}"/>
            </a:ext>
          </a:extLst>
        </xdr:cNvPr>
        <xdr:cNvSpPr txBox="1"/>
      </xdr:nvSpPr>
      <xdr:spPr>
        <a:xfrm>
          <a:off x="18768820" y="337502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1866</xdr:row>
      <xdr:rowOff>173035</xdr:rowOff>
    </xdr:from>
    <xdr:to>
      <xdr:col>12</xdr:col>
      <xdr:colOff>136337</xdr:colOff>
      <xdr:row>1867</xdr:row>
      <xdr:rowOff>173035</xdr:rowOff>
    </xdr:to>
    <xdr:sp macro="_xll.PtreeEvent_ObjectClick" textlink="">
      <xdr:nvSpPr>
        <xdr:cNvPr id="3709" name="PTObj_DNode_1_924">
          <a:extLst>
            <a:ext uri="{FF2B5EF4-FFF2-40B4-BE49-F238E27FC236}">
              <a16:creationId xmlns:a16="http://schemas.microsoft.com/office/drawing/2014/main" id="{B85AF5FE-D3D1-4E4B-865B-5C732EAAEAE9}"/>
            </a:ext>
          </a:extLst>
        </xdr:cNvPr>
        <xdr:cNvSpPr/>
      </xdr:nvSpPr>
      <xdr:spPr>
        <a:xfrm rot="-5400000">
          <a:off x="21347557" y="3378695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1866</xdr:row>
      <xdr:rowOff>171316</xdr:rowOff>
    </xdr:from>
    <xdr:ext cx="514858" cy="180627"/>
    <xdr:sp macro="_xll.PtreeEvent_ObjectClick" textlink="">
      <xdr:nvSpPr>
        <xdr:cNvPr id="3712" name="PTObj_DBranchName_1_924">
          <a:extLst>
            <a:ext uri="{FF2B5EF4-FFF2-40B4-BE49-F238E27FC236}">
              <a16:creationId xmlns:a16="http://schemas.microsoft.com/office/drawing/2014/main" id="{B7A53349-8BDA-4C37-8168-218FCBEEBB78}"/>
            </a:ext>
          </a:extLst>
        </xdr:cNvPr>
        <xdr:cNvSpPr txBox="1"/>
      </xdr:nvSpPr>
      <xdr:spPr>
        <a:xfrm>
          <a:off x="20188045" y="3378706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1870</xdr:row>
      <xdr:rowOff>173980</xdr:rowOff>
    </xdr:from>
    <xdr:to>
      <xdr:col>9</xdr:col>
      <xdr:colOff>154432</xdr:colOff>
      <xdr:row>1871</xdr:row>
      <xdr:rowOff>168270</xdr:rowOff>
    </xdr:to>
    <xdr:sp macro="_xll.PtreeEvent_ObjectClick" textlink="">
      <xdr:nvSpPr>
        <xdr:cNvPr id="3713" name="PTObj_DNode_1_926">
          <a:extLst>
            <a:ext uri="{FF2B5EF4-FFF2-40B4-BE49-F238E27FC236}">
              <a16:creationId xmlns:a16="http://schemas.microsoft.com/office/drawing/2014/main" id="{D71592AF-A656-4C35-B1DF-754AE2644FE8}"/>
            </a:ext>
          </a:extLst>
        </xdr:cNvPr>
        <xdr:cNvSpPr/>
      </xdr:nvSpPr>
      <xdr:spPr>
        <a:xfrm>
          <a:off x="17068927" y="338597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1870</xdr:row>
      <xdr:rowOff>171311</xdr:rowOff>
    </xdr:from>
    <xdr:ext cx="566520" cy="180627"/>
    <xdr:sp macro="_xll.PtreeEvent_ObjectClick" textlink="">
      <xdr:nvSpPr>
        <xdr:cNvPr id="3716" name="PTObj_DBranchName_1_926">
          <a:extLst>
            <a:ext uri="{FF2B5EF4-FFF2-40B4-BE49-F238E27FC236}">
              <a16:creationId xmlns:a16="http://schemas.microsoft.com/office/drawing/2014/main" id="{FF22B632-8E97-4142-9EC4-163A9811C23D}"/>
            </a:ext>
          </a:extLst>
        </xdr:cNvPr>
        <xdr:cNvSpPr txBox="1"/>
      </xdr:nvSpPr>
      <xdr:spPr>
        <a:xfrm>
          <a:off x="15926563" y="3385945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1872</xdr:row>
      <xdr:rowOff>177800</xdr:rowOff>
    </xdr:from>
    <xdr:to>
      <xdr:col>10</xdr:col>
      <xdr:colOff>150622</xdr:colOff>
      <xdr:row>1873</xdr:row>
      <xdr:rowOff>170185</xdr:rowOff>
    </xdr:to>
    <xdr:sp macro="_xll.PtreeEvent_ObjectClick" textlink="">
      <xdr:nvSpPr>
        <xdr:cNvPr id="3717" name="PTObj_DNode_1_927">
          <a:extLst>
            <a:ext uri="{FF2B5EF4-FFF2-40B4-BE49-F238E27FC236}">
              <a16:creationId xmlns:a16="http://schemas.microsoft.com/office/drawing/2014/main" id="{5DF78815-23C1-458F-BC75-21F47891822D}"/>
            </a:ext>
          </a:extLst>
        </xdr:cNvPr>
        <xdr:cNvSpPr/>
      </xdr:nvSpPr>
      <xdr:spPr>
        <a:xfrm>
          <a:off x="18493867" y="338963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1872</xdr:row>
      <xdr:rowOff>175106</xdr:rowOff>
    </xdr:from>
    <xdr:ext cx="514857" cy="180627"/>
    <xdr:sp macro="_xll.PtreeEvent_ObjectClick" textlink="">
      <xdr:nvSpPr>
        <xdr:cNvPr id="3720" name="PTObj_DBranchName_1_927">
          <a:extLst>
            <a:ext uri="{FF2B5EF4-FFF2-40B4-BE49-F238E27FC236}">
              <a16:creationId xmlns:a16="http://schemas.microsoft.com/office/drawing/2014/main" id="{E65778DB-FE67-4145-AE79-2A05225245A3}"/>
            </a:ext>
          </a:extLst>
        </xdr:cNvPr>
        <xdr:cNvSpPr txBox="1"/>
      </xdr:nvSpPr>
      <xdr:spPr>
        <a:xfrm>
          <a:off x="17344834" y="3389603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1875</xdr:row>
      <xdr:rowOff>645</xdr:rowOff>
    </xdr:from>
    <xdr:to>
      <xdr:col>11</xdr:col>
      <xdr:colOff>131573</xdr:colOff>
      <xdr:row>1876</xdr:row>
      <xdr:rowOff>2555</xdr:rowOff>
    </xdr:to>
    <xdr:sp macro="_xll.PtreeEvent_ObjectClick" textlink="">
      <xdr:nvSpPr>
        <xdr:cNvPr id="3721" name="PTObj_DNode_1_928">
          <a:extLst>
            <a:ext uri="{FF2B5EF4-FFF2-40B4-BE49-F238E27FC236}">
              <a16:creationId xmlns:a16="http://schemas.microsoft.com/office/drawing/2014/main" id="{3F2A5A03-D0F6-4D2D-9D08-0F94EC638400}"/>
            </a:ext>
          </a:extLst>
        </xdr:cNvPr>
        <xdr:cNvSpPr/>
      </xdr:nvSpPr>
      <xdr:spPr>
        <a:xfrm>
          <a:off x="19918807" y="339328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1875</xdr:row>
      <xdr:rowOff>1761</xdr:rowOff>
    </xdr:from>
    <xdr:ext cx="514858" cy="180627"/>
    <xdr:sp macro="_xll.PtreeEvent_ObjectClick" textlink="">
      <xdr:nvSpPr>
        <xdr:cNvPr id="3724" name="PTObj_DBranchName_1_928">
          <a:extLst>
            <a:ext uri="{FF2B5EF4-FFF2-40B4-BE49-F238E27FC236}">
              <a16:creationId xmlns:a16="http://schemas.microsoft.com/office/drawing/2014/main" id="{5BA69313-AC1D-4F1F-8618-02F24691627B}"/>
            </a:ext>
          </a:extLst>
        </xdr:cNvPr>
        <xdr:cNvSpPr txBox="1"/>
      </xdr:nvSpPr>
      <xdr:spPr>
        <a:xfrm>
          <a:off x="18768820" y="339329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1877</xdr:row>
      <xdr:rowOff>9205</xdr:rowOff>
    </xdr:from>
    <xdr:to>
      <xdr:col>12</xdr:col>
      <xdr:colOff>136337</xdr:colOff>
      <xdr:row>1878</xdr:row>
      <xdr:rowOff>16825</xdr:rowOff>
    </xdr:to>
    <xdr:sp macro="_xll.PtreeEvent_ObjectClick" textlink="">
      <xdr:nvSpPr>
        <xdr:cNvPr id="3725" name="PTObj_DNode_1_929">
          <a:extLst>
            <a:ext uri="{FF2B5EF4-FFF2-40B4-BE49-F238E27FC236}">
              <a16:creationId xmlns:a16="http://schemas.microsoft.com/office/drawing/2014/main" id="{0A4504D4-881A-4356-BDF4-ECD6B4AC3B11}"/>
            </a:ext>
          </a:extLst>
        </xdr:cNvPr>
        <xdr:cNvSpPr/>
      </xdr:nvSpPr>
      <xdr:spPr>
        <a:xfrm rot="-5400000">
          <a:off x="21347557" y="3396964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1877</xdr:row>
      <xdr:rowOff>7486</xdr:rowOff>
    </xdr:from>
    <xdr:ext cx="514858" cy="180627"/>
    <xdr:sp macro="_xll.PtreeEvent_ObjectClick" textlink="">
      <xdr:nvSpPr>
        <xdr:cNvPr id="3728" name="PTObj_DBranchName_1_929">
          <a:extLst>
            <a:ext uri="{FF2B5EF4-FFF2-40B4-BE49-F238E27FC236}">
              <a16:creationId xmlns:a16="http://schemas.microsoft.com/office/drawing/2014/main" id="{27E7C2C5-F8DE-4009-9518-DDBF11DED7B1}"/>
            </a:ext>
          </a:extLst>
        </xdr:cNvPr>
        <xdr:cNvSpPr txBox="1"/>
      </xdr:nvSpPr>
      <xdr:spPr>
        <a:xfrm>
          <a:off x="20188045" y="339697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1889</xdr:row>
      <xdr:rowOff>27310</xdr:rowOff>
    </xdr:from>
    <xdr:to>
      <xdr:col>8</xdr:col>
      <xdr:colOff>167768</xdr:colOff>
      <xdr:row>1890</xdr:row>
      <xdr:rowOff>17790</xdr:rowOff>
    </xdr:to>
    <xdr:sp macro="_xll.PtreeEvent_ObjectClick" textlink="">
      <xdr:nvSpPr>
        <xdr:cNvPr id="3729" name="PTObj_DNode_1_935">
          <a:extLst>
            <a:ext uri="{FF2B5EF4-FFF2-40B4-BE49-F238E27FC236}">
              <a16:creationId xmlns:a16="http://schemas.microsoft.com/office/drawing/2014/main" id="{129ED535-4D8E-4396-BE7C-8C90C87672BA}"/>
            </a:ext>
          </a:extLst>
        </xdr:cNvPr>
        <xdr:cNvSpPr/>
      </xdr:nvSpPr>
      <xdr:spPr>
        <a:xfrm>
          <a:off x="15643988" y="341889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1889</xdr:row>
      <xdr:rowOff>26521</xdr:rowOff>
    </xdr:from>
    <xdr:ext cx="566520" cy="180627"/>
    <xdr:sp macro="_xll.PtreeEvent_ObjectClick" textlink="">
      <xdr:nvSpPr>
        <xdr:cNvPr id="3732" name="PTObj_DBranchName_1_935">
          <a:extLst>
            <a:ext uri="{FF2B5EF4-FFF2-40B4-BE49-F238E27FC236}">
              <a16:creationId xmlns:a16="http://schemas.microsoft.com/office/drawing/2014/main" id="{CCD10C34-909A-4689-9510-7FF6AB3DBE5F}"/>
            </a:ext>
          </a:extLst>
        </xdr:cNvPr>
        <xdr:cNvSpPr txBox="1"/>
      </xdr:nvSpPr>
      <xdr:spPr>
        <a:xfrm>
          <a:off x="14498765" y="341888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1881</xdr:row>
      <xdr:rowOff>12055</xdr:rowOff>
    </xdr:from>
    <xdr:to>
      <xdr:col>9</xdr:col>
      <xdr:colOff>154432</xdr:colOff>
      <xdr:row>1882</xdr:row>
      <xdr:rowOff>17775</xdr:rowOff>
    </xdr:to>
    <xdr:sp macro="_xll.PtreeEvent_ObjectClick" textlink="">
      <xdr:nvSpPr>
        <xdr:cNvPr id="3733" name="PTObj_DNode_1_931">
          <a:extLst>
            <a:ext uri="{FF2B5EF4-FFF2-40B4-BE49-F238E27FC236}">
              <a16:creationId xmlns:a16="http://schemas.microsoft.com/office/drawing/2014/main" id="{33BC915C-39D8-4387-B876-891C5EF453CD}"/>
            </a:ext>
          </a:extLst>
        </xdr:cNvPr>
        <xdr:cNvSpPr/>
      </xdr:nvSpPr>
      <xdr:spPr>
        <a:xfrm>
          <a:off x="17068927" y="340426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1881</xdr:row>
      <xdr:rowOff>17006</xdr:rowOff>
    </xdr:from>
    <xdr:ext cx="566519" cy="180627"/>
    <xdr:sp macro="_xll.PtreeEvent_ObjectClick" textlink="">
      <xdr:nvSpPr>
        <xdr:cNvPr id="3736" name="PTObj_DBranchName_1_931">
          <a:extLst>
            <a:ext uri="{FF2B5EF4-FFF2-40B4-BE49-F238E27FC236}">
              <a16:creationId xmlns:a16="http://schemas.microsoft.com/office/drawing/2014/main" id="{1B3FF069-A3A9-4922-8292-B0A679BFFA8D}"/>
            </a:ext>
          </a:extLst>
        </xdr:cNvPr>
        <xdr:cNvSpPr txBox="1"/>
      </xdr:nvSpPr>
      <xdr:spPr>
        <a:xfrm>
          <a:off x="15922752" y="3404309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1883</xdr:row>
      <xdr:rowOff>15875</xdr:rowOff>
    </xdr:from>
    <xdr:to>
      <xdr:col>10</xdr:col>
      <xdr:colOff>150622</xdr:colOff>
      <xdr:row>1884</xdr:row>
      <xdr:rowOff>17785</xdr:rowOff>
    </xdr:to>
    <xdr:sp macro="_xll.PtreeEvent_ObjectClick" textlink="">
      <xdr:nvSpPr>
        <xdr:cNvPr id="3737" name="PTObj_DNode_1_932">
          <a:extLst>
            <a:ext uri="{FF2B5EF4-FFF2-40B4-BE49-F238E27FC236}">
              <a16:creationId xmlns:a16="http://schemas.microsoft.com/office/drawing/2014/main" id="{923395E1-3C2E-4A22-8501-EC625B1AC601}"/>
            </a:ext>
          </a:extLst>
        </xdr:cNvPr>
        <xdr:cNvSpPr/>
      </xdr:nvSpPr>
      <xdr:spPr>
        <a:xfrm>
          <a:off x="18493867" y="340791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1883</xdr:row>
      <xdr:rowOff>20801</xdr:rowOff>
    </xdr:from>
    <xdr:ext cx="514857" cy="180627"/>
    <xdr:sp macro="_xll.PtreeEvent_ObjectClick" textlink="">
      <xdr:nvSpPr>
        <xdr:cNvPr id="3740" name="PTObj_DBranchName_1_932">
          <a:extLst>
            <a:ext uri="{FF2B5EF4-FFF2-40B4-BE49-F238E27FC236}">
              <a16:creationId xmlns:a16="http://schemas.microsoft.com/office/drawing/2014/main" id="{1D01EB8D-E16F-4E0B-8E02-0BE19C1C8948}"/>
            </a:ext>
          </a:extLst>
        </xdr:cNvPr>
        <xdr:cNvSpPr txBox="1"/>
      </xdr:nvSpPr>
      <xdr:spPr>
        <a:xfrm>
          <a:off x="17344834" y="3407967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1885</xdr:row>
      <xdr:rowOff>19695</xdr:rowOff>
    </xdr:from>
    <xdr:to>
      <xdr:col>11</xdr:col>
      <xdr:colOff>135383</xdr:colOff>
      <xdr:row>1886</xdr:row>
      <xdr:rowOff>17795</xdr:rowOff>
    </xdr:to>
    <xdr:sp macro="_xll.PtreeEvent_ObjectClick" textlink="">
      <xdr:nvSpPr>
        <xdr:cNvPr id="3741" name="PTObj_DNode_1_933">
          <a:extLst>
            <a:ext uri="{FF2B5EF4-FFF2-40B4-BE49-F238E27FC236}">
              <a16:creationId xmlns:a16="http://schemas.microsoft.com/office/drawing/2014/main" id="{242CF73F-1E1F-45ED-9B98-30F53C4F628D}"/>
            </a:ext>
          </a:extLst>
        </xdr:cNvPr>
        <xdr:cNvSpPr/>
      </xdr:nvSpPr>
      <xdr:spPr>
        <a:xfrm>
          <a:off x="19918807" y="341157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1885</xdr:row>
      <xdr:rowOff>17001</xdr:rowOff>
    </xdr:from>
    <xdr:ext cx="514858" cy="180627"/>
    <xdr:sp macro="_xll.PtreeEvent_ObjectClick" textlink="">
      <xdr:nvSpPr>
        <xdr:cNvPr id="3744" name="PTObj_DBranchName_1_933">
          <a:extLst>
            <a:ext uri="{FF2B5EF4-FFF2-40B4-BE49-F238E27FC236}">
              <a16:creationId xmlns:a16="http://schemas.microsoft.com/office/drawing/2014/main" id="{AD0BC94A-FF30-4D53-9F0F-1E8DAB4CCC2C}"/>
            </a:ext>
          </a:extLst>
        </xdr:cNvPr>
        <xdr:cNvSpPr txBox="1"/>
      </xdr:nvSpPr>
      <xdr:spPr>
        <a:xfrm>
          <a:off x="18768820" y="341154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1887</xdr:row>
      <xdr:rowOff>22540</xdr:rowOff>
    </xdr:from>
    <xdr:to>
      <xdr:col>12</xdr:col>
      <xdr:colOff>132527</xdr:colOff>
      <xdr:row>1888</xdr:row>
      <xdr:rowOff>18730</xdr:rowOff>
    </xdr:to>
    <xdr:sp macro="_xll.PtreeEvent_ObjectClick" textlink="">
      <xdr:nvSpPr>
        <xdr:cNvPr id="3745" name="PTObj_DNode_1_934">
          <a:extLst>
            <a:ext uri="{FF2B5EF4-FFF2-40B4-BE49-F238E27FC236}">
              <a16:creationId xmlns:a16="http://schemas.microsoft.com/office/drawing/2014/main" id="{FC117A5B-0EDC-4391-BE6E-76AA6C8D0E13}"/>
            </a:ext>
          </a:extLst>
        </xdr:cNvPr>
        <xdr:cNvSpPr/>
      </xdr:nvSpPr>
      <xdr:spPr>
        <a:xfrm rot="-5400000">
          <a:off x="21347557" y="3415195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1887</xdr:row>
      <xdr:rowOff>20821</xdr:rowOff>
    </xdr:from>
    <xdr:ext cx="514858" cy="180627"/>
    <xdr:sp macro="_xll.PtreeEvent_ObjectClick" textlink="">
      <xdr:nvSpPr>
        <xdr:cNvPr id="3748" name="PTObj_DBranchName_1_934">
          <a:extLst>
            <a:ext uri="{FF2B5EF4-FFF2-40B4-BE49-F238E27FC236}">
              <a16:creationId xmlns:a16="http://schemas.microsoft.com/office/drawing/2014/main" id="{9D64E359-C24A-44B4-921F-0505E509D266}"/>
            </a:ext>
          </a:extLst>
        </xdr:cNvPr>
        <xdr:cNvSpPr txBox="1"/>
      </xdr:nvSpPr>
      <xdr:spPr>
        <a:xfrm>
          <a:off x="20188045" y="341520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1891</xdr:row>
      <xdr:rowOff>31105</xdr:rowOff>
    </xdr:from>
    <xdr:to>
      <xdr:col>9</xdr:col>
      <xdr:colOff>154432</xdr:colOff>
      <xdr:row>1892</xdr:row>
      <xdr:rowOff>21585</xdr:rowOff>
    </xdr:to>
    <xdr:sp macro="_xll.PtreeEvent_ObjectClick" textlink="">
      <xdr:nvSpPr>
        <xdr:cNvPr id="3749" name="PTObj_DNode_1_936">
          <a:extLst>
            <a:ext uri="{FF2B5EF4-FFF2-40B4-BE49-F238E27FC236}">
              <a16:creationId xmlns:a16="http://schemas.microsoft.com/office/drawing/2014/main" id="{C6D2FC27-1DCD-438A-9F2E-D580DBDD844E}"/>
            </a:ext>
          </a:extLst>
        </xdr:cNvPr>
        <xdr:cNvSpPr/>
      </xdr:nvSpPr>
      <xdr:spPr>
        <a:xfrm>
          <a:off x="17068927" y="342254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1891</xdr:row>
      <xdr:rowOff>30341</xdr:rowOff>
    </xdr:from>
    <xdr:ext cx="566520" cy="180627"/>
    <xdr:sp macro="_xll.PtreeEvent_ObjectClick" textlink="">
      <xdr:nvSpPr>
        <xdr:cNvPr id="3752" name="PTObj_DBranchName_1_936">
          <a:extLst>
            <a:ext uri="{FF2B5EF4-FFF2-40B4-BE49-F238E27FC236}">
              <a16:creationId xmlns:a16="http://schemas.microsoft.com/office/drawing/2014/main" id="{699FA56C-67A3-4968-AC82-9CC422C2135A}"/>
            </a:ext>
          </a:extLst>
        </xdr:cNvPr>
        <xdr:cNvSpPr txBox="1"/>
      </xdr:nvSpPr>
      <xdr:spPr>
        <a:xfrm>
          <a:off x="15926563" y="3422540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1893</xdr:row>
      <xdr:rowOff>34925</xdr:rowOff>
    </xdr:from>
    <xdr:to>
      <xdr:col>10</xdr:col>
      <xdr:colOff>150622</xdr:colOff>
      <xdr:row>1894</xdr:row>
      <xdr:rowOff>36835</xdr:rowOff>
    </xdr:to>
    <xdr:sp macro="_xll.PtreeEvent_ObjectClick" textlink="">
      <xdr:nvSpPr>
        <xdr:cNvPr id="3753" name="PTObj_DNode_1_937">
          <a:extLst>
            <a:ext uri="{FF2B5EF4-FFF2-40B4-BE49-F238E27FC236}">
              <a16:creationId xmlns:a16="http://schemas.microsoft.com/office/drawing/2014/main" id="{7AEA3C88-AA6F-4186-8B61-9AC7CD8EE74B}"/>
            </a:ext>
          </a:extLst>
        </xdr:cNvPr>
        <xdr:cNvSpPr/>
      </xdr:nvSpPr>
      <xdr:spPr>
        <a:xfrm>
          <a:off x="18493867" y="342620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1893</xdr:row>
      <xdr:rowOff>36041</xdr:rowOff>
    </xdr:from>
    <xdr:ext cx="514857" cy="180627"/>
    <xdr:sp macro="_xll.PtreeEvent_ObjectClick" textlink="">
      <xdr:nvSpPr>
        <xdr:cNvPr id="3756" name="PTObj_DBranchName_1_937">
          <a:extLst>
            <a:ext uri="{FF2B5EF4-FFF2-40B4-BE49-F238E27FC236}">
              <a16:creationId xmlns:a16="http://schemas.microsoft.com/office/drawing/2014/main" id="{7CEB45A7-50F4-4959-AADF-B0F1FBE17377}"/>
            </a:ext>
          </a:extLst>
        </xdr:cNvPr>
        <xdr:cNvSpPr txBox="1"/>
      </xdr:nvSpPr>
      <xdr:spPr>
        <a:xfrm>
          <a:off x="17344834" y="3426217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1895</xdr:row>
      <xdr:rowOff>38745</xdr:rowOff>
    </xdr:from>
    <xdr:to>
      <xdr:col>11</xdr:col>
      <xdr:colOff>135383</xdr:colOff>
      <xdr:row>1896</xdr:row>
      <xdr:rowOff>40655</xdr:rowOff>
    </xdr:to>
    <xdr:sp macro="_xll.PtreeEvent_ObjectClick" textlink="">
      <xdr:nvSpPr>
        <xdr:cNvPr id="3757" name="PTObj_DNode_1_938">
          <a:extLst>
            <a:ext uri="{FF2B5EF4-FFF2-40B4-BE49-F238E27FC236}">
              <a16:creationId xmlns:a16="http://schemas.microsoft.com/office/drawing/2014/main" id="{F71D4057-2C05-4371-8B5D-55D818802E66}"/>
            </a:ext>
          </a:extLst>
        </xdr:cNvPr>
        <xdr:cNvSpPr/>
      </xdr:nvSpPr>
      <xdr:spPr>
        <a:xfrm>
          <a:off x="19918807" y="342986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1895</xdr:row>
      <xdr:rowOff>39861</xdr:rowOff>
    </xdr:from>
    <xdr:ext cx="514858" cy="180627"/>
    <xdr:sp macro="_xll.PtreeEvent_ObjectClick" textlink="">
      <xdr:nvSpPr>
        <xdr:cNvPr id="3760" name="PTObj_DBranchName_1_938">
          <a:extLst>
            <a:ext uri="{FF2B5EF4-FFF2-40B4-BE49-F238E27FC236}">
              <a16:creationId xmlns:a16="http://schemas.microsoft.com/office/drawing/2014/main" id="{747E4730-27AD-4C2F-82C2-7DC8D2E5B683}"/>
            </a:ext>
          </a:extLst>
        </xdr:cNvPr>
        <xdr:cNvSpPr txBox="1"/>
      </xdr:nvSpPr>
      <xdr:spPr>
        <a:xfrm>
          <a:off x="18768820" y="342987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1897</xdr:row>
      <xdr:rowOff>47305</xdr:rowOff>
    </xdr:from>
    <xdr:to>
      <xdr:col>12</xdr:col>
      <xdr:colOff>132527</xdr:colOff>
      <xdr:row>1898</xdr:row>
      <xdr:rowOff>58735</xdr:rowOff>
    </xdr:to>
    <xdr:sp macro="_xll.PtreeEvent_ObjectClick" textlink="">
      <xdr:nvSpPr>
        <xdr:cNvPr id="3761" name="PTObj_DNode_1_939">
          <a:extLst>
            <a:ext uri="{FF2B5EF4-FFF2-40B4-BE49-F238E27FC236}">
              <a16:creationId xmlns:a16="http://schemas.microsoft.com/office/drawing/2014/main" id="{09AF4ADE-78CD-466C-849D-59734092E2B3}"/>
            </a:ext>
          </a:extLst>
        </xdr:cNvPr>
        <xdr:cNvSpPr/>
      </xdr:nvSpPr>
      <xdr:spPr>
        <a:xfrm rot="-5400000">
          <a:off x="21347557" y="3433540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1897</xdr:row>
      <xdr:rowOff>45586</xdr:rowOff>
    </xdr:from>
    <xdr:ext cx="514858" cy="180627"/>
    <xdr:sp macro="_xll.PtreeEvent_ObjectClick" textlink="">
      <xdr:nvSpPr>
        <xdr:cNvPr id="3764" name="PTObj_DBranchName_1_939">
          <a:extLst>
            <a:ext uri="{FF2B5EF4-FFF2-40B4-BE49-F238E27FC236}">
              <a16:creationId xmlns:a16="http://schemas.microsoft.com/office/drawing/2014/main" id="{8A8D8C1B-849F-47F2-9EF7-6B0E82BEFD1D}"/>
            </a:ext>
          </a:extLst>
        </xdr:cNvPr>
        <xdr:cNvSpPr txBox="1"/>
      </xdr:nvSpPr>
      <xdr:spPr>
        <a:xfrm>
          <a:off x="20188045" y="3433551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1919</xdr:row>
      <xdr:rowOff>84460</xdr:rowOff>
    </xdr:from>
    <xdr:to>
      <xdr:col>7</xdr:col>
      <xdr:colOff>171577</xdr:colOff>
      <xdr:row>1920</xdr:row>
      <xdr:rowOff>95895</xdr:rowOff>
    </xdr:to>
    <xdr:sp macro="_xll.PtreeEvent_ObjectClick" textlink="">
      <xdr:nvSpPr>
        <xdr:cNvPr id="3765" name="PTObj_DNode_1_950">
          <a:extLst>
            <a:ext uri="{FF2B5EF4-FFF2-40B4-BE49-F238E27FC236}">
              <a16:creationId xmlns:a16="http://schemas.microsoft.com/office/drawing/2014/main" id="{BD9FD94B-A807-4ACC-8D7C-3C28A656D78E}"/>
            </a:ext>
          </a:extLst>
        </xdr:cNvPr>
        <xdr:cNvSpPr/>
      </xdr:nvSpPr>
      <xdr:spPr>
        <a:xfrm>
          <a:off x="14219047" y="34737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1919</xdr:row>
      <xdr:rowOff>87481</xdr:rowOff>
    </xdr:from>
    <xdr:ext cx="566520" cy="180627"/>
    <xdr:sp macro="_xll.PtreeEvent_ObjectClick" textlink="">
      <xdr:nvSpPr>
        <xdr:cNvPr id="3768" name="PTObj_DBranchName_1_950">
          <a:extLst>
            <a:ext uri="{FF2B5EF4-FFF2-40B4-BE49-F238E27FC236}">
              <a16:creationId xmlns:a16="http://schemas.microsoft.com/office/drawing/2014/main" id="{ADC70591-3E02-4925-88E2-BC06D7DC19DB}"/>
            </a:ext>
          </a:extLst>
        </xdr:cNvPr>
        <xdr:cNvSpPr txBox="1"/>
      </xdr:nvSpPr>
      <xdr:spPr>
        <a:xfrm>
          <a:off x="13074777" y="347378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1909</xdr:row>
      <xdr:rowOff>65410</xdr:rowOff>
    </xdr:from>
    <xdr:to>
      <xdr:col>8</xdr:col>
      <xdr:colOff>167768</xdr:colOff>
      <xdr:row>1910</xdr:row>
      <xdr:rowOff>55890</xdr:rowOff>
    </xdr:to>
    <xdr:sp macro="_xll.PtreeEvent_ObjectClick" textlink="">
      <xdr:nvSpPr>
        <xdr:cNvPr id="3769" name="PTObj_DNode_1_945">
          <a:extLst>
            <a:ext uri="{FF2B5EF4-FFF2-40B4-BE49-F238E27FC236}">
              <a16:creationId xmlns:a16="http://schemas.microsoft.com/office/drawing/2014/main" id="{5FDCC2B5-7286-4043-8608-FDE08C9340C2}"/>
            </a:ext>
          </a:extLst>
        </xdr:cNvPr>
        <xdr:cNvSpPr/>
      </xdr:nvSpPr>
      <xdr:spPr>
        <a:xfrm>
          <a:off x="15643988" y="345546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1909</xdr:row>
      <xdr:rowOff>64621</xdr:rowOff>
    </xdr:from>
    <xdr:ext cx="566520" cy="180627"/>
    <xdr:sp macro="_xll.PtreeEvent_ObjectClick" textlink="">
      <xdr:nvSpPr>
        <xdr:cNvPr id="3772" name="PTObj_DBranchName_1_945">
          <a:extLst>
            <a:ext uri="{FF2B5EF4-FFF2-40B4-BE49-F238E27FC236}">
              <a16:creationId xmlns:a16="http://schemas.microsoft.com/office/drawing/2014/main" id="{AC969D82-E8BA-4142-9D32-4222B5E0E56C}"/>
            </a:ext>
          </a:extLst>
        </xdr:cNvPr>
        <xdr:cNvSpPr txBox="1"/>
      </xdr:nvSpPr>
      <xdr:spPr>
        <a:xfrm>
          <a:off x="14500670" y="345545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1901</xdr:row>
      <xdr:rowOff>50155</xdr:rowOff>
    </xdr:from>
    <xdr:to>
      <xdr:col>9</xdr:col>
      <xdr:colOff>154432</xdr:colOff>
      <xdr:row>1902</xdr:row>
      <xdr:rowOff>55875</xdr:rowOff>
    </xdr:to>
    <xdr:sp macro="_xll.PtreeEvent_ObjectClick" textlink="">
      <xdr:nvSpPr>
        <xdr:cNvPr id="3773" name="PTObj_DNode_1_941">
          <a:extLst>
            <a:ext uri="{FF2B5EF4-FFF2-40B4-BE49-F238E27FC236}">
              <a16:creationId xmlns:a16="http://schemas.microsoft.com/office/drawing/2014/main" id="{1B84D249-B947-401B-837A-C6B0DD7DE717}"/>
            </a:ext>
          </a:extLst>
        </xdr:cNvPr>
        <xdr:cNvSpPr/>
      </xdr:nvSpPr>
      <xdr:spPr>
        <a:xfrm>
          <a:off x="17068927" y="344083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1901</xdr:row>
      <xdr:rowOff>55106</xdr:rowOff>
    </xdr:from>
    <xdr:ext cx="566519" cy="180627"/>
    <xdr:sp macro="_xll.PtreeEvent_ObjectClick" textlink="">
      <xdr:nvSpPr>
        <xdr:cNvPr id="3776" name="PTObj_DBranchName_1_941">
          <a:extLst>
            <a:ext uri="{FF2B5EF4-FFF2-40B4-BE49-F238E27FC236}">
              <a16:creationId xmlns:a16="http://schemas.microsoft.com/office/drawing/2014/main" id="{BDB03AF4-1E04-4E22-9900-8DEDF4D528B0}"/>
            </a:ext>
          </a:extLst>
        </xdr:cNvPr>
        <xdr:cNvSpPr txBox="1"/>
      </xdr:nvSpPr>
      <xdr:spPr>
        <a:xfrm>
          <a:off x="15922752" y="3440885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1903</xdr:row>
      <xdr:rowOff>53975</xdr:rowOff>
    </xdr:from>
    <xdr:to>
      <xdr:col>10</xdr:col>
      <xdr:colOff>150622</xdr:colOff>
      <xdr:row>1904</xdr:row>
      <xdr:rowOff>55885</xdr:rowOff>
    </xdr:to>
    <xdr:sp macro="_xll.PtreeEvent_ObjectClick" textlink="">
      <xdr:nvSpPr>
        <xdr:cNvPr id="3777" name="PTObj_DNode_1_942">
          <a:extLst>
            <a:ext uri="{FF2B5EF4-FFF2-40B4-BE49-F238E27FC236}">
              <a16:creationId xmlns:a16="http://schemas.microsoft.com/office/drawing/2014/main" id="{9F41032E-D295-459E-A671-53819B19E5BA}"/>
            </a:ext>
          </a:extLst>
        </xdr:cNvPr>
        <xdr:cNvSpPr/>
      </xdr:nvSpPr>
      <xdr:spPr>
        <a:xfrm>
          <a:off x="18493867" y="344449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1903</xdr:row>
      <xdr:rowOff>58901</xdr:rowOff>
    </xdr:from>
    <xdr:ext cx="514857" cy="180627"/>
    <xdr:sp macro="_xll.PtreeEvent_ObjectClick" textlink="">
      <xdr:nvSpPr>
        <xdr:cNvPr id="3780" name="PTObj_DBranchName_1_942">
          <a:extLst>
            <a:ext uri="{FF2B5EF4-FFF2-40B4-BE49-F238E27FC236}">
              <a16:creationId xmlns:a16="http://schemas.microsoft.com/office/drawing/2014/main" id="{CAD575E9-05FA-4271-8361-0596A5B2C8C1}"/>
            </a:ext>
          </a:extLst>
        </xdr:cNvPr>
        <xdr:cNvSpPr txBox="1"/>
      </xdr:nvSpPr>
      <xdr:spPr>
        <a:xfrm>
          <a:off x="17344834" y="3444543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1905</xdr:row>
      <xdr:rowOff>57795</xdr:rowOff>
    </xdr:from>
    <xdr:to>
      <xdr:col>11</xdr:col>
      <xdr:colOff>135383</xdr:colOff>
      <xdr:row>1906</xdr:row>
      <xdr:rowOff>55895</xdr:rowOff>
    </xdr:to>
    <xdr:sp macro="_xll.PtreeEvent_ObjectClick" textlink="">
      <xdr:nvSpPr>
        <xdr:cNvPr id="3781" name="PTObj_DNode_1_943">
          <a:extLst>
            <a:ext uri="{FF2B5EF4-FFF2-40B4-BE49-F238E27FC236}">
              <a16:creationId xmlns:a16="http://schemas.microsoft.com/office/drawing/2014/main" id="{C167DEA6-EBEE-4141-A168-ABCACF13AB25}"/>
            </a:ext>
          </a:extLst>
        </xdr:cNvPr>
        <xdr:cNvSpPr/>
      </xdr:nvSpPr>
      <xdr:spPr>
        <a:xfrm>
          <a:off x="19918807" y="344815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1905</xdr:row>
      <xdr:rowOff>55101</xdr:rowOff>
    </xdr:from>
    <xdr:ext cx="514858" cy="180627"/>
    <xdr:sp macro="_xll.PtreeEvent_ObjectClick" textlink="">
      <xdr:nvSpPr>
        <xdr:cNvPr id="3784" name="PTObj_DBranchName_1_943">
          <a:extLst>
            <a:ext uri="{FF2B5EF4-FFF2-40B4-BE49-F238E27FC236}">
              <a16:creationId xmlns:a16="http://schemas.microsoft.com/office/drawing/2014/main" id="{7CC4F0B6-CACB-4BCD-9BB7-DEE2D6080444}"/>
            </a:ext>
          </a:extLst>
        </xdr:cNvPr>
        <xdr:cNvSpPr txBox="1"/>
      </xdr:nvSpPr>
      <xdr:spPr>
        <a:xfrm>
          <a:off x="18768820" y="344812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1907</xdr:row>
      <xdr:rowOff>60640</xdr:rowOff>
    </xdr:from>
    <xdr:to>
      <xdr:col>12</xdr:col>
      <xdr:colOff>132527</xdr:colOff>
      <xdr:row>1908</xdr:row>
      <xdr:rowOff>56830</xdr:rowOff>
    </xdr:to>
    <xdr:sp macro="_xll.PtreeEvent_ObjectClick" textlink="">
      <xdr:nvSpPr>
        <xdr:cNvPr id="3785" name="PTObj_DNode_1_944">
          <a:extLst>
            <a:ext uri="{FF2B5EF4-FFF2-40B4-BE49-F238E27FC236}">
              <a16:creationId xmlns:a16="http://schemas.microsoft.com/office/drawing/2014/main" id="{58464917-687B-456F-9289-6B8501114E2C}"/>
            </a:ext>
          </a:extLst>
        </xdr:cNvPr>
        <xdr:cNvSpPr/>
      </xdr:nvSpPr>
      <xdr:spPr>
        <a:xfrm rot="-5400000">
          <a:off x="21347557" y="3451771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1907</xdr:row>
      <xdr:rowOff>58921</xdr:rowOff>
    </xdr:from>
    <xdr:ext cx="514858" cy="180627"/>
    <xdr:sp macro="_xll.PtreeEvent_ObjectClick" textlink="">
      <xdr:nvSpPr>
        <xdr:cNvPr id="3788" name="PTObj_DBranchName_1_944">
          <a:extLst>
            <a:ext uri="{FF2B5EF4-FFF2-40B4-BE49-F238E27FC236}">
              <a16:creationId xmlns:a16="http://schemas.microsoft.com/office/drawing/2014/main" id="{484FECBC-2753-4EAE-A53A-06DF524CD0D3}"/>
            </a:ext>
          </a:extLst>
        </xdr:cNvPr>
        <xdr:cNvSpPr txBox="1"/>
      </xdr:nvSpPr>
      <xdr:spPr>
        <a:xfrm>
          <a:off x="20188045" y="3451782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1911</xdr:row>
      <xdr:rowOff>69205</xdr:rowOff>
    </xdr:from>
    <xdr:to>
      <xdr:col>9</xdr:col>
      <xdr:colOff>154432</xdr:colOff>
      <xdr:row>1912</xdr:row>
      <xdr:rowOff>59685</xdr:rowOff>
    </xdr:to>
    <xdr:sp macro="_xll.PtreeEvent_ObjectClick" textlink="">
      <xdr:nvSpPr>
        <xdr:cNvPr id="3789" name="PTObj_DNode_1_946">
          <a:extLst>
            <a:ext uri="{FF2B5EF4-FFF2-40B4-BE49-F238E27FC236}">
              <a16:creationId xmlns:a16="http://schemas.microsoft.com/office/drawing/2014/main" id="{161E819E-8989-4AD5-8D9D-35A6C1D29C96}"/>
            </a:ext>
          </a:extLst>
        </xdr:cNvPr>
        <xdr:cNvSpPr/>
      </xdr:nvSpPr>
      <xdr:spPr>
        <a:xfrm>
          <a:off x="17068927" y="345912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1911</xdr:row>
      <xdr:rowOff>68441</xdr:rowOff>
    </xdr:from>
    <xdr:ext cx="566520" cy="180627"/>
    <xdr:sp macro="_xll.PtreeEvent_ObjectClick" textlink="">
      <xdr:nvSpPr>
        <xdr:cNvPr id="3792" name="PTObj_DBranchName_1_946">
          <a:extLst>
            <a:ext uri="{FF2B5EF4-FFF2-40B4-BE49-F238E27FC236}">
              <a16:creationId xmlns:a16="http://schemas.microsoft.com/office/drawing/2014/main" id="{21F1612F-AD3B-4607-BC58-60A8383B62AC}"/>
            </a:ext>
          </a:extLst>
        </xdr:cNvPr>
        <xdr:cNvSpPr txBox="1"/>
      </xdr:nvSpPr>
      <xdr:spPr>
        <a:xfrm>
          <a:off x="15926563" y="3459116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1913</xdr:row>
      <xdr:rowOff>73025</xdr:rowOff>
    </xdr:from>
    <xdr:to>
      <xdr:col>10</xdr:col>
      <xdr:colOff>150622</xdr:colOff>
      <xdr:row>1914</xdr:row>
      <xdr:rowOff>74935</xdr:rowOff>
    </xdr:to>
    <xdr:sp macro="_xll.PtreeEvent_ObjectClick" textlink="">
      <xdr:nvSpPr>
        <xdr:cNvPr id="3793" name="PTObj_DNode_1_947">
          <a:extLst>
            <a:ext uri="{FF2B5EF4-FFF2-40B4-BE49-F238E27FC236}">
              <a16:creationId xmlns:a16="http://schemas.microsoft.com/office/drawing/2014/main" id="{39A947C4-570B-406D-B2E1-7FC04EA374F2}"/>
            </a:ext>
          </a:extLst>
        </xdr:cNvPr>
        <xdr:cNvSpPr/>
      </xdr:nvSpPr>
      <xdr:spPr>
        <a:xfrm>
          <a:off x="18493867" y="346278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1913</xdr:row>
      <xdr:rowOff>74141</xdr:rowOff>
    </xdr:from>
    <xdr:ext cx="514857" cy="180627"/>
    <xdr:sp macro="_xll.PtreeEvent_ObjectClick" textlink="">
      <xdr:nvSpPr>
        <xdr:cNvPr id="3796" name="PTObj_DBranchName_1_947">
          <a:extLst>
            <a:ext uri="{FF2B5EF4-FFF2-40B4-BE49-F238E27FC236}">
              <a16:creationId xmlns:a16="http://schemas.microsoft.com/office/drawing/2014/main" id="{D57EDDE4-44CD-49DE-B051-2876E111318A}"/>
            </a:ext>
          </a:extLst>
        </xdr:cNvPr>
        <xdr:cNvSpPr txBox="1"/>
      </xdr:nvSpPr>
      <xdr:spPr>
        <a:xfrm>
          <a:off x="17344834" y="3462793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1915</xdr:row>
      <xdr:rowOff>76845</xdr:rowOff>
    </xdr:from>
    <xdr:to>
      <xdr:col>11</xdr:col>
      <xdr:colOff>135383</xdr:colOff>
      <xdr:row>1916</xdr:row>
      <xdr:rowOff>78755</xdr:rowOff>
    </xdr:to>
    <xdr:sp macro="_xll.PtreeEvent_ObjectClick" textlink="">
      <xdr:nvSpPr>
        <xdr:cNvPr id="3797" name="PTObj_DNode_1_948">
          <a:extLst>
            <a:ext uri="{FF2B5EF4-FFF2-40B4-BE49-F238E27FC236}">
              <a16:creationId xmlns:a16="http://schemas.microsoft.com/office/drawing/2014/main" id="{EF45226B-DA2B-4973-9D13-3D4573B796B1}"/>
            </a:ext>
          </a:extLst>
        </xdr:cNvPr>
        <xdr:cNvSpPr/>
      </xdr:nvSpPr>
      <xdr:spPr>
        <a:xfrm>
          <a:off x="19918807" y="346643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1915</xdr:row>
      <xdr:rowOff>77961</xdr:rowOff>
    </xdr:from>
    <xdr:ext cx="514858" cy="180627"/>
    <xdr:sp macro="_xll.PtreeEvent_ObjectClick" textlink="">
      <xdr:nvSpPr>
        <xdr:cNvPr id="3800" name="PTObj_DBranchName_1_948">
          <a:extLst>
            <a:ext uri="{FF2B5EF4-FFF2-40B4-BE49-F238E27FC236}">
              <a16:creationId xmlns:a16="http://schemas.microsoft.com/office/drawing/2014/main" id="{8FCF2EB8-AD7F-446D-A494-6E428F6B09B3}"/>
            </a:ext>
          </a:extLst>
        </xdr:cNvPr>
        <xdr:cNvSpPr txBox="1"/>
      </xdr:nvSpPr>
      <xdr:spPr>
        <a:xfrm>
          <a:off x="18768820" y="346645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1917</xdr:row>
      <xdr:rowOff>85405</xdr:rowOff>
    </xdr:from>
    <xdr:to>
      <xdr:col>12</xdr:col>
      <xdr:colOff>132527</xdr:colOff>
      <xdr:row>1918</xdr:row>
      <xdr:rowOff>96835</xdr:rowOff>
    </xdr:to>
    <xdr:sp macro="_xll.PtreeEvent_ObjectClick" textlink="">
      <xdr:nvSpPr>
        <xdr:cNvPr id="3801" name="PTObj_DNode_1_949">
          <a:extLst>
            <a:ext uri="{FF2B5EF4-FFF2-40B4-BE49-F238E27FC236}">
              <a16:creationId xmlns:a16="http://schemas.microsoft.com/office/drawing/2014/main" id="{6C4A33E2-A6AA-4EF7-AB0F-CDB744D1CCEC}"/>
            </a:ext>
          </a:extLst>
        </xdr:cNvPr>
        <xdr:cNvSpPr/>
      </xdr:nvSpPr>
      <xdr:spPr>
        <a:xfrm rot="-5400000">
          <a:off x="21347557" y="3470116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1917</xdr:row>
      <xdr:rowOff>83686</xdr:rowOff>
    </xdr:from>
    <xdr:ext cx="514858" cy="180627"/>
    <xdr:sp macro="_xll.PtreeEvent_ObjectClick" textlink="">
      <xdr:nvSpPr>
        <xdr:cNvPr id="3804" name="PTObj_DBranchName_1_949">
          <a:extLst>
            <a:ext uri="{FF2B5EF4-FFF2-40B4-BE49-F238E27FC236}">
              <a16:creationId xmlns:a16="http://schemas.microsoft.com/office/drawing/2014/main" id="{84809DED-AABD-4B49-ACF8-8F0FB553005C}"/>
            </a:ext>
          </a:extLst>
        </xdr:cNvPr>
        <xdr:cNvSpPr txBox="1"/>
      </xdr:nvSpPr>
      <xdr:spPr>
        <a:xfrm>
          <a:off x="20188045" y="3470127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1929</xdr:row>
      <xdr:rowOff>103510</xdr:rowOff>
    </xdr:from>
    <xdr:to>
      <xdr:col>8</xdr:col>
      <xdr:colOff>171578</xdr:colOff>
      <xdr:row>1930</xdr:row>
      <xdr:rowOff>97800</xdr:rowOff>
    </xdr:to>
    <xdr:sp macro="_xll.PtreeEvent_ObjectClick" textlink="">
      <xdr:nvSpPr>
        <xdr:cNvPr id="3805" name="PTObj_DNode_1_955">
          <a:extLst>
            <a:ext uri="{FF2B5EF4-FFF2-40B4-BE49-F238E27FC236}">
              <a16:creationId xmlns:a16="http://schemas.microsoft.com/office/drawing/2014/main" id="{B844EA46-1EA5-4661-861A-ABDFEF3DD644}"/>
            </a:ext>
          </a:extLst>
        </xdr:cNvPr>
        <xdr:cNvSpPr/>
      </xdr:nvSpPr>
      <xdr:spPr>
        <a:xfrm>
          <a:off x="15643988" y="349204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1929</xdr:row>
      <xdr:rowOff>102721</xdr:rowOff>
    </xdr:from>
    <xdr:ext cx="566520" cy="180627"/>
    <xdr:sp macro="_xll.PtreeEvent_ObjectClick" textlink="">
      <xdr:nvSpPr>
        <xdr:cNvPr id="3808" name="PTObj_DBranchName_1_955">
          <a:extLst>
            <a:ext uri="{FF2B5EF4-FFF2-40B4-BE49-F238E27FC236}">
              <a16:creationId xmlns:a16="http://schemas.microsoft.com/office/drawing/2014/main" id="{C56DDD7F-CE48-49A1-88B7-F2E3D5DAABC7}"/>
            </a:ext>
          </a:extLst>
        </xdr:cNvPr>
        <xdr:cNvSpPr txBox="1"/>
      </xdr:nvSpPr>
      <xdr:spPr>
        <a:xfrm>
          <a:off x="14498765" y="349203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1921</xdr:row>
      <xdr:rowOff>88255</xdr:rowOff>
    </xdr:from>
    <xdr:to>
      <xdr:col>9</xdr:col>
      <xdr:colOff>154432</xdr:colOff>
      <xdr:row>1922</xdr:row>
      <xdr:rowOff>97785</xdr:rowOff>
    </xdr:to>
    <xdr:sp macro="_xll.PtreeEvent_ObjectClick" textlink="">
      <xdr:nvSpPr>
        <xdr:cNvPr id="3809" name="PTObj_DNode_1_951">
          <a:extLst>
            <a:ext uri="{FF2B5EF4-FFF2-40B4-BE49-F238E27FC236}">
              <a16:creationId xmlns:a16="http://schemas.microsoft.com/office/drawing/2014/main" id="{5FFEC051-F6FC-4873-AB79-31A6D464FEF9}"/>
            </a:ext>
          </a:extLst>
        </xdr:cNvPr>
        <xdr:cNvSpPr/>
      </xdr:nvSpPr>
      <xdr:spPr>
        <a:xfrm>
          <a:off x="17068927" y="347741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1921</xdr:row>
      <xdr:rowOff>93206</xdr:rowOff>
    </xdr:from>
    <xdr:ext cx="566519" cy="180627"/>
    <xdr:sp macro="_xll.PtreeEvent_ObjectClick" textlink="">
      <xdr:nvSpPr>
        <xdr:cNvPr id="3812" name="PTObj_DBranchName_1_951">
          <a:extLst>
            <a:ext uri="{FF2B5EF4-FFF2-40B4-BE49-F238E27FC236}">
              <a16:creationId xmlns:a16="http://schemas.microsoft.com/office/drawing/2014/main" id="{A67E19E7-A699-437E-941C-7034D6D47BB2}"/>
            </a:ext>
          </a:extLst>
        </xdr:cNvPr>
        <xdr:cNvSpPr txBox="1"/>
      </xdr:nvSpPr>
      <xdr:spPr>
        <a:xfrm>
          <a:off x="15922752" y="3477461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1923</xdr:row>
      <xdr:rowOff>92075</xdr:rowOff>
    </xdr:from>
    <xdr:to>
      <xdr:col>10</xdr:col>
      <xdr:colOff>150622</xdr:colOff>
      <xdr:row>1924</xdr:row>
      <xdr:rowOff>97795</xdr:rowOff>
    </xdr:to>
    <xdr:sp macro="_xll.PtreeEvent_ObjectClick" textlink="">
      <xdr:nvSpPr>
        <xdr:cNvPr id="3813" name="PTObj_DNode_1_952">
          <a:extLst>
            <a:ext uri="{FF2B5EF4-FFF2-40B4-BE49-F238E27FC236}">
              <a16:creationId xmlns:a16="http://schemas.microsoft.com/office/drawing/2014/main" id="{6DB08A29-638B-4A67-AABF-CFCE313B5E9C}"/>
            </a:ext>
          </a:extLst>
        </xdr:cNvPr>
        <xdr:cNvSpPr/>
      </xdr:nvSpPr>
      <xdr:spPr>
        <a:xfrm>
          <a:off x="18493867" y="348107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1923</xdr:row>
      <xdr:rowOff>97001</xdr:rowOff>
    </xdr:from>
    <xdr:ext cx="514857" cy="180627"/>
    <xdr:sp macro="_xll.PtreeEvent_ObjectClick" textlink="">
      <xdr:nvSpPr>
        <xdr:cNvPr id="3816" name="PTObj_DBranchName_1_952">
          <a:extLst>
            <a:ext uri="{FF2B5EF4-FFF2-40B4-BE49-F238E27FC236}">
              <a16:creationId xmlns:a16="http://schemas.microsoft.com/office/drawing/2014/main" id="{22D31B6E-F7CF-4771-A59F-26B2EF724E23}"/>
            </a:ext>
          </a:extLst>
        </xdr:cNvPr>
        <xdr:cNvSpPr txBox="1"/>
      </xdr:nvSpPr>
      <xdr:spPr>
        <a:xfrm>
          <a:off x="17344834" y="3481119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1925</xdr:row>
      <xdr:rowOff>95895</xdr:rowOff>
    </xdr:from>
    <xdr:to>
      <xdr:col>11</xdr:col>
      <xdr:colOff>131573</xdr:colOff>
      <xdr:row>1926</xdr:row>
      <xdr:rowOff>97805</xdr:rowOff>
    </xdr:to>
    <xdr:sp macro="_xll.PtreeEvent_ObjectClick" textlink="">
      <xdr:nvSpPr>
        <xdr:cNvPr id="3817" name="PTObj_DNode_1_953">
          <a:extLst>
            <a:ext uri="{FF2B5EF4-FFF2-40B4-BE49-F238E27FC236}">
              <a16:creationId xmlns:a16="http://schemas.microsoft.com/office/drawing/2014/main" id="{0AA179B1-8E18-45DE-B8B6-C3662A5D5E87}"/>
            </a:ext>
          </a:extLst>
        </xdr:cNvPr>
        <xdr:cNvSpPr/>
      </xdr:nvSpPr>
      <xdr:spPr>
        <a:xfrm>
          <a:off x="19918807" y="348472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1925</xdr:row>
      <xdr:rowOff>93201</xdr:rowOff>
    </xdr:from>
    <xdr:ext cx="514858" cy="180627"/>
    <xdr:sp macro="_xll.PtreeEvent_ObjectClick" textlink="">
      <xdr:nvSpPr>
        <xdr:cNvPr id="3820" name="PTObj_DBranchName_1_953">
          <a:extLst>
            <a:ext uri="{FF2B5EF4-FFF2-40B4-BE49-F238E27FC236}">
              <a16:creationId xmlns:a16="http://schemas.microsoft.com/office/drawing/2014/main" id="{E84E8ADE-EBFC-4B86-8FFA-557936759576}"/>
            </a:ext>
          </a:extLst>
        </xdr:cNvPr>
        <xdr:cNvSpPr txBox="1"/>
      </xdr:nvSpPr>
      <xdr:spPr>
        <a:xfrm>
          <a:off x="18768820" y="348470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1927</xdr:row>
      <xdr:rowOff>98740</xdr:rowOff>
    </xdr:from>
    <xdr:to>
      <xdr:col>12</xdr:col>
      <xdr:colOff>136337</xdr:colOff>
      <xdr:row>1928</xdr:row>
      <xdr:rowOff>98740</xdr:rowOff>
    </xdr:to>
    <xdr:sp macro="_xll.PtreeEvent_ObjectClick" textlink="">
      <xdr:nvSpPr>
        <xdr:cNvPr id="3821" name="PTObj_DNode_1_954">
          <a:extLst>
            <a:ext uri="{FF2B5EF4-FFF2-40B4-BE49-F238E27FC236}">
              <a16:creationId xmlns:a16="http://schemas.microsoft.com/office/drawing/2014/main" id="{30EC50AA-EA96-4BC5-8CF4-3CD3B943C794}"/>
            </a:ext>
          </a:extLst>
        </xdr:cNvPr>
        <xdr:cNvSpPr/>
      </xdr:nvSpPr>
      <xdr:spPr>
        <a:xfrm rot="-5400000">
          <a:off x="21347557" y="3488347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1927</xdr:row>
      <xdr:rowOff>97021</xdr:rowOff>
    </xdr:from>
    <xdr:ext cx="514858" cy="180627"/>
    <xdr:sp macro="_xll.PtreeEvent_ObjectClick" textlink="">
      <xdr:nvSpPr>
        <xdr:cNvPr id="3824" name="PTObj_DBranchName_1_954">
          <a:extLst>
            <a:ext uri="{FF2B5EF4-FFF2-40B4-BE49-F238E27FC236}">
              <a16:creationId xmlns:a16="http://schemas.microsoft.com/office/drawing/2014/main" id="{20D01723-DC5B-4E54-BCBA-1F7A6DBF23CB}"/>
            </a:ext>
          </a:extLst>
        </xdr:cNvPr>
        <xdr:cNvSpPr txBox="1"/>
      </xdr:nvSpPr>
      <xdr:spPr>
        <a:xfrm>
          <a:off x="20188045" y="3488358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1931</xdr:row>
      <xdr:rowOff>107305</xdr:rowOff>
    </xdr:from>
    <xdr:to>
      <xdr:col>9</xdr:col>
      <xdr:colOff>154432</xdr:colOff>
      <xdr:row>1932</xdr:row>
      <xdr:rowOff>93975</xdr:rowOff>
    </xdr:to>
    <xdr:sp macro="_xll.PtreeEvent_ObjectClick" textlink="">
      <xdr:nvSpPr>
        <xdr:cNvPr id="3825" name="PTObj_DNode_1_956">
          <a:extLst>
            <a:ext uri="{FF2B5EF4-FFF2-40B4-BE49-F238E27FC236}">
              <a16:creationId xmlns:a16="http://schemas.microsoft.com/office/drawing/2014/main" id="{7DC7095B-2709-494C-A101-3617256626D1}"/>
            </a:ext>
          </a:extLst>
        </xdr:cNvPr>
        <xdr:cNvSpPr/>
      </xdr:nvSpPr>
      <xdr:spPr>
        <a:xfrm>
          <a:off x="17068927" y="349570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1931</xdr:row>
      <xdr:rowOff>106541</xdr:rowOff>
    </xdr:from>
    <xdr:ext cx="566520" cy="180627"/>
    <xdr:sp macro="_xll.PtreeEvent_ObjectClick" textlink="">
      <xdr:nvSpPr>
        <xdr:cNvPr id="3828" name="PTObj_DBranchName_1_956">
          <a:extLst>
            <a:ext uri="{FF2B5EF4-FFF2-40B4-BE49-F238E27FC236}">
              <a16:creationId xmlns:a16="http://schemas.microsoft.com/office/drawing/2014/main" id="{97939882-6CB5-4605-B6D4-7A278F01ED0C}"/>
            </a:ext>
          </a:extLst>
        </xdr:cNvPr>
        <xdr:cNvSpPr txBox="1"/>
      </xdr:nvSpPr>
      <xdr:spPr>
        <a:xfrm>
          <a:off x="15926563" y="3495692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1933</xdr:row>
      <xdr:rowOff>111125</xdr:rowOff>
    </xdr:from>
    <xdr:to>
      <xdr:col>10</xdr:col>
      <xdr:colOff>150622</xdr:colOff>
      <xdr:row>1934</xdr:row>
      <xdr:rowOff>113035</xdr:rowOff>
    </xdr:to>
    <xdr:sp macro="_xll.PtreeEvent_ObjectClick" textlink="">
      <xdr:nvSpPr>
        <xdr:cNvPr id="3829" name="PTObj_DNode_1_957">
          <a:extLst>
            <a:ext uri="{FF2B5EF4-FFF2-40B4-BE49-F238E27FC236}">
              <a16:creationId xmlns:a16="http://schemas.microsoft.com/office/drawing/2014/main" id="{3D82C45E-9C4E-4938-997F-4FEFBC83BD96}"/>
            </a:ext>
          </a:extLst>
        </xdr:cNvPr>
        <xdr:cNvSpPr/>
      </xdr:nvSpPr>
      <xdr:spPr>
        <a:xfrm>
          <a:off x="18493867" y="349935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1933</xdr:row>
      <xdr:rowOff>112241</xdr:rowOff>
    </xdr:from>
    <xdr:ext cx="514857" cy="180627"/>
    <xdr:sp macro="_xll.PtreeEvent_ObjectClick" textlink="">
      <xdr:nvSpPr>
        <xdr:cNvPr id="3832" name="PTObj_DBranchName_1_957">
          <a:extLst>
            <a:ext uri="{FF2B5EF4-FFF2-40B4-BE49-F238E27FC236}">
              <a16:creationId xmlns:a16="http://schemas.microsoft.com/office/drawing/2014/main" id="{9FC66570-DEC7-411F-BB33-202FBBD1080B}"/>
            </a:ext>
          </a:extLst>
        </xdr:cNvPr>
        <xdr:cNvSpPr txBox="1"/>
      </xdr:nvSpPr>
      <xdr:spPr>
        <a:xfrm>
          <a:off x="17344834" y="3499369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1935</xdr:row>
      <xdr:rowOff>114945</xdr:rowOff>
    </xdr:from>
    <xdr:to>
      <xdr:col>11</xdr:col>
      <xdr:colOff>131573</xdr:colOff>
      <xdr:row>1936</xdr:row>
      <xdr:rowOff>116855</xdr:rowOff>
    </xdr:to>
    <xdr:sp macro="_xll.PtreeEvent_ObjectClick" textlink="">
      <xdr:nvSpPr>
        <xdr:cNvPr id="3833" name="PTObj_DNode_1_958">
          <a:extLst>
            <a:ext uri="{FF2B5EF4-FFF2-40B4-BE49-F238E27FC236}">
              <a16:creationId xmlns:a16="http://schemas.microsoft.com/office/drawing/2014/main" id="{F481D934-23D8-453D-96BB-9B1445188F69}"/>
            </a:ext>
          </a:extLst>
        </xdr:cNvPr>
        <xdr:cNvSpPr/>
      </xdr:nvSpPr>
      <xdr:spPr>
        <a:xfrm>
          <a:off x="19918807" y="350301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1935</xdr:row>
      <xdr:rowOff>116061</xdr:rowOff>
    </xdr:from>
    <xdr:ext cx="514858" cy="180627"/>
    <xdr:sp macro="_xll.PtreeEvent_ObjectClick" textlink="">
      <xdr:nvSpPr>
        <xdr:cNvPr id="3836" name="PTObj_DBranchName_1_958">
          <a:extLst>
            <a:ext uri="{FF2B5EF4-FFF2-40B4-BE49-F238E27FC236}">
              <a16:creationId xmlns:a16="http://schemas.microsoft.com/office/drawing/2014/main" id="{F563C0DB-611E-4539-BF4A-2560C41EBCF8}"/>
            </a:ext>
          </a:extLst>
        </xdr:cNvPr>
        <xdr:cNvSpPr txBox="1"/>
      </xdr:nvSpPr>
      <xdr:spPr>
        <a:xfrm>
          <a:off x="18768820" y="350302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1937</xdr:row>
      <xdr:rowOff>123505</xdr:rowOff>
    </xdr:from>
    <xdr:to>
      <xdr:col>12</xdr:col>
      <xdr:colOff>136337</xdr:colOff>
      <xdr:row>1938</xdr:row>
      <xdr:rowOff>131125</xdr:rowOff>
    </xdr:to>
    <xdr:sp macro="_xll.PtreeEvent_ObjectClick" textlink="">
      <xdr:nvSpPr>
        <xdr:cNvPr id="3837" name="PTObj_DNode_1_959">
          <a:extLst>
            <a:ext uri="{FF2B5EF4-FFF2-40B4-BE49-F238E27FC236}">
              <a16:creationId xmlns:a16="http://schemas.microsoft.com/office/drawing/2014/main" id="{D65093DC-EB47-485D-BCA2-45085BBF5879}"/>
            </a:ext>
          </a:extLst>
        </xdr:cNvPr>
        <xdr:cNvSpPr/>
      </xdr:nvSpPr>
      <xdr:spPr>
        <a:xfrm rot="-5400000">
          <a:off x="21347557" y="3506692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1937</xdr:row>
      <xdr:rowOff>121786</xdr:rowOff>
    </xdr:from>
    <xdr:ext cx="514858" cy="180627"/>
    <xdr:sp macro="_xll.PtreeEvent_ObjectClick" textlink="">
      <xdr:nvSpPr>
        <xdr:cNvPr id="3840" name="PTObj_DBranchName_1_959">
          <a:extLst>
            <a:ext uri="{FF2B5EF4-FFF2-40B4-BE49-F238E27FC236}">
              <a16:creationId xmlns:a16="http://schemas.microsoft.com/office/drawing/2014/main" id="{45B8F7A4-E775-4468-B834-2432C2C0233F}"/>
            </a:ext>
          </a:extLst>
        </xdr:cNvPr>
        <xdr:cNvSpPr txBox="1"/>
      </xdr:nvSpPr>
      <xdr:spPr>
        <a:xfrm>
          <a:off x="20188045" y="3506703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2</xdr:col>
      <xdr:colOff>1423162</xdr:colOff>
      <xdr:row>2263</xdr:row>
      <xdr:rowOff>8260</xdr:rowOff>
    </xdr:from>
    <xdr:to>
      <xdr:col>3</xdr:col>
      <xdr:colOff>169672</xdr:colOff>
      <xdr:row>2264</xdr:row>
      <xdr:rowOff>15885</xdr:rowOff>
    </xdr:to>
    <xdr:sp macro="_xll.PtreeEvent_ObjectClick" textlink="">
      <xdr:nvSpPr>
        <xdr:cNvPr id="3841" name="PTObj_DNode_1_1120">
          <a:extLst>
            <a:ext uri="{FF2B5EF4-FFF2-40B4-BE49-F238E27FC236}">
              <a16:creationId xmlns:a16="http://schemas.microsoft.com/office/drawing/2014/main" id="{F1B52310-4892-49BA-8394-551CCA270D9D}"/>
            </a:ext>
          </a:extLst>
        </xdr:cNvPr>
        <xdr:cNvSpPr/>
      </xdr:nvSpPr>
      <xdr:spPr>
        <a:xfrm>
          <a:off x="8519287" y="409554685"/>
          <a:ext cx="182880" cy="18288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269367</xdr:colOff>
      <xdr:row>2263</xdr:row>
      <xdr:rowOff>11281</xdr:rowOff>
    </xdr:from>
    <xdr:ext cx="568424" cy="180627"/>
    <xdr:sp macro="_xll.PtreeEvent_ObjectClick" textlink="">
      <xdr:nvSpPr>
        <xdr:cNvPr id="3844" name="PTObj_DBranchName_1_1120">
          <a:extLst>
            <a:ext uri="{FF2B5EF4-FFF2-40B4-BE49-F238E27FC236}">
              <a16:creationId xmlns:a16="http://schemas.microsoft.com/office/drawing/2014/main" id="{13F3D940-8BFA-46B5-A490-C914A3EEF5F3}"/>
            </a:ext>
          </a:extLst>
        </xdr:cNvPr>
        <xdr:cNvSpPr txBox="1"/>
      </xdr:nvSpPr>
      <xdr:spPr>
        <a:xfrm>
          <a:off x="7365492" y="4095577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3</xdr:col>
      <xdr:colOff>1419352</xdr:colOff>
      <xdr:row>2101</xdr:row>
      <xdr:rowOff>65410</xdr:rowOff>
    </xdr:from>
    <xdr:to>
      <xdr:col>4</xdr:col>
      <xdr:colOff>173482</xdr:colOff>
      <xdr:row>2102</xdr:row>
      <xdr:rowOff>55890</xdr:rowOff>
    </xdr:to>
    <xdr:sp macro="_xll.PtreeEvent_ObjectClick" textlink="">
      <xdr:nvSpPr>
        <xdr:cNvPr id="3845" name="PTObj_DNode_1_1040">
          <a:extLst>
            <a:ext uri="{FF2B5EF4-FFF2-40B4-BE49-F238E27FC236}">
              <a16:creationId xmlns:a16="http://schemas.microsoft.com/office/drawing/2014/main" id="{54F80492-A095-4668-BC89-CF318A51A664}"/>
            </a:ext>
          </a:extLst>
        </xdr:cNvPr>
        <xdr:cNvSpPr/>
      </xdr:nvSpPr>
      <xdr:spPr>
        <a:xfrm>
          <a:off x="9944227" y="380293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271272</xdr:colOff>
      <xdr:row>2101</xdr:row>
      <xdr:rowOff>64621</xdr:rowOff>
    </xdr:from>
    <xdr:ext cx="566520" cy="180627"/>
    <xdr:sp macro="_xll.PtreeEvent_ObjectClick" textlink="">
      <xdr:nvSpPr>
        <xdr:cNvPr id="3848" name="PTObj_DBranchName_1_1040">
          <a:extLst>
            <a:ext uri="{FF2B5EF4-FFF2-40B4-BE49-F238E27FC236}">
              <a16:creationId xmlns:a16="http://schemas.microsoft.com/office/drawing/2014/main" id="{B2BAA634-8626-4C56-AB46-4161679DCB02}"/>
            </a:ext>
          </a:extLst>
        </xdr:cNvPr>
        <xdr:cNvSpPr txBox="1"/>
      </xdr:nvSpPr>
      <xdr:spPr>
        <a:xfrm>
          <a:off x="8796147" y="380293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4</xdr:col>
      <xdr:colOff>1415542</xdr:colOff>
      <xdr:row>2020</xdr:row>
      <xdr:rowOff>93985</xdr:rowOff>
    </xdr:from>
    <xdr:to>
      <xdr:col>5</xdr:col>
      <xdr:colOff>169673</xdr:colOff>
      <xdr:row>2021</xdr:row>
      <xdr:rowOff>95895</xdr:rowOff>
    </xdr:to>
    <xdr:sp macro="_xll.PtreeEvent_ObjectClick" textlink="">
      <xdr:nvSpPr>
        <xdr:cNvPr id="3849" name="PTObj_DNode_1_1000">
          <a:extLst>
            <a:ext uri="{FF2B5EF4-FFF2-40B4-BE49-F238E27FC236}">
              <a16:creationId xmlns:a16="http://schemas.microsoft.com/office/drawing/2014/main" id="{665FF945-B431-4B22-B3A8-2B4BBE9D51D4}"/>
            </a:ext>
          </a:extLst>
        </xdr:cNvPr>
        <xdr:cNvSpPr/>
      </xdr:nvSpPr>
      <xdr:spPr>
        <a:xfrm>
          <a:off x="11369167" y="3656634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268414</xdr:colOff>
      <xdr:row>2020</xdr:row>
      <xdr:rowOff>98911</xdr:rowOff>
    </xdr:from>
    <xdr:ext cx="568425" cy="180627"/>
    <xdr:sp macro="_xll.PtreeEvent_ObjectClick" textlink="">
      <xdr:nvSpPr>
        <xdr:cNvPr id="3852" name="PTObj_DBranchName_1_1000">
          <a:extLst>
            <a:ext uri="{FF2B5EF4-FFF2-40B4-BE49-F238E27FC236}">
              <a16:creationId xmlns:a16="http://schemas.microsoft.com/office/drawing/2014/main" id="{BA9D7E03-3069-42C4-BFFF-E3B4E9983B49}"/>
            </a:ext>
          </a:extLst>
        </xdr:cNvPr>
        <xdr:cNvSpPr txBox="1"/>
      </xdr:nvSpPr>
      <xdr:spPr>
        <a:xfrm>
          <a:off x="10222039" y="365668411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1411732</xdr:colOff>
      <xdr:row>1980</xdr:row>
      <xdr:rowOff>17785</xdr:rowOff>
    </xdr:from>
    <xdr:to>
      <xdr:col>6</xdr:col>
      <xdr:colOff>169672</xdr:colOff>
      <xdr:row>1981</xdr:row>
      <xdr:rowOff>15885</xdr:rowOff>
    </xdr:to>
    <xdr:sp macro="_xll.PtreeEvent_ObjectClick" textlink="">
      <xdr:nvSpPr>
        <xdr:cNvPr id="3853" name="PTObj_DNode_1_980">
          <a:extLst>
            <a:ext uri="{FF2B5EF4-FFF2-40B4-BE49-F238E27FC236}">
              <a16:creationId xmlns:a16="http://schemas.microsoft.com/office/drawing/2014/main" id="{2C6DF24C-E934-4873-8EEA-E32D5DA82A1B}"/>
            </a:ext>
          </a:extLst>
        </xdr:cNvPr>
        <xdr:cNvSpPr/>
      </xdr:nvSpPr>
      <xdr:spPr>
        <a:xfrm>
          <a:off x="12794107" y="358348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1980</xdr:row>
      <xdr:rowOff>22711</xdr:rowOff>
    </xdr:from>
    <xdr:ext cx="566520" cy="180627"/>
    <xdr:sp macro="_xll.PtreeEvent_ObjectClick" textlink="">
      <xdr:nvSpPr>
        <xdr:cNvPr id="3856" name="PTObj_DBranchName_1_980">
          <a:extLst>
            <a:ext uri="{FF2B5EF4-FFF2-40B4-BE49-F238E27FC236}">
              <a16:creationId xmlns:a16="http://schemas.microsoft.com/office/drawing/2014/main" id="{702978F2-C6F9-4775-8099-7C558ADEF688}"/>
            </a:ext>
          </a:extLst>
        </xdr:cNvPr>
        <xdr:cNvSpPr txBox="1"/>
      </xdr:nvSpPr>
      <xdr:spPr>
        <a:xfrm>
          <a:off x="11648885" y="358353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1959</xdr:row>
      <xdr:rowOff>160660</xdr:rowOff>
    </xdr:from>
    <xdr:to>
      <xdr:col>7</xdr:col>
      <xdr:colOff>167767</xdr:colOff>
      <xdr:row>1960</xdr:row>
      <xdr:rowOff>168285</xdr:rowOff>
    </xdr:to>
    <xdr:sp macro="_xll.PtreeEvent_ObjectClick" textlink="">
      <xdr:nvSpPr>
        <xdr:cNvPr id="3857" name="PTObj_DNode_1_970">
          <a:extLst>
            <a:ext uri="{FF2B5EF4-FFF2-40B4-BE49-F238E27FC236}">
              <a16:creationId xmlns:a16="http://schemas.microsoft.com/office/drawing/2014/main" id="{E84936F0-8B5F-470D-9587-955253937E84}"/>
            </a:ext>
          </a:extLst>
        </xdr:cNvPr>
        <xdr:cNvSpPr/>
      </xdr:nvSpPr>
      <xdr:spPr>
        <a:xfrm>
          <a:off x="14219047" y="35469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1959</xdr:row>
      <xdr:rowOff>163681</xdr:rowOff>
    </xdr:from>
    <xdr:ext cx="568424" cy="180627"/>
    <xdr:sp macro="_xll.PtreeEvent_ObjectClick" textlink="">
      <xdr:nvSpPr>
        <xdr:cNvPr id="3860" name="PTObj_DBranchName_1_970">
          <a:extLst>
            <a:ext uri="{FF2B5EF4-FFF2-40B4-BE49-F238E27FC236}">
              <a16:creationId xmlns:a16="http://schemas.microsoft.com/office/drawing/2014/main" id="{7CD70493-BC77-4AE6-A240-6E84B8C5120F}"/>
            </a:ext>
          </a:extLst>
        </xdr:cNvPr>
        <xdr:cNvSpPr txBox="1"/>
      </xdr:nvSpPr>
      <xdr:spPr>
        <a:xfrm>
          <a:off x="13072872" y="3546937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1949</xdr:row>
      <xdr:rowOff>141610</xdr:rowOff>
    </xdr:from>
    <xdr:to>
      <xdr:col>8</xdr:col>
      <xdr:colOff>171578</xdr:colOff>
      <xdr:row>1950</xdr:row>
      <xdr:rowOff>135900</xdr:rowOff>
    </xdr:to>
    <xdr:sp macro="_xll.PtreeEvent_ObjectClick" textlink="">
      <xdr:nvSpPr>
        <xdr:cNvPr id="3861" name="PTObj_DNode_1_965">
          <a:extLst>
            <a:ext uri="{FF2B5EF4-FFF2-40B4-BE49-F238E27FC236}">
              <a16:creationId xmlns:a16="http://schemas.microsoft.com/office/drawing/2014/main" id="{F4CAA057-32EA-4EA5-8CDC-FBD90B526ED9}"/>
            </a:ext>
          </a:extLst>
        </xdr:cNvPr>
        <xdr:cNvSpPr/>
      </xdr:nvSpPr>
      <xdr:spPr>
        <a:xfrm>
          <a:off x="15643988" y="352861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1949</xdr:row>
      <xdr:rowOff>140821</xdr:rowOff>
    </xdr:from>
    <xdr:ext cx="566520" cy="180627"/>
    <xdr:sp macro="_xll.PtreeEvent_ObjectClick" textlink="">
      <xdr:nvSpPr>
        <xdr:cNvPr id="3864" name="PTObj_DBranchName_1_965">
          <a:extLst>
            <a:ext uri="{FF2B5EF4-FFF2-40B4-BE49-F238E27FC236}">
              <a16:creationId xmlns:a16="http://schemas.microsoft.com/office/drawing/2014/main" id="{8E511A60-1BD4-4882-B2C9-B82375FA2424}"/>
            </a:ext>
          </a:extLst>
        </xdr:cNvPr>
        <xdr:cNvSpPr txBox="1"/>
      </xdr:nvSpPr>
      <xdr:spPr>
        <a:xfrm>
          <a:off x="14500670" y="352861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1941</xdr:row>
      <xdr:rowOff>126355</xdr:rowOff>
    </xdr:from>
    <xdr:to>
      <xdr:col>9</xdr:col>
      <xdr:colOff>154432</xdr:colOff>
      <xdr:row>1942</xdr:row>
      <xdr:rowOff>135885</xdr:rowOff>
    </xdr:to>
    <xdr:sp macro="_xll.PtreeEvent_ObjectClick" textlink="">
      <xdr:nvSpPr>
        <xdr:cNvPr id="3865" name="PTObj_DNode_1_961">
          <a:extLst>
            <a:ext uri="{FF2B5EF4-FFF2-40B4-BE49-F238E27FC236}">
              <a16:creationId xmlns:a16="http://schemas.microsoft.com/office/drawing/2014/main" id="{25FE4AC6-1B5B-4CA2-9B65-8531CA74A265}"/>
            </a:ext>
          </a:extLst>
        </xdr:cNvPr>
        <xdr:cNvSpPr/>
      </xdr:nvSpPr>
      <xdr:spPr>
        <a:xfrm>
          <a:off x="17068927" y="351398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1941</xdr:row>
      <xdr:rowOff>131306</xdr:rowOff>
    </xdr:from>
    <xdr:ext cx="566519" cy="180627"/>
    <xdr:sp macro="_xll.PtreeEvent_ObjectClick" textlink="">
      <xdr:nvSpPr>
        <xdr:cNvPr id="3868" name="PTObj_DBranchName_1_961">
          <a:extLst>
            <a:ext uri="{FF2B5EF4-FFF2-40B4-BE49-F238E27FC236}">
              <a16:creationId xmlns:a16="http://schemas.microsoft.com/office/drawing/2014/main" id="{199B965F-F670-4BF0-8C99-5A7047F99F24}"/>
            </a:ext>
          </a:extLst>
        </xdr:cNvPr>
        <xdr:cNvSpPr txBox="1"/>
      </xdr:nvSpPr>
      <xdr:spPr>
        <a:xfrm>
          <a:off x="15922752" y="3514037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1943</xdr:row>
      <xdr:rowOff>130175</xdr:rowOff>
    </xdr:from>
    <xdr:to>
      <xdr:col>10</xdr:col>
      <xdr:colOff>150622</xdr:colOff>
      <xdr:row>1944</xdr:row>
      <xdr:rowOff>135895</xdr:rowOff>
    </xdr:to>
    <xdr:sp macro="_xll.PtreeEvent_ObjectClick" textlink="">
      <xdr:nvSpPr>
        <xdr:cNvPr id="3869" name="PTObj_DNode_1_962">
          <a:extLst>
            <a:ext uri="{FF2B5EF4-FFF2-40B4-BE49-F238E27FC236}">
              <a16:creationId xmlns:a16="http://schemas.microsoft.com/office/drawing/2014/main" id="{C8271144-4FB2-4008-8F96-E8B89789AFC4}"/>
            </a:ext>
          </a:extLst>
        </xdr:cNvPr>
        <xdr:cNvSpPr/>
      </xdr:nvSpPr>
      <xdr:spPr>
        <a:xfrm>
          <a:off x="18493867" y="351764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1943</xdr:row>
      <xdr:rowOff>135101</xdr:rowOff>
    </xdr:from>
    <xdr:ext cx="514857" cy="180627"/>
    <xdr:sp macro="_xll.PtreeEvent_ObjectClick" textlink="">
      <xdr:nvSpPr>
        <xdr:cNvPr id="3872" name="PTObj_DBranchName_1_962">
          <a:extLst>
            <a:ext uri="{FF2B5EF4-FFF2-40B4-BE49-F238E27FC236}">
              <a16:creationId xmlns:a16="http://schemas.microsoft.com/office/drawing/2014/main" id="{ACBCBB78-62BD-43F4-B0B0-4E99E848B36D}"/>
            </a:ext>
          </a:extLst>
        </xdr:cNvPr>
        <xdr:cNvSpPr txBox="1"/>
      </xdr:nvSpPr>
      <xdr:spPr>
        <a:xfrm>
          <a:off x="17344834" y="3517695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1945</xdr:row>
      <xdr:rowOff>133995</xdr:rowOff>
    </xdr:from>
    <xdr:to>
      <xdr:col>11</xdr:col>
      <xdr:colOff>131573</xdr:colOff>
      <xdr:row>1946</xdr:row>
      <xdr:rowOff>135905</xdr:rowOff>
    </xdr:to>
    <xdr:sp macro="_xll.PtreeEvent_ObjectClick" textlink="">
      <xdr:nvSpPr>
        <xdr:cNvPr id="3873" name="PTObj_DNode_1_963">
          <a:extLst>
            <a:ext uri="{FF2B5EF4-FFF2-40B4-BE49-F238E27FC236}">
              <a16:creationId xmlns:a16="http://schemas.microsoft.com/office/drawing/2014/main" id="{5676ABFA-AD2F-4389-A812-FAC35D7685C3}"/>
            </a:ext>
          </a:extLst>
        </xdr:cNvPr>
        <xdr:cNvSpPr/>
      </xdr:nvSpPr>
      <xdr:spPr>
        <a:xfrm>
          <a:off x="19918807" y="352130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1945</xdr:row>
      <xdr:rowOff>131301</xdr:rowOff>
    </xdr:from>
    <xdr:ext cx="514858" cy="180627"/>
    <xdr:sp macro="_xll.PtreeEvent_ObjectClick" textlink="">
      <xdr:nvSpPr>
        <xdr:cNvPr id="3876" name="PTObj_DBranchName_1_963">
          <a:extLst>
            <a:ext uri="{FF2B5EF4-FFF2-40B4-BE49-F238E27FC236}">
              <a16:creationId xmlns:a16="http://schemas.microsoft.com/office/drawing/2014/main" id="{686BECF0-4DA6-48E5-805E-CF16256CF186}"/>
            </a:ext>
          </a:extLst>
        </xdr:cNvPr>
        <xdr:cNvSpPr txBox="1"/>
      </xdr:nvSpPr>
      <xdr:spPr>
        <a:xfrm>
          <a:off x="18768820" y="352127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1947</xdr:row>
      <xdr:rowOff>136840</xdr:rowOff>
    </xdr:from>
    <xdr:to>
      <xdr:col>12</xdr:col>
      <xdr:colOff>136337</xdr:colOff>
      <xdr:row>1948</xdr:row>
      <xdr:rowOff>136840</xdr:rowOff>
    </xdr:to>
    <xdr:sp macro="_xll.PtreeEvent_ObjectClick" textlink="">
      <xdr:nvSpPr>
        <xdr:cNvPr id="3877" name="PTObj_DNode_1_964">
          <a:extLst>
            <a:ext uri="{FF2B5EF4-FFF2-40B4-BE49-F238E27FC236}">
              <a16:creationId xmlns:a16="http://schemas.microsoft.com/office/drawing/2014/main" id="{B5628D2B-D7F2-4126-96C4-8E230D41D9C7}"/>
            </a:ext>
          </a:extLst>
        </xdr:cNvPr>
        <xdr:cNvSpPr/>
      </xdr:nvSpPr>
      <xdr:spPr>
        <a:xfrm rot="-5400000">
          <a:off x="21347557" y="3524923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1947</xdr:row>
      <xdr:rowOff>135121</xdr:rowOff>
    </xdr:from>
    <xdr:ext cx="514858" cy="180627"/>
    <xdr:sp macro="_xll.PtreeEvent_ObjectClick" textlink="">
      <xdr:nvSpPr>
        <xdr:cNvPr id="3880" name="PTObj_DBranchName_1_964">
          <a:extLst>
            <a:ext uri="{FF2B5EF4-FFF2-40B4-BE49-F238E27FC236}">
              <a16:creationId xmlns:a16="http://schemas.microsoft.com/office/drawing/2014/main" id="{0C504A87-2C31-4DD9-B019-C720F1A1427F}"/>
            </a:ext>
          </a:extLst>
        </xdr:cNvPr>
        <xdr:cNvSpPr txBox="1"/>
      </xdr:nvSpPr>
      <xdr:spPr>
        <a:xfrm>
          <a:off x="20188045" y="3524934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1951</xdr:row>
      <xdr:rowOff>145405</xdr:rowOff>
    </xdr:from>
    <xdr:to>
      <xdr:col>9</xdr:col>
      <xdr:colOff>154432</xdr:colOff>
      <xdr:row>1952</xdr:row>
      <xdr:rowOff>132075</xdr:rowOff>
    </xdr:to>
    <xdr:sp macro="_xll.PtreeEvent_ObjectClick" textlink="">
      <xdr:nvSpPr>
        <xdr:cNvPr id="3881" name="PTObj_DNode_1_966">
          <a:extLst>
            <a:ext uri="{FF2B5EF4-FFF2-40B4-BE49-F238E27FC236}">
              <a16:creationId xmlns:a16="http://schemas.microsoft.com/office/drawing/2014/main" id="{27CDA228-D75E-47C7-AAA0-60F2434D6BCF}"/>
            </a:ext>
          </a:extLst>
        </xdr:cNvPr>
        <xdr:cNvSpPr/>
      </xdr:nvSpPr>
      <xdr:spPr>
        <a:xfrm>
          <a:off x="17068927" y="353227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1951</xdr:row>
      <xdr:rowOff>144641</xdr:rowOff>
    </xdr:from>
    <xdr:ext cx="566520" cy="180627"/>
    <xdr:sp macro="_xll.PtreeEvent_ObjectClick" textlink="">
      <xdr:nvSpPr>
        <xdr:cNvPr id="3884" name="PTObj_DBranchName_1_966">
          <a:extLst>
            <a:ext uri="{FF2B5EF4-FFF2-40B4-BE49-F238E27FC236}">
              <a16:creationId xmlns:a16="http://schemas.microsoft.com/office/drawing/2014/main" id="{A7B817C5-8671-4B57-95D7-F16EE2449A64}"/>
            </a:ext>
          </a:extLst>
        </xdr:cNvPr>
        <xdr:cNvSpPr txBox="1"/>
      </xdr:nvSpPr>
      <xdr:spPr>
        <a:xfrm>
          <a:off x="15926563" y="3532268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1953</xdr:row>
      <xdr:rowOff>149225</xdr:rowOff>
    </xdr:from>
    <xdr:to>
      <xdr:col>10</xdr:col>
      <xdr:colOff>150622</xdr:colOff>
      <xdr:row>1954</xdr:row>
      <xdr:rowOff>151135</xdr:rowOff>
    </xdr:to>
    <xdr:sp macro="_xll.PtreeEvent_ObjectClick" textlink="">
      <xdr:nvSpPr>
        <xdr:cNvPr id="3885" name="PTObj_DNode_1_967">
          <a:extLst>
            <a:ext uri="{FF2B5EF4-FFF2-40B4-BE49-F238E27FC236}">
              <a16:creationId xmlns:a16="http://schemas.microsoft.com/office/drawing/2014/main" id="{4F07C093-B744-42F6-A00A-86B6B71D4071}"/>
            </a:ext>
          </a:extLst>
        </xdr:cNvPr>
        <xdr:cNvSpPr/>
      </xdr:nvSpPr>
      <xdr:spPr>
        <a:xfrm>
          <a:off x="18493867" y="353593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1953</xdr:row>
      <xdr:rowOff>150341</xdr:rowOff>
    </xdr:from>
    <xdr:ext cx="514857" cy="180627"/>
    <xdr:sp macro="_xll.PtreeEvent_ObjectClick" textlink="">
      <xdr:nvSpPr>
        <xdr:cNvPr id="3888" name="PTObj_DBranchName_1_967">
          <a:extLst>
            <a:ext uri="{FF2B5EF4-FFF2-40B4-BE49-F238E27FC236}">
              <a16:creationId xmlns:a16="http://schemas.microsoft.com/office/drawing/2014/main" id="{48631F05-9EEC-47E9-B650-3C1ECB8F4FBC}"/>
            </a:ext>
          </a:extLst>
        </xdr:cNvPr>
        <xdr:cNvSpPr txBox="1"/>
      </xdr:nvSpPr>
      <xdr:spPr>
        <a:xfrm>
          <a:off x="17344834" y="3535945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1955</xdr:row>
      <xdr:rowOff>153045</xdr:rowOff>
    </xdr:from>
    <xdr:to>
      <xdr:col>11</xdr:col>
      <xdr:colOff>131573</xdr:colOff>
      <xdr:row>1956</xdr:row>
      <xdr:rowOff>154955</xdr:rowOff>
    </xdr:to>
    <xdr:sp macro="_xll.PtreeEvent_ObjectClick" textlink="">
      <xdr:nvSpPr>
        <xdr:cNvPr id="3889" name="PTObj_DNode_1_968">
          <a:extLst>
            <a:ext uri="{FF2B5EF4-FFF2-40B4-BE49-F238E27FC236}">
              <a16:creationId xmlns:a16="http://schemas.microsoft.com/office/drawing/2014/main" id="{D58A620C-B714-454A-8F5D-B4CCB1AD3D9B}"/>
            </a:ext>
          </a:extLst>
        </xdr:cNvPr>
        <xdr:cNvSpPr/>
      </xdr:nvSpPr>
      <xdr:spPr>
        <a:xfrm>
          <a:off x="19918807" y="353959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1955</xdr:row>
      <xdr:rowOff>154161</xdr:rowOff>
    </xdr:from>
    <xdr:ext cx="514858" cy="180627"/>
    <xdr:sp macro="_xll.PtreeEvent_ObjectClick" textlink="">
      <xdr:nvSpPr>
        <xdr:cNvPr id="3892" name="PTObj_DBranchName_1_968">
          <a:extLst>
            <a:ext uri="{FF2B5EF4-FFF2-40B4-BE49-F238E27FC236}">
              <a16:creationId xmlns:a16="http://schemas.microsoft.com/office/drawing/2014/main" id="{CF96A0FB-25FE-4E5C-BB3A-98BE543D6B0B}"/>
            </a:ext>
          </a:extLst>
        </xdr:cNvPr>
        <xdr:cNvSpPr txBox="1"/>
      </xdr:nvSpPr>
      <xdr:spPr>
        <a:xfrm>
          <a:off x="18768820" y="353960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1957</xdr:row>
      <xdr:rowOff>161605</xdr:rowOff>
    </xdr:from>
    <xdr:to>
      <xdr:col>12</xdr:col>
      <xdr:colOff>136337</xdr:colOff>
      <xdr:row>1958</xdr:row>
      <xdr:rowOff>169225</xdr:rowOff>
    </xdr:to>
    <xdr:sp macro="_xll.PtreeEvent_ObjectClick" textlink="">
      <xdr:nvSpPr>
        <xdr:cNvPr id="3893" name="PTObj_DNode_1_969">
          <a:extLst>
            <a:ext uri="{FF2B5EF4-FFF2-40B4-BE49-F238E27FC236}">
              <a16:creationId xmlns:a16="http://schemas.microsoft.com/office/drawing/2014/main" id="{0480DEA1-7AB2-4B82-8230-6AED21E57F3F}"/>
            </a:ext>
          </a:extLst>
        </xdr:cNvPr>
        <xdr:cNvSpPr/>
      </xdr:nvSpPr>
      <xdr:spPr>
        <a:xfrm rot="-5400000">
          <a:off x="21347557" y="3543268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1957</xdr:row>
      <xdr:rowOff>159886</xdr:rowOff>
    </xdr:from>
    <xdr:ext cx="514858" cy="180627"/>
    <xdr:sp macro="_xll.PtreeEvent_ObjectClick" textlink="">
      <xdr:nvSpPr>
        <xdr:cNvPr id="3896" name="PTObj_DBranchName_1_969">
          <a:extLst>
            <a:ext uri="{FF2B5EF4-FFF2-40B4-BE49-F238E27FC236}">
              <a16:creationId xmlns:a16="http://schemas.microsoft.com/office/drawing/2014/main" id="{E5EE06EC-9ABA-4B1B-B0A7-CBF0BD9D4CA8}"/>
            </a:ext>
          </a:extLst>
        </xdr:cNvPr>
        <xdr:cNvSpPr txBox="1"/>
      </xdr:nvSpPr>
      <xdr:spPr>
        <a:xfrm>
          <a:off x="20188045" y="3543279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1969</xdr:row>
      <xdr:rowOff>179710</xdr:rowOff>
    </xdr:from>
    <xdr:to>
      <xdr:col>8</xdr:col>
      <xdr:colOff>167768</xdr:colOff>
      <xdr:row>1971</xdr:row>
      <xdr:rowOff>645</xdr:rowOff>
    </xdr:to>
    <xdr:sp macro="_xll.PtreeEvent_ObjectClick" textlink="">
      <xdr:nvSpPr>
        <xdr:cNvPr id="3897" name="PTObj_DNode_1_975">
          <a:extLst>
            <a:ext uri="{FF2B5EF4-FFF2-40B4-BE49-F238E27FC236}">
              <a16:creationId xmlns:a16="http://schemas.microsoft.com/office/drawing/2014/main" id="{F1315C76-9D9F-4BE6-846C-E109CD81CDBB}"/>
            </a:ext>
          </a:extLst>
        </xdr:cNvPr>
        <xdr:cNvSpPr/>
      </xdr:nvSpPr>
      <xdr:spPr>
        <a:xfrm>
          <a:off x="15643988" y="35651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1969</xdr:row>
      <xdr:rowOff>178921</xdr:rowOff>
    </xdr:from>
    <xdr:ext cx="566520" cy="180627"/>
    <xdr:sp macro="_xll.PtreeEvent_ObjectClick" textlink="">
      <xdr:nvSpPr>
        <xdr:cNvPr id="3900" name="PTObj_DBranchName_1_975">
          <a:extLst>
            <a:ext uri="{FF2B5EF4-FFF2-40B4-BE49-F238E27FC236}">
              <a16:creationId xmlns:a16="http://schemas.microsoft.com/office/drawing/2014/main" id="{ACE7BED8-8869-4476-8E52-CEDEC68A44C6}"/>
            </a:ext>
          </a:extLst>
        </xdr:cNvPr>
        <xdr:cNvSpPr txBox="1"/>
      </xdr:nvSpPr>
      <xdr:spPr>
        <a:xfrm>
          <a:off x="14498765" y="3565186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1961</xdr:row>
      <xdr:rowOff>164455</xdr:rowOff>
    </xdr:from>
    <xdr:to>
      <xdr:col>9</xdr:col>
      <xdr:colOff>154432</xdr:colOff>
      <xdr:row>1962</xdr:row>
      <xdr:rowOff>170175</xdr:rowOff>
    </xdr:to>
    <xdr:sp macro="_xll.PtreeEvent_ObjectClick" textlink="">
      <xdr:nvSpPr>
        <xdr:cNvPr id="3901" name="PTObj_DNode_1_971">
          <a:extLst>
            <a:ext uri="{FF2B5EF4-FFF2-40B4-BE49-F238E27FC236}">
              <a16:creationId xmlns:a16="http://schemas.microsoft.com/office/drawing/2014/main" id="{A4D6A59D-6D97-4CA7-99D9-D0D6B995A6BC}"/>
            </a:ext>
          </a:extLst>
        </xdr:cNvPr>
        <xdr:cNvSpPr/>
      </xdr:nvSpPr>
      <xdr:spPr>
        <a:xfrm>
          <a:off x="17068927" y="355056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1961</xdr:row>
      <xdr:rowOff>169406</xdr:rowOff>
    </xdr:from>
    <xdr:ext cx="566519" cy="180627"/>
    <xdr:sp macro="_xll.PtreeEvent_ObjectClick" textlink="">
      <xdr:nvSpPr>
        <xdr:cNvPr id="3904" name="PTObj_DBranchName_1_971">
          <a:extLst>
            <a:ext uri="{FF2B5EF4-FFF2-40B4-BE49-F238E27FC236}">
              <a16:creationId xmlns:a16="http://schemas.microsoft.com/office/drawing/2014/main" id="{824F6680-E113-4C6E-BF1F-8CAA7D9705CE}"/>
            </a:ext>
          </a:extLst>
        </xdr:cNvPr>
        <xdr:cNvSpPr txBox="1"/>
      </xdr:nvSpPr>
      <xdr:spPr>
        <a:xfrm>
          <a:off x="15922752" y="3550613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1963</xdr:row>
      <xdr:rowOff>168275</xdr:rowOff>
    </xdr:from>
    <xdr:to>
      <xdr:col>10</xdr:col>
      <xdr:colOff>150622</xdr:colOff>
      <xdr:row>1964</xdr:row>
      <xdr:rowOff>170185</xdr:rowOff>
    </xdr:to>
    <xdr:sp macro="_xll.PtreeEvent_ObjectClick" textlink="">
      <xdr:nvSpPr>
        <xdr:cNvPr id="3905" name="PTObj_DNode_1_972">
          <a:extLst>
            <a:ext uri="{FF2B5EF4-FFF2-40B4-BE49-F238E27FC236}">
              <a16:creationId xmlns:a16="http://schemas.microsoft.com/office/drawing/2014/main" id="{E013BE39-5EAE-4640-8BEC-DE1CA659E67D}"/>
            </a:ext>
          </a:extLst>
        </xdr:cNvPr>
        <xdr:cNvSpPr/>
      </xdr:nvSpPr>
      <xdr:spPr>
        <a:xfrm>
          <a:off x="18493867" y="355422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1963</xdr:row>
      <xdr:rowOff>173201</xdr:rowOff>
    </xdr:from>
    <xdr:ext cx="514857" cy="180627"/>
    <xdr:sp macro="_xll.PtreeEvent_ObjectClick" textlink="">
      <xdr:nvSpPr>
        <xdr:cNvPr id="3908" name="PTObj_DBranchName_1_972">
          <a:extLst>
            <a:ext uri="{FF2B5EF4-FFF2-40B4-BE49-F238E27FC236}">
              <a16:creationId xmlns:a16="http://schemas.microsoft.com/office/drawing/2014/main" id="{15B41CAD-A68B-48AD-A065-85C1D4D94798}"/>
            </a:ext>
          </a:extLst>
        </xdr:cNvPr>
        <xdr:cNvSpPr txBox="1"/>
      </xdr:nvSpPr>
      <xdr:spPr>
        <a:xfrm>
          <a:off x="17344834" y="3554271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1965</xdr:row>
      <xdr:rowOff>172095</xdr:rowOff>
    </xdr:from>
    <xdr:to>
      <xdr:col>11</xdr:col>
      <xdr:colOff>135383</xdr:colOff>
      <xdr:row>1966</xdr:row>
      <xdr:rowOff>170195</xdr:rowOff>
    </xdr:to>
    <xdr:sp macro="_xll.PtreeEvent_ObjectClick" textlink="">
      <xdr:nvSpPr>
        <xdr:cNvPr id="3909" name="PTObj_DNode_1_973">
          <a:extLst>
            <a:ext uri="{FF2B5EF4-FFF2-40B4-BE49-F238E27FC236}">
              <a16:creationId xmlns:a16="http://schemas.microsoft.com/office/drawing/2014/main" id="{F931A244-0A11-43D9-9592-08BD1AD32668}"/>
            </a:ext>
          </a:extLst>
        </xdr:cNvPr>
        <xdr:cNvSpPr/>
      </xdr:nvSpPr>
      <xdr:spPr>
        <a:xfrm>
          <a:off x="19918807" y="355787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1965</xdr:row>
      <xdr:rowOff>169401</xdr:rowOff>
    </xdr:from>
    <xdr:ext cx="514858" cy="180627"/>
    <xdr:sp macro="_xll.PtreeEvent_ObjectClick" textlink="">
      <xdr:nvSpPr>
        <xdr:cNvPr id="3912" name="PTObj_DBranchName_1_973">
          <a:extLst>
            <a:ext uri="{FF2B5EF4-FFF2-40B4-BE49-F238E27FC236}">
              <a16:creationId xmlns:a16="http://schemas.microsoft.com/office/drawing/2014/main" id="{4E22C199-ED7C-4473-975C-37F51F68CF9B}"/>
            </a:ext>
          </a:extLst>
        </xdr:cNvPr>
        <xdr:cNvSpPr txBox="1"/>
      </xdr:nvSpPr>
      <xdr:spPr>
        <a:xfrm>
          <a:off x="18768820" y="355785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1967</xdr:row>
      <xdr:rowOff>174940</xdr:rowOff>
    </xdr:from>
    <xdr:to>
      <xdr:col>12</xdr:col>
      <xdr:colOff>132527</xdr:colOff>
      <xdr:row>1968</xdr:row>
      <xdr:rowOff>171130</xdr:rowOff>
    </xdr:to>
    <xdr:sp macro="_xll.PtreeEvent_ObjectClick" textlink="">
      <xdr:nvSpPr>
        <xdr:cNvPr id="3913" name="PTObj_DNode_1_974">
          <a:extLst>
            <a:ext uri="{FF2B5EF4-FFF2-40B4-BE49-F238E27FC236}">
              <a16:creationId xmlns:a16="http://schemas.microsoft.com/office/drawing/2014/main" id="{D6C0A403-E041-466B-9797-1CF8796EA741}"/>
            </a:ext>
          </a:extLst>
        </xdr:cNvPr>
        <xdr:cNvSpPr/>
      </xdr:nvSpPr>
      <xdr:spPr>
        <a:xfrm rot="-5400000">
          <a:off x="21347557" y="3561499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1967</xdr:row>
      <xdr:rowOff>173221</xdr:rowOff>
    </xdr:from>
    <xdr:ext cx="514858" cy="180627"/>
    <xdr:sp macro="_xll.PtreeEvent_ObjectClick" textlink="">
      <xdr:nvSpPr>
        <xdr:cNvPr id="3916" name="PTObj_DBranchName_1_974">
          <a:extLst>
            <a:ext uri="{FF2B5EF4-FFF2-40B4-BE49-F238E27FC236}">
              <a16:creationId xmlns:a16="http://schemas.microsoft.com/office/drawing/2014/main" id="{A5300C06-9375-4849-8D77-70058F63C6D8}"/>
            </a:ext>
          </a:extLst>
        </xdr:cNvPr>
        <xdr:cNvSpPr txBox="1"/>
      </xdr:nvSpPr>
      <xdr:spPr>
        <a:xfrm>
          <a:off x="20188045" y="356151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1972</xdr:row>
      <xdr:rowOff>2530</xdr:rowOff>
    </xdr:from>
    <xdr:to>
      <xdr:col>9</xdr:col>
      <xdr:colOff>154432</xdr:colOff>
      <xdr:row>1973</xdr:row>
      <xdr:rowOff>15870</xdr:rowOff>
    </xdr:to>
    <xdr:sp macro="_xll.PtreeEvent_ObjectClick" textlink="">
      <xdr:nvSpPr>
        <xdr:cNvPr id="3917" name="PTObj_DNode_1_976">
          <a:extLst>
            <a:ext uri="{FF2B5EF4-FFF2-40B4-BE49-F238E27FC236}">
              <a16:creationId xmlns:a16="http://schemas.microsoft.com/office/drawing/2014/main" id="{2B2AAD0E-8C3F-477A-A464-9933AA6183D2}"/>
            </a:ext>
          </a:extLst>
        </xdr:cNvPr>
        <xdr:cNvSpPr/>
      </xdr:nvSpPr>
      <xdr:spPr>
        <a:xfrm>
          <a:off x="17068927" y="356885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1972</xdr:row>
      <xdr:rowOff>3671</xdr:rowOff>
    </xdr:from>
    <xdr:ext cx="566520" cy="180627"/>
    <xdr:sp macro="_xll.PtreeEvent_ObjectClick" textlink="">
      <xdr:nvSpPr>
        <xdr:cNvPr id="3920" name="PTObj_DBranchName_1_976">
          <a:extLst>
            <a:ext uri="{FF2B5EF4-FFF2-40B4-BE49-F238E27FC236}">
              <a16:creationId xmlns:a16="http://schemas.microsoft.com/office/drawing/2014/main" id="{482B296A-2AA2-4700-A0F9-2315FE4D81BA}"/>
            </a:ext>
          </a:extLst>
        </xdr:cNvPr>
        <xdr:cNvSpPr txBox="1"/>
      </xdr:nvSpPr>
      <xdr:spPr>
        <a:xfrm>
          <a:off x="15926563" y="3568863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1974</xdr:row>
      <xdr:rowOff>6350</xdr:rowOff>
    </xdr:from>
    <xdr:to>
      <xdr:col>10</xdr:col>
      <xdr:colOff>150622</xdr:colOff>
      <xdr:row>1975</xdr:row>
      <xdr:rowOff>19690</xdr:rowOff>
    </xdr:to>
    <xdr:sp macro="_xll.PtreeEvent_ObjectClick" textlink="">
      <xdr:nvSpPr>
        <xdr:cNvPr id="3921" name="PTObj_DNode_1_977">
          <a:extLst>
            <a:ext uri="{FF2B5EF4-FFF2-40B4-BE49-F238E27FC236}">
              <a16:creationId xmlns:a16="http://schemas.microsoft.com/office/drawing/2014/main" id="{220B3183-6AB0-4AA5-BA6F-700C439145F7}"/>
            </a:ext>
          </a:extLst>
        </xdr:cNvPr>
        <xdr:cNvSpPr/>
      </xdr:nvSpPr>
      <xdr:spPr>
        <a:xfrm>
          <a:off x="18493867" y="357251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1974</xdr:row>
      <xdr:rowOff>9371</xdr:rowOff>
    </xdr:from>
    <xdr:ext cx="514857" cy="180627"/>
    <xdr:sp macro="_xll.PtreeEvent_ObjectClick" textlink="">
      <xdr:nvSpPr>
        <xdr:cNvPr id="3924" name="PTObj_DBranchName_1_977">
          <a:extLst>
            <a:ext uri="{FF2B5EF4-FFF2-40B4-BE49-F238E27FC236}">
              <a16:creationId xmlns:a16="http://schemas.microsoft.com/office/drawing/2014/main" id="{025FEC6C-ACE9-4392-9EAD-6F31697B4AD8}"/>
            </a:ext>
          </a:extLst>
        </xdr:cNvPr>
        <xdr:cNvSpPr txBox="1"/>
      </xdr:nvSpPr>
      <xdr:spPr>
        <a:xfrm>
          <a:off x="17344834" y="3572540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1976</xdr:row>
      <xdr:rowOff>10170</xdr:rowOff>
    </xdr:from>
    <xdr:to>
      <xdr:col>11</xdr:col>
      <xdr:colOff>135383</xdr:colOff>
      <xdr:row>1977</xdr:row>
      <xdr:rowOff>15890</xdr:rowOff>
    </xdr:to>
    <xdr:sp macro="_xll.PtreeEvent_ObjectClick" textlink="">
      <xdr:nvSpPr>
        <xdr:cNvPr id="3925" name="PTObj_DNode_1_978">
          <a:extLst>
            <a:ext uri="{FF2B5EF4-FFF2-40B4-BE49-F238E27FC236}">
              <a16:creationId xmlns:a16="http://schemas.microsoft.com/office/drawing/2014/main" id="{ED4343D1-87E9-4D07-9529-BD14499207AF}"/>
            </a:ext>
          </a:extLst>
        </xdr:cNvPr>
        <xdr:cNvSpPr/>
      </xdr:nvSpPr>
      <xdr:spPr>
        <a:xfrm>
          <a:off x="19918807" y="357616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1976</xdr:row>
      <xdr:rowOff>13191</xdr:rowOff>
    </xdr:from>
    <xdr:ext cx="514858" cy="180627"/>
    <xdr:sp macro="_xll.PtreeEvent_ObjectClick" textlink="">
      <xdr:nvSpPr>
        <xdr:cNvPr id="3928" name="PTObj_DBranchName_1_978">
          <a:extLst>
            <a:ext uri="{FF2B5EF4-FFF2-40B4-BE49-F238E27FC236}">
              <a16:creationId xmlns:a16="http://schemas.microsoft.com/office/drawing/2014/main" id="{2EEB61E5-BD7E-4C20-A9D5-619185C888E4}"/>
            </a:ext>
          </a:extLst>
        </xdr:cNvPr>
        <xdr:cNvSpPr txBox="1"/>
      </xdr:nvSpPr>
      <xdr:spPr>
        <a:xfrm>
          <a:off x="18768820" y="357619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1978</xdr:row>
      <xdr:rowOff>20635</xdr:rowOff>
    </xdr:from>
    <xdr:to>
      <xdr:col>12</xdr:col>
      <xdr:colOff>132527</xdr:colOff>
      <xdr:row>1979</xdr:row>
      <xdr:rowOff>16825</xdr:rowOff>
    </xdr:to>
    <xdr:sp macro="_xll.PtreeEvent_ObjectClick" textlink="">
      <xdr:nvSpPr>
        <xdr:cNvPr id="3929" name="PTObj_DNode_1_979">
          <a:extLst>
            <a:ext uri="{FF2B5EF4-FFF2-40B4-BE49-F238E27FC236}">
              <a16:creationId xmlns:a16="http://schemas.microsoft.com/office/drawing/2014/main" id="{1DB550CB-D6E3-42C4-A33A-3BAC23BFB3D1}"/>
            </a:ext>
          </a:extLst>
        </xdr:cNvPr>
        <xdr:cNvSpPr/>
      </xdr:nvSpPr>
      <xdr:spPr>
        <a:xfrm rot="-5400000">
          <a:off x="21347557" y="3579863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1978</xdr:row>
      <xdr:rowOff>18916</xdr:rowOff>
    </xdr:from>
    <xdr:ext cx="514858" cy="180627"/>
    <xdr:sp macro="_xll.PtreeEvent_ObjectClick" textlink="">
      <xdr:nvSpPr>
        <xdr:cNvPr id="3932" name="PTObj_DBranchName_1_979">
          <a:extLst>
            <a:ext uri="{FF2B5EF4-FFF2-40B4-BE49-F238E27FC236}">
              <a16:creationId xmlns:a16="http://schemas.microsoft.com/office/drawing/2014/main" id="{C6E02E2D-6276-42F0-AD2C-035329D5C851}"/>
            </a:ext>
          </a:extLst>
        </xdr:cNvPr>
        <xdr:cNvSpPr txBox="1"/>
      </xdr:nvSpPr>
      <xdr:spPr>
        <a:xfrm>
          <a:off x="20188045" y="3579874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2000</xdr:row>
      <xdr:rowOff>55885</xdr:rowOff>
    </xdr:from>
    <xdr:to>
      <xdr:col>7</xdr:col>
      <xdr:colOff>171577</xdr:colOff>
      <xdr:row>2001</xdr:row>
      <xdr:rowOff>53985</xdr:rowOff>
    </xdr:to>
    <xdr:sp macro="_xll.PtreeEvent_ObjectClick" textlink="">
      <xdr:nvSpPr>
        <xdr:cNvPr id="3933" name="PTObj_DNode_1_990">
          <a:extLst>
            <a:ext uri="{FF2B5EF4-FFF2-40B4-BE49-F238E27FC236}">
              <a16:creationId xmlns:a16="http://schemas.microsoft.com/office/drawing/2014/main" id="{076EE764-0AF1-4F12-8034-AFC75EFAAD17}"/>
            </a:ext>
          </a:extLst>
        </xdr:cNvPr>
        <xdr:cNvSpPr/>
      </xdr:nvSpPr>
      <xdr:spPr>
        <a:xfrm>
          <a:off x="14219047" y="36200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2000</xdr:row>
      <xdr:rowOff>60811</xdr:rowOff>
    </xdr:from>
    <xdr:ext cx="566520" cy="180627"/>
    <xdr:sp macro="_xll.PtreeEvent_ObjectClick" textlink="">
      <xdr:nvSpPr>
        <xdr:cNvPr id="3936" name="PTObj_DBranchName_1_990">
          <a:extLst>
            <a:ext uri="{FF2B5EF4-FFF2-40B4-BE49-F238E27FC236}">
              <a16:creationId xmlns:a16="http://schemas.microsoft.com/office/drawing/2014/main" id="{C6C80ED4-5F48-404B-AC30-41371F2E8D6C}"/>
            </a:ext>
          </a:extLst>
        </xdr:cNvPr>
        <xdr:cNvSpPr txBox="1"/>
      </xdr:nvSpPr>
      <xdr:spPr>
        <a:xfrm>
          <a:off x="13074777" y="362010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1990</xdr:row>
      <xdr:rowOff>36835</xdr:rowOff>
    </xdr:from>
    <xdr:to>
      <xdr:col>8</xdr:col>
      <xdr:colOff>167768</xdr:colOff>
      <xdr:row>1991</xdr:row>
      <xdr:rowOff>38745</xdr:rowOff>
    </xdr:to>
    <xdr:sp macro="_xll.PtreeEvent_ObjectClick" textlink="">
      <xdr:nvSpPr>
        <xdr:cNvPr id="3937" name="PTObj_DNode_1_985">
          <a:extLst>
            <a:ext uri="{FF2B5EF4-FFF2-40B4-BE49-F238E27FC236}">
              <a16:creationId xmlns:a16="http://schemas.microsoft.com/office/drawing/2014/main" id="{A3EDC1B5-6C4E-4815-9B6D-94B6E1763DF0}"/>
            </a:ext>
          </a:extLst>
        </xdr:cNvPr>
        <xdr:cNvSpPr/>
      </xdr:nvSpPr>
      <xdr:spPr>
        <a:xfrm>
          <a:off x="15643988" y="36017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1990</xdr:row>
      <xdr:rowOff>37951</xdr:rowOff>
    </xdr:from>
    <xdr:ext cx="566520" cy="180627"/>
    <xdr:sp macro="_xll.PtreeEvent_ObjectClick" textlink="">
      <xdr:nvSpPr>
        <xdr:cNvPr id="3940" name="PTObj_DBranchName_1_985">
          <a:extLst>
            <a:ext uri="{FF2B5EF4-FFF2-40B4-BE49-F238E27FC236}">
              <a16:creationId xmlns:a16="http://schemas.microsoft.com/office/drawing/2014/main" id="{65DAF3DA-6181-4EF8-88FD-C0D15D9378AC}"/>
            </a:ext>
          </a:extLst>
        </xdr:cNvPr>
        <xdr:cNvSpPr txBox="1"/>
      </xdr:nvSpPr>
      <xdr:spPr>
        <a:xfrm>
          <a:off x="14500670" y="3601782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1982</xdr:row>
      <xdr:rowOff>21580</xdr:rowOff>
    </xdr:from>
    <xdr:to>
      <xdr:col>9</xdr:col>
      <xdr:colOff>154432</xdr:colOff>
      <xdr:row>1983</xdr:row>
      <xdr:rowOff>19680</xdr:rowOff>
    </xdr:to>
    <xdr:sp macro="_xll.PtreeEvent_ObjectClick" textlink="">
      <xdr:nvSpPr>
        <xdr:cNvPr id="3941" name="PTObj_DNode_1_981">
          <a:extLst>
            <a:ext uri="{FF2B5EF4-FFF2-40B4-BE49-F238E27FC236}">
              <a16:creationId xmlns:a16="http://schemas.microsoft.com/office/drawing/2014/main" id="{B5D68B2D-2913-4CEC-9A95-561ADD858B0A}"/>
            </a:ext>
          </a:extLst>
        </xdr:cNvPr>
        <xdr:cNvSpPr/>
      </xdr:nvSpPr>
      <xdr:spPr>
        <a:xfrm>
          <a:off x="17068927" y="358714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1982</xdr:row>
      <xdr:rowOff>18911</xdr:rowOff>
    </xdr:from>
    <xdr:ext cx="566519" cy="180627"/>
    <xdr:sp macro="_xll.PtreeEvent_ObjectClick" textlink="">
      <xdr:nvSpPr>
        <xdr:cNvPr id="3944" name="PTObj_DBranchName_1_981">
          <a:extLst>
            <a:ext uri="{FF2B5EF4-FFF2-40B4-BE49-F238E27FC236}">
              <a16:creationId xmlns:a16="http://schemas.microsoft.com/office/drawing/2014/main" id="{A3865780-56C1-4E1C-BE72-0AD97435F3DE}"/>
            </a:ext>
          </a:extLst>
        </xdr:cNvPr>
        <xdr:cNvSpPr txBox="1"/>
      </xdr:nvSpPr>
      <xdr:spPr>
        <a:xfrm>
          <a:off x="15922752" y="3587113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1984</xdr:row>
      <xdr:rowOff>25400</xdr:rowOff>
    </xdr:from>
    <xdr:to>
      <xdr:col>10</xdr:col>
      <xdr:colOff>150622</xdr:colOff>
      <xdr:row>1985</xdr:row>
      <xdr:rowOff>21595</xdr:rowOff>
    </xdr:to>
    <xdr:sp macro="_xll.PtreeEvent_ObjectClick" textlink="">
      <xdr:nvSpPr>
        <xdr:cNvPr id="3945" name="PTObj_DNode_1_982">
          <a:extLst>
            <a:ext uri="{FF2B5EF4-FFF2-40B4-BE49-F238E27FC236}">
              <a16:creationId xmlns:a16="http://schemas.microsoft.com/office/drawing/2014/main" id="{4E2895DB-30DE-43F2-BD40-1CC9786DFF5A}"/>
            </a:ext>
          </a:extLst>
        </xdr:cNvPr>
        <xdr:cNvSpPr/>
      </xdr:nvSpPr>
      <xdr:spPr>
        <a:xfrm>
          <a:off x="18493867" y="359079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1984</xdr:row>
      <xdr:rowOff>22706</xdr:rowOff>
    </xdr:from>
    <xdr:ext cx="514857" cy="180627"/>
    <xdr:sp macro="_xll.PtreeEvent_ObjectClick" textlink="">
      <xdr:nvSpPr>
        <xdr:cNvPr id="3948" name="PTObj_DBranchName_1_982">
          <a:extLst>
            <a:ext uri="{FF2B5EF4-FFF2-40B4-BE49-F238E27FC236}">
              <a16:creationId xmlns:a16="http://schemas.microsoft.com/office/drawing/2014/main" id="{F953C050-DA70-441A-ACFE-5D6241BA6A82}"/>
            </a:ext>
          </a:extLst>
        </xdr:cNvPr>
        <xdr:cNvSpPr txBox="1"/>
      </xdr:nvSpPr>
      <xdr:spPr>
        <a:xfrm>
          <a:off x="17344834" y="3590771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1986</xdr:row>
      <xdr:rowOff>29220</xdr:rowOff>
    </xdr:from>
    <xdr:to>
      <xdr:col>11</xdr:col>
      <xdr:colOff>135383</xdr:colOff>
      <xdr:row>1987</xdr:row>
      <xdr:rowOff>17795</xdr:rowOff>
    </xdr:to>
    <xdr:sp macro="_xll.PtreeEvent_ObjectClick" textlink="">
      <xdr:nvSpPr>
        <xdr:cNvPr id="3949" name="PTObj_DNode_1_983">
          <a:extLst>
            <a:ext uri="{FF2B5EF4-FFF2-40B4-BE49-F238E27FC236}">
              <a16:creationId xmlns:a16="http://schemas.microsoft.com/office/drawing/2014/main" id="{71E279DC-FFD5-4F10-AC27-6884D2F1E978}"/>
            </a:ext>
          </a:extLst>
        </xdr:cNvPr>
        <xdr:cNvSpPr/>
      </xdr:nvSpPr>
      <xdr:spPr>
        <a:xfrm>
          <a:off x="19918807" y="359445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1986</xdr:row>
      <xdr:rowOff>28431</xdr:rowOff>
    </xdr:from>
    <xdr:ext cx="514858" cy="180627"/>
    <xdr:sp macro="_xll.PtreeEvent_ObjectClick" textlink="">
      <xdr:nvSpPr>
        <xdr:cNvPr id="3952" name="PTObj_DBranchName_1_983">
          <a:extLst>
            <a:ext uri="{FF2B5EF4-FFF2-40B4-BE49-F238E27FC236}">
              <a16:creationId xmlns:a16="http://schemas.microsoft.com/office/drawing/2014/main" id="{2BC4ED23-9021-4674-8BAA-7CD512A1BC11}"/>
            </a:ext>
          </a:extLst>
        </xdr:cNvPr>
        <xdr:cNvSpPr txBox="1"/>
      </xdr:nvSpPr>
      <xdr:spPr>
        <a:xfrm>
          <a:off x="18768820" y="359444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1988</xdr:row>
      <xdr:rowOff>34922</xdr:rowOff>
    </xdr:from>
    <xdr:to>
      <xdr:col>12</xdr:col>
      <xdr:colOff>135385</xdr:colOff>
      <xdr:row>1989</xdr:row>
      <xdr:rowOff>21587</xdr:rowOff>
    </xdr:to>
    <xdr:sp macro="_xll.PtreeEvent_ObjectClick" textlink="">
      <xdr:nvSpPr>
        <xdr:cNvPr id="3953" name="PTObj_DNode_1_984">
          <a:extLst>
            <a:ext uri="{FF2B5EF4-FFF2-40B4-BE49-F238E27FC236}">
              <a16:creationId xmlns:a16="http://schemas.microsoft.com/office/drawing/2014/main" id="{043A1992-7A7C-41F9-B803-E8353E9369DC}"/>
            </a:ext>
          </a:extLst>
        </xdr:cNvPr>
        <xdr:cNvSpPr/>
      </xdr:nvSpPr>
      <xdr:spPr>
        <a:xfrm rot="-5400000">
          <a:off x="21347557" y="3598094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1988</xdr:row>
      <xdr:rowOff>32251</xdr:rowOff>
    </xdr:from>
    <xdr:ext cx="514858" cy="180627"/>
    <xdr:sp macro="_xll.PtreeEvent_ObjectClick" textlink="">
      <xdr:nvSpPr>
        <xdr:cNvPr id="3956" name="PTObj_DBranchName_1_984">
          <a:extLst>
            <a:ext uri="{FF2B5EF4-FFF2-40B4-BE49-F238E27FC236}">
              <a16:creationId xmlns:a16="http://schemas.microsoft.com/office/drawing/2014/main" id="{7CF3583F-3A07-4B40-BE39-A2D3BA0ED29A}"/>
            </a:ext>
          </a:extLst>
        </xdr:cNvPr>
        <xdr:cNvSpPr txBox="1"/>
      </xdr:nvSpPr>
      <xdr:spPr>
        <a:xfrm>
          <a:off x="20188045" y="3598105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1992</xdr:row>
      <xdr:rowOff>40630</xdr:rowOff>
    </xdr:from>
    <xdr:to>
      <xdr:col>9</xdr:col>
      <xdr:colOff>154432</xdr:colOff>
      <xdr:row>1993</xdr:row>
      <xdr:rowOff>53970</xdr:rowOff>
    </xdr:to>
    <xdr:sp macro="_xll.PtreeEvent_ObjectClick" textlink="">
      <xdr:nvSpPr>
        <xdr:cNvPr id="3957" name="PTObj_DNode_1_986">
          <a:extLst>
            <a:ext uri="{FF2B5EF4-FFF2-40B4-BE49-F238E27FC236}">
              <a16:creationId xmlns:a16="http://schemas.microsoft.com/office/drawing/2014/main" id="{37435E09-2D68-4039-95FD-B9B5E1630AE5}"/>
            </a:ext>
          </a:extLst>
        </xdr:cNvPr>
        <xdr:cNvSpPr/>
      </xdr:nvSpPr>
      <xdr:spPr>
        <a:xfrm>
          <a:off x="17068927" y="360542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1992</xdr:row>
      <xdr:rowOff>41771</xdr:rowOff>
    </xdr:from>
    <xdr:ext cx="566520" cy="180627"/>
    <xdr:sp macro="_xll.PtreeEvent_ObjectClick" textlink="">
      <xdr:nvSpPr>
        <xdr:cNvPr id="3960" name="PTObj_DBranchName_1_986">
          <a:extLst>
            <a:ext uri="{FF2B5EF4-FFF2-40B4-BE49-F238E27FC236}">
              <a16:creationId xmlns:a16="http://schemas.microsoft.com/office/drawing/2014/main" id="{F311C4AF-9EA4-4948-BA9A-95FD5B5726D6}"/>
            </a:ext>
          </a:extLst>
        </xdr:cNvPr>
        <xdr:cNvSpPr txBox="1"/>
      </xdr:nvSpPr>
      <xdr:spPr>
        <a:xfrm>
          <a:off x="15926563" y="3605439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1994</xdr:row>
      <xdr:rowOff>44450</xdr:rowOff>
    </xdr:from>
    <xdr:to>
      <xdr:col>10</xdr:col>
      <xdr:colOff>150622</xdr:colOff>
      <xdr:row>1995</xdr:row>
      <xdr:rowOff>57790</xdr:rowOff>
    </xdr:to>
    <xdr:sp macro="_xll.PtreeEvent_ObjectClick" textlink="">
      <xdr:nvSpPr>
        <xdr:cNvPr id="3961" name="PTObj_DNode_1_987">
          <a:extLst>
            <a:ext uri="{FF2B5EF4-FFF2-40B4-BE49-F238E27FC236}">
              <a16:creationId xmlns:a16="http://schemas.microsoft.com/office/drawing/2014/main" id="{4F513E90-BD13-4AC7-8C7B-E3B714FC37ED}"/>
            </a:ext>
          </a:extLst>
        </xdr:cNvPr>
        <xdr:cNvSpPr/>
      </xdr:nvSpPr>
      <xdr:spPr>
        <a:xfrm>
          <a:off x="18493867" y="360908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1994</xdr:row>
      <xdr:rowOff>47471</xdr:rowOff>
    </xdr:from>
    <xdr:ext cx="514857" cy="180627"/>
    <xdr:sp macro="_xll.PtreeEvent_ObjectClick" textlink="">
      <xdr:nvSpPr>
        <xdr:cNvPr id="3964" name="PTObj_DBranchName_1_987">
          <a:extLst>
            <a:ext uri="{FF2B5EF4-FFF2-40B4-BE49-F238E27FC236}">
              <a16:creationId xmlns:a16="http://schemas.microsoft.com/office/drawing/2014/main" id="{A391321F-57FB-417E-8A08-32A77808863B}"/>
            </a:ext>
          </a:extLst>
        </xdr:cNvPr>
        <xdr:cNvSpPr txBox="1"/>
      </xdr:nvSpPr>
      <xdr:spPr>
        <a:xfrm>
          <a:off x="17344834" y="3609116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1996</xdr:row>
      <xdr:rowOff>48270</xdr:rowOff>
    </xdr:from>
    <xdr:to>
      <xdr:col>11</xdr:col>
      <xdr:colOff>135383</xdr:colOff>
      <xdr:row>1997</xdr:row>
      <xdr:rowOff>53990</xdr:rowOff>
    </xdr:to>
    <xdr:sp macro="_xll.PtreeEvent_ObjectClick" textlink="">
      <xdr:nvSpPr>
        <xdr:cNvPr id="3965" name="PTObj_DNode_1_988">
          <a:extLst>
            <a:ext uri="{FF2B5EF4-FFF2-40B4-BE49-F238E27FC236}">
              <a16:creationId xmlns:a16="http://schemas.microsoft.com/office/drawing/2014/main" id="{871E3BCC-AB57-4D64-AF78-ACC4C0AAB242}"/>
            </a:ext>
          </a:extLst>
        </xdr:cNvPr>
        <xdr:cNvSpPr/>
      </xdr:nvSpPr>
      <xdr:spPr>
        <a:xfrm>
          <a:off x="19918807" y="361274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1996</xdr:row>
      <xdr:rowOff>51291</xdr:rowOff>
    </xdr:from>
    <xdr:ext cx="514858" cy="180627"/>
    <xdr:sp macro="_xll.PtreeEvent_ObjectClick" textlink="">
      <xdr:nvSpPr>
        <xdr:cNvPr id="3968" name="PTObj_DBranchName_1_988">
          <a:extLst>
            <a:ext uri="{FF2B5EF4-FFF2-40B4-BE49-F238E27FC236}">
              <a16:creationId xmlns:a16="http://schemas.microsoft.com/office/drawing/2014/main" id="{89449C9E-500D-4CA0-AF78-1B0C034DF32A}"/>
            </a:ext>
          </a:extLst>
        </xdr:cNvPr>
        <xdr:cNvSpPr txBox="1"/>
      </xdr:nvSpPr>
      <xdr:spPr>
        <a:xfrm>
          <a:off x="18768820" y="361277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1998</xdr:row>
      <xdr:rowOff>58735</xdr:rowOff>
    </xdr:from>
    <xdr:to>
      <xdr:col>12</xdr:col>
      <xdr:colOff>132527</xdr:colOff>
      <xdr:row>1999</xdr:row>
      <xdr:rowOff>54925</xdr:rowOff>
    </xdr:to>
    <xdr:sp macro="_xll.PtreeEvent_ObjectClick" textlink="">
      <xdr:nvSpPr>
        <xdr:cNvPr id="3969" name="PTObj_DNode_1_989">
          <a:extLst>
            <a:ext uri="{FF2B5EF4-FFF2-40B4-BE49-F238E27FC236}">
              <a16:creationId xmlns:a16="http://schemas.microsoft.com/office/drawing/2014/main" id="{AD9F9234-D0DB-400A-82D4-5721AB3BFEAF}"/>
            </a:ext>
          </a:extLst>
        </xdr:cNvPr>
        <xdr:cNvSpPr/>
      </xdr:nvSpPr>
      <xdr:spPr>
        <a:xfrm rot="-5400000">
          <a:off x="21347557" y="3616439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1998</xdr:row>
      <xdr:rowOff>57016</xdr:rowOff>
    </xdr:from>
    <xdr:ext cx="514858" cy="180627"/>
    <xdr:sp macro="_xll.PtreeEvent_ObjectClick" textlink="">
      <xdr:nvSpPr>
        <xdr:cNvPr id="3972" name="PTObj_DBranchName_1_989">
          <a:extLst>
            <a:ext uri="{FF2B5EF4-FFF2-40B4-BE49-F238E27FC236}">
              <a16:creationId xmlns:a16="http://schemas.microsoft.com/office/drawing/2014/main" id="{BAD4EC28-01DE-48D4-971D-DD38899F7304}"/>
            </a:ext>
          </a:extLst>
        </xdr:cNvPr>
        <xdr:cNvSpPr txBox="1"/>
      </xdr:nvSpPr>
      <xdr:spPr>
        <a:xfrm>
          <a:off x="20188045" y="3616450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2010</xdr:row>
      <xdr:rowOff>74935</xdr:rowOff>
    </xdr:from>
    <xdr:to>
      <xdr:col>8</xdr:col>
      <xdr:colOff>171578</xdr:colOff>
      <xdr:row>2011</xdr:row>
      <xdr:rowOff>76845</xdr:rowOff>
    </xdr:to>
    <xdr:sp macro="_xll.PtreeEvent_ObjectClick" textlink="">
      <xdr:nvSpPr>
        <xdr:cNvPr id="3973" name="PTObj_DNode_1_995">
          <a:extLst>
            <a:ext uri="{FF2B5EF4-FFF2-40B4-BE49-F238E27FC236}">
              <a16:creationId xmlns:a16="http://schemas.microsoft.com/office/drawing/2014/main" id="{360133DF-5401-4F75-868C-E48B95A3F0E0}"/>
            </a:ext>
          </a:extLst>
        </xdr:cNvPr>
        <xdr:cNvSpPr/>
      </xdr:nvSpPr>
      <xdr:spPr>
        <a:xfrm>
          <a:off x="15643988" y="363834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2010</xdr:row>
      <xdr:rowOff>76051</xdr:rowOff>
    </xdr:from>
    <xdr:ext cx="566520" cy="180627"/>
    <xdr:sp macro="_xll.PtreeEvent_ObjectClick" textlink="">
      <xdr:nvSpPr>
        <xdr:cNvPr id="3976" name="PTObj_DBranchName_1_995">
          <a:extLst>
            <a:ext uri="{FF2B5EF4-FFF2-40B4-BE49-F238E27FC236}">
              <a16:creationId xmlns:a16="http://schemas.microsoft.com/office/drawing/2014/main" id="{F8986434-69DA-408A-A5C4-1F32748EEEA3}"/>
            </a:ext>
          </a:extLst>
        </xdr:cNvPr>
        <xdr:cNvSpPr txBox="1"/>
      </xdr:nvSpPr>
      <xdr:spPr>
        <a:xfrm>
          <a:off x="14498765" y="363835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2002</xdr:row>
      <xdr:rowOff>59680</xdr:rowOff>
    </xdr:from>
    <xdr:to>
      <xdr:col>9</xdr:col>
      <xdr:colOff>154432</xdr:colOff>
      <xdr:row>2003</xdr:row>
      <xdr:rowOff>53970</xdr:rowOff>
    </xdr:to>
    <xdr:sp macro="_xll.PtreeEvent_ObjectClick" textlink="">
      <xdr:nvSpPr>
        <xdr:cNvPr id="3977" name="PTObj_DNode_1_991">
          <a:extLst>
            <a:ext uri="{FF2B5EF4-FFF2-40B4-BE49-F238E27FC236}">
              <a16:creationId xmlns:a16="http://schemas.microsoft.com/office/drawing/2014/main" id="{DF0D7305-34E1-4939-B98C-9CE2B17FE410}"/>
            </a:ext>
          </a:extLst>
        </xdr:cNvPr>
        <xdr:cNvSpPr/>
      </xdr:nvSpPr>
      <xdr:spPr>
        <a:xfrm>
          <a:off x="17068927" y="362371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2002</xdr:row>
      <xdr:rowOff>57011</xdr:rowOff>
    </xdr:from>
    <xdr:ext cx="566519" cy="180627"/>
    <xdr:sp macro="_xll.PtreeEvent_ObjectClick" textlink="">
      <xdr:nvSpPr>
        <xdr:cNvPr id="3980" name="PTObj_DBranchName_1_991">
          <a:extLst>
            <a:ext uri="{FF2B5EF4-FFF2-40B4-BE49-F238E27FC236}">
              <a16:creationId xmlns:a16="http://schemas.microsoft.com/office/drawing/2014/main" id="{4D244E7B-7797-403F-BCB5-DC8B5291EF00}"/>
            </a:ext>
          </a:extLst>
        </xdr:cNvPr>
        <xdr:cNvSpPr txBox="1"/>
      </xdr:nvSpPr>
      <xdr:spPr>
        <a:xfrm>
          <a:off x="15922752" y="3623689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2004</xdr:row>
      <xdr:rowOff>63500</xdr:rowOff>
    </xdr:from>
    <xdr:to>
      <xdr:col>10</xdr:col>
      <xdr:colOff>150622</xdr:colOff>
      <xdr:row>2005</xdr:row>
      <xdr:rowOff>55885</xdr:rowOff>
    </xdr:to>
    <xdr:sp macro="_xll.PtreeEvent_ObjectClick" textlink="">
      <xdr:nvSpPr>
        <xdr:cNvPr id="3981" name="PTObj_DNode_1_992">
          <a:extLst>
            <a:ext uri="{FF2B5EF4-FFF2-40B4-BE49-F238E27FC236}">
              <a16:creationId xmlns:a16="http://schemas.microsoft.com/office/drawing/2014/main" id="{5677F6EC-EAB8-472F-AC56-C963FCB0F4BA}"/>
            </a:ext>
          </a:extLst>
        </xdr:cNvPr>
        <xdr:cNvSpPr/>
      </xdr:nvSpPr>
      <xdr:spPr>
        <a:xfrm>
          <a:off x="18493867" y="362737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2004</xdr:row>
      <xdr:rowOff>60806</xdr:rowOff>
    </xdr:from>
    <xdr:ext cx="514857" cy="180627"/>
    <xdr:sp macro="_xll.PtreeEvent_ObjectClick" textlink="">
      <xdr:nvSpPr>
        <xdr:cNvPr id="3984" name="PTObj_DBranchName_1_992">
          <a:extLst>
            <a:ext uri="{FF2B5EF4-FFF2-40B4-BE49-F238E27FC236}">
              <a16:creationId xmlns:a16="http://schemas.microsoft.com/office/drawing/2014/main" id="{86AE0FFC-699E-4D29-8F8B-7CF9CAF3E5C0}"/>
            </a:ext>
          </a:extLst>
        </xdr:cNvPr>
        <xdr:cNvSpPr txBox="1"/>
      </xdr:nvSpPr>
      <xdr:spPr>
        <a:xfrm>
          <a:off x="17344834" y="3627347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2006</xdr:row>
      <xdr:rowOff>67320</xdr:rowOff>
    </xdr:from>
    <xdr:to>
      <xdr:col>11</xdr:col>
      <xdr:colOff>131573</xdr:colOff>
      <xdr:row>2007</xdr:row>
      <xdr:rowOff>59705</xdr:rowOff>
    </xdr:to>
    <xdr:sp macro="_xll.PtreeEvent_ObjectClick" textlink="">
      <xdr:nvSpPr>
        <xdr:cNvPr id="3985" name="PTObj_DNode_1_993">
          <a:extLst>
            <a:ext uri="{FF2B5EF4-FFF2-40B4-BE49-F238E27FC236}">
              <a16:creationId xmlns:a16="http://schemas.microsoft.com/office/drawing/2014/main" id="{3FEF3963-5AFE-41DC-956A-9019715F1050}"/>
            </a:ext>
          </a:extLst>
        </xdr:cNvPr>
        <xdr:cNvSpPr/>
      </xdr:nvSpPr>
      <xdr:spPr>
        <a:xfrm>
          <a:off x="19918807" y="363103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2006</xdr:row>
      <xdr:rowOff>66531</xdr:rowOff>
    </xdr:from>
    <xdr:ext cx="514858" cy="180627"/>
    <xdr:sp macro="_xll.PtreeEvent_ObjectClick" textlink="">
      <xdr:nvSpPr>
        <xdr:cNvPr id="3988" name="PTObj_DBranchName_1_993">
          <a:extLst>
            <a:ext uri="{FF2B5EF4-FFF2-40B4-BE49-F238E27FC236}">
              <a16:creationId xmlns:a16="http://schemas.microsoft.com/office/drawing/2014/main" id="{107D716A-30F9-45B9-A561-F6D1C407D3CF}"/>
            </a:ext>
          </a:extLst>
        </xdr:cNvPr>
        <xdr:cNvSpPr txBox="1"/>
      </xdr:nvSpPr>
      <xdr:spPr>
        <a:xfrm>
          <a:off x="18768820" y="3631023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2008</xdr:row>
      <xdr:rowOff>73022</xdr:rowOff>
    </xdr:from>
    <xdr:to>
      <xdr:col>12</xdr:col>
      <xdr:colOff>131575</xdr:colOff>
      <xdr:row>2009</xdr:row>
      <xdr:rowOff>55877</xdr:rowOff>
    </xdr:to>
    <xdr:sp macro="_xll.PtreeEvent_ObjectClick" textlink="">
      <xdr:nvSpPr>
        <xdr:cNvPr id="3989" name="PTObj_DNode_1_994">
          <a:extLst>
            <a:ext uri="{FF2B5EF4-FFF2-40B4-BE49-F238E27FC236}">
              <a16:creationId xmlns:a16="http://schemas.microsoft.com/office/drawing/2014/main" id="{86B36C2A-7EF9-4C29-A7A9-7182FBB4A886}"/>
            </a:ext>
          </a:extLst>
        </xdr:cNvPr>
        <xdr:cNvSpPr/>
      </xdr:nvSpPr>
      <xdr:spPr>
        <a:xfrm rot="-5400000">
          <a:off x="21347557" y="3634670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2008</xdr:row>
      <xdr:rowOff>70351</xdr:rowOff>
    </xdr:from>
    <xdr:ext cx="514858" cy="180627"/>
    <xdr:sp macro="_xll.PtreeEvent_ObjectClick" textlink="">
      <xdr:nvSpPr>
        <xdr:cNvPr id="3992" name="PTObj_DBranchName_1_994">
          <a:extLst>
            <a:ext uri="{FF2B5EF4-FFF2-40B4-BE49-F238E27FC236}">
              <a16:creationId xmlns:a16="http://schemas.microsoft.com/office/drawing/2014/main" id="{FCBC3433-D8F5-43E4-BD19-9D1347E1FAD1}"/>
            </a:ext>
          </a:extLst>
        </xdr:cNvPr>
        <xdr:cNvSpPr txBox="1"/>
      </xdr:nvSpPr>
      <xdr:spPr>
        <a:xfrm>
          <a:off x="20188045" y="3634681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2012</xdr:row>
      <xdr:rowOff>78730</xdr:rowOff>
    </xdr:from>
    <xdr:to>
      <xdr:col>9</xdr:col>
      <xdr:colOff>154432</xdr:colOff>
      <xdr:row>2013</xdr:row>
      <xdr:rowOff>95880</xdr:rowOff>
    </xdr:to>
    <xdr:sp macro="_xll.PtreeEvent_ObjectClick" textlink="">
      <xdr:nvSpPr>
        <xdr:cNvPr id="3993" name="PTObj_DNode_1_996">
          <a:extLst>
            <a:ext uri="{FF2B5EF4-FFF2-40B4-BE49-F238E27FC236}">
              <a16:creationId xmlns:a16="http://schemas.microsoft.com/office/drawing/2014/main" id="{E5594FBD-96AC-4CC4-B604-DCD027858628}"/>
            </a:ext>
          </a:extLst>
        </xdr:cNvPr>
        <xdr:cNvSpPr/>
      </xdr:nvSpPr>
      <xdr:spPr>
        <a:xfrm>
          <a:off x="17068927" y="364200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2012</xdr:row>
      <xdr:rowOff>79871</xdr:rowOff>
    </xdr:from>
    <xdr:ext cx="566520" cy="180627"/>
    <xdr:sp macro="_xll.PtreeEvent_ObjectClick" textlink="">
      <xdr:nvSpPr>
        <xdr:cNvPr id="3996" name="PTObj_DBranchName_1_996">
          <a:extLst>
            <a:ext uri="{FF2B5EF4-FFF2-40B4-BE49-F238E27FC236}">
              <a16:creationId xmlns:a16="http://schemas.microsoft.com/office/drawing/2014/main" id="{D886D76C-3B1D-499F-9182-774214F0852A}"/>
            </a:ext>
          </a:extLst>
        </xdr:cNvPr>
        <xdr:cNvSpPr txBox="1"/>
      </xdr:nvSpPr>
      <xdr:spPr>
        <a:xfrm>
          <a:off x="15926563" y="3642015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2014</xdr:row>
      <xdr:rowOff>82550</xdr:rowOff>
    </xdr:from>
    <xdr:to>
      <xdr:col>10</xdr:col>
      <xdr:colOff>150622</xdr:colOff>
      <xdr:row>2015</xdr:row>
      <xdr:rowOff>92080</xdr:rowOff>
    </xdr:to>
    <xdr:sp macro="_xll.PtreeEvent_ObjectClick" textlink="">
      <xdr:nvSpPr>
        <xdr:cNvPr id="3997" name="PTObj_DNode_1_997">
          <a:extLst>
            <a:ext uri="{FF2B5EF4-FFF2-40B4-BE49-F238E27FC236}">
              <a16:creationId xmlns:a16="http://schemas.microsoft.com/office/drawing/2014/main" id="{F81725FD-B967-4A59-9A4C-D1E9B12785C1}"/>
            </a:ext>
          </a:extLst>
        </xdr:cNvPr>
        <xdr:cNvSpPr/>
      </xdr:nvSpPr>
      <xdr:spPr>
        <a:xfrm>
          <a:off x="18493867" y="364566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2014</xdr:row>
      <xdr:rowOff>85571</xdr:rowOff>
    </xdr:from>
    <xdr:ext cx="514857" cy="180627"/>
    <xdr:sp macro="_xll.PtreeEvent_ObjectClick" textlink="">
      <xdr:nvSpPr>
        <xdr:cNvPr id="4000" name="PTObj_DBranchName_1_997">
          <a:extLst>
            <a:ext uri="{FF2B5EF4-FFF2-40B4-BE49-F238E27FC236}">
              <a16:creationId xmlns:a16="http://schemas.microsoft.com/office/drawing/2014/main" id="{8F15AA11-D7AA-4334-9836-2C4E0EA906EB}"/>
            </a:ext>
          </a:extLst>
        </xdr:cNvPr>
        <xdr:cNvSpPr txBox="1"/>
      </xdr:nvSpPr>
      <xdr:spPr>
        <a:xfrm>
          <a:off x="17344834" y="3645692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2016</xdr:row>
      <xdr:rowOff>86370</xdr:rowOff>
    </xdr:from>
    <xdr:to>
      <xdr:col>11</xdr:col>
      <xdr:colOff>131573</xdr:colOff>
      <xdr:row>2017</xdr:row>
      <xdr:rowOff>95900</xdr:rowOff>
    </xdr:to>
    <xdr:sp macro="_xll.PtreeEvent_ObjectClick" textlink="">
      <xdr:nvSpPr>
        <xdr:cNvPr id="4001" name="PTObj_DNode_1_998">
          <a:extLst>
            <a:ext uri="{FF2B5EF4-FFF2-40B4-BE49-F238E27FC236}">
              <a16:creationId xmlns:a16="http://schemas.microsoft.com/office/drawing/2014/main" id="{FF2BAF07-4FD6-4718-8FFC-062762EF7001}"/>
            </a:ext>
          </a:extLst>
        </xdr:cNvPr>
        <xdr:cNvSpPr/>
      </xdr:nvSpPr>
      <xdr:spPr>
        <a:xfrm>
          <a:off x="19918807" y="364931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2016</xdr:row>
      <xdr:rowOff>89391</xdr:rowOff>
    </xdr:from>
    <xdr:ext cx="514858" cy="180627"/>
    <xdr:sp macro="_xll.PtreeEvent_ObjectClick" textlink="">
      <xdr:nvSpPr>
        <xdr:cNvPr id="4004" name="PTObj_DBranchName_1_998">
          <a:extLst>
            <a:ext uri="{FF2B5EF4-FFF2-40B4-BE49-F238E27FC236}">
              <a16:creationId xmlns:a16="http://schemas.microsoft.com/office/drawing/2014/main" id="{B053B292-E745-4E18-90AD-AA555E8E26E4}"/>
            </a:ext>
          </a:extLst>
        </xdr:cNvPr>
        <xdr:cNvSpPr txBox="1"/>
      </xdr:nvSpPr>
      <xdr:spPr>
        <a:xfrm>
          <a:off x="18768820" y="364934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2018</xdr:row>
      <xdr:rowOff>96835</xdr:rowOff>
    </xdr:from>
    <xdr:to>
      <xdr:col>12</xdr:col>
      <xdr:colOff>136337</xdr:colOff>
      <xdr:row>2019</xdr:row>
      <xdr:rowOff>96835</xdr:rowOff>
    </xdr:to>
    <xdr:sp macro="_xll.PtreeEvent_ObjectClick" textlink="">
      <xdr:nvSpPr>
        <xdr:cNvPr id="4005" name="PTObj_DNode_1_999">
          <a:extLst>
            <a:ext uri="{FF2B5EF4-FFF2-40B4-BE49-F238E27FC236}">
              <a16:creationId xmlns:a16="http://schemas.microsoft.com/office/drawing/2014/main" id="{D61C8226-BF17-4E8C-860D-A5DA65D8904F}"/>
            </a:ext>
          </a:extLst>
        </xdr:cNvPr>
        <xdr:cNvSpPr/>
      </xdr:nvSpPr>
      <xdr:spPr>
        <a:xfrm rot="-5400000">
          <a:off x="21347557" y="3653015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2018</xdr:row>
      <xdr:rowOff>95116</xdr:rowOff>
    </xdr:from>
    <xdr:ext cx="514858" cy="180627"/>
    <xdr:sp macro="_xll.PtreeEvent_ObjectClick" textlink="">
      <xdr:nvSpPr>
        <xdr:cNvPr id="4008" name="PTObj_DBranchName_1_999">
          <a:extLst>
            <a:ext uri="{FF2B5EF4-FFF2-40B4-BE49-F238E27FC236}">
              <a16:creationId xmlns:a16="http://schemas.microsoft.com/office/drawing/2014/main" id="{9BFE4235-8F7F-4953-8BC5-3CF5C40F8598}"/>
            </a:ext>
          </a:extLst>
        </xdr:cNvPr>
        <xdr:cNvSpPr txBox="1"/>
      </xdr:nvSpPr>
      <xdr:spPr>
        <a:xfrm>
          <a:off x="20188045" y="3653026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2060</xdr:row>
      <xdr:rowOff>170185</xdr:rowOff>
    </xdr:from>
    <xdr:to>
      <xdr:col>6</xdr:col>
      <xdr:colOff>173482</xdr:colOff>
      <xdr:row>2061</xdr:row>
      <xdr:rowOff>172095</xdr:rowOff>
    </xdr:to>
    <xdr:sp macro="_xll.PtreeEvent_ObjectClick" textlink="">
      <xdr:nvSpPr>
        <xdr:cNvPr id="4009" name="PTObj_DNode_1_1020">
          <a:extLst>
            <a:ext uri="{FF2B5EF4-FFF2-40B4-BE49-F238E27FC236}">
              <a16:creationId xmlns:a16="http://schemas.microsoft.com/office/drawing/2014/main" id="{3DBA8038-EFA7-49B7-9BA8-939062196973}"/>
            </a:ext>
          </a:extLst>
        </xdr:cNvPr>
        <xdr:cNvSpPr/>
      </xdr:nvSpPr>
      <xdr:spPr>
        <a:xfrm>
          <a:off x="12794107" y="372978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2060</xdr:row>
      <xdr:rowOff>175111</xdr:rowOff>
    </xdr:from>
    <xdr:ext cx="566520" cy="180627"/>
    <xdr:sp macro="_xll.PtreeEvent_ObjectClick" textlink="">
      <xdr:nvSpPr>
        <xdr:cNvPr id="4012" name="PTObj_DBranchName_1_1020">
          <a:extLst>
            <a:ext uri="{FF2B5EF4-FFF2-40B4-BE49-F238E27FC236}">
              <a16:creationId xmlns:a16="http://schemas.microsoft.com/office/drawing/2014/main" id="{A8EA0F21-1124-4D4D-AA90-3B9126CC18D7}"/>
            </a:ext>
          </a:extLst>
        </xdr:cNvPr>
        <xdr:cNvSpPr txBox="1"/>
      </xdr:nvSpPr>
      <xdr:spPr>
        <a:xfrm>
          <a:off x="11646980" y="3729836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2040</xdr:row>
      <xdr:rowOff>132085</xdr:rowOff>
    </xdr:from>
    <xdr:to>
      <xdr:col>7</xdr:col>
      <xdr:colOff>171577</xdr:colOff>
      <xdr:row>2041</xdr:row>
      <xdr:rowOff>130185</xdr:rowOff>
    </xdr:to>
    <xdr:sp macro="_xll.PtreeEvent_ObjectClick" textlink="">
      <xdr:nvSpPr>
        <xdr:cNvPr id="4013" name="PTObj_DNode_1_1010">
          <a:extLst>
            <a:ext uri="{FF2B5EF4-FFF2-40B4-BE49-F238E27FC236}">
              <a16:creationId xmlns:a16="http://schemas.microsoft.com/office/drawing/2014/main" id="{BFA4D44D-AD60-4997-B0CF-28B088CF7170}"/>
            </a:ext>
          </a:extLst>
        </xdr:cNvPr>
        <xdr:cNvSpPr/>
      </xdr:nvSpPr>
      <xdr:spPr>
        <a:xfrm>
          <a:off x="14219047" y="369321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2040</xdr:row>
      <xdr:rowOff>137011</xdr:rowOff>
    </xdr:from>
    <xdr:ext cx="568424" cy="180627"/>
    <xdr:sp macro="_xll.PtreeEvent_ObjectClick" textlink="">
      <xdr:nvSpPr>
        <xdr:cNvPr id="4016" name="PTObj_DBranchName_1_1010">
          <a:extLst>
            <a:ext uri="{FF2B5EF4-FFF2-40B4-BE49-F238E27FC236}">
              <a16:creationId xmlns:a16="http://schemas.microsoft.com/office/drawing/2014/main" id="{5F1159DE-307A-4C4F-A65F-B73B14773DB1}"/>
            </a:ext>
          </a:extLst>
        </xdr:cNvPr>
        <xdr:cNvSpPr txBox="1"/>
      </xdr:nvSpPr>
      <xdr:spPr>
        <a:xfrm>
          <a:off x="13072872" y="36932601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2030</xdr:row>
      <xdr:rowOff>113035</xdr:rowOff>
    </xdr:from>
    <xdr:to>
      <xdr:col>8</xdr:col>
      <xdr:colOff>167768</xdr:colOff>
      <xdr:row>2031</xdr:row>
      <xdr:rowOff>114945</xdr:rowOff>
    </xdr:to>
    <xdr:sp macro="_xll.PtreeEvent_ObjectClick" textlink="">
      <xdr:nvSpPr>
        <xdr:cNvPr id="4017" name="PTObj_DNode_1_1005">
          <a:extLst>
            <a:ext uri="{FF2B5EF4-FFF2-40B4-BE49-F238E27FC236}">
              <a16:creationId xmlns:a16="http://schemas.microsoft.com/office/drawing/2014/main" id="{794CFBAE-893C-4BE0-957D-DF38FD4C5510}"/>
            </a:ext>
          </a:extLst>
        </xdr:cNvPr>
        <xdr:cNvSpPr/>
      </xdr:nvSpPr>
      <xdr:spPr>
        <a:xfrm>
          <a:off x="15643988" y="36749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2030</xdr:row>
      <xdr:rowOff>114151</xdr:rowOff>
    </xdr:from>
    <xdr:ext cx="566520" cy="180627"/>
    <xdr:sp macro="_xll.PtreeEvent_ObjectClick" textlink="">
      <xdr:nvSpPr>
        <xdr:cNvPr id="4020" name="PTObj_DBranchName_1_1005">
          <a:extLst>
            <a:ext uri="{FF2B5EF4-FFF2-40B4-BE49-F238E27FC236}">
              <a16:creationId xmlns:a16="http://schemas.microsoft.com/office/drawing/2014/main" id="{D53B20AF-08A2-4F88-9E89-122E68F14FAC}"/>
            </a:ext>
          </a:extLst>
        </xdr:cNvPr>
        <xdr:cNvSpPr txBox="1"/>
      </xdr:nvSpPr>
      <xdr:spPr>
        <a:xfrm>
          <a:off x="14500670" y="3674934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2022</xdr:row>
      <xdr:rowOff>97780</xdr:rowOff>
    </xdr:from>
    <xdr:to>
      <xdr:col>9</xdr:col>
      <xdr:colOff>154432</xdr:colOff>
      <xdr:row>2023</xdr:row>
      <xdr:rowOff>95880</xdr:rowOff>
    </xdr:to>
    <xdr:sp macro="_xll.PtreeEvent_ObjectClick" textlink="">
      <xdr:nvSpPr>
        <xdr:cNvPr id="4021" name="PTObj_DNode_1_1001">
          <a:extLst>
            <a:ext uri="{FF2B5EF4-FFF2-40B4-BE49-F238E27FC236}">
              <a16:creationId xmlns:a16="http://schemas.microsoft.com/office/drawing/2014/main" id="{AD78140C-05C4-43DF-A1C6-E05B72B6B124}"/>
            </a:ext>
          </a:extLst>
        </xdr:cNvPr>
        <xdr:cNvSpPr/>
      </xdr:nvSpPr>
      <xdr:spPr>
        <a:xfrm>
          <a:off x="17068927" y="366029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2022</xdr:row>
      <xdr:rowOff>95111</xdr:rowOff>
    </xdr:from>
    <xdr:ext cx="566519" cy="180627"/>
    <xdr:sp macro="_xll.PtreeEvent_ObjectClick" textlink="">
      <xdr:nvSpPr>
        <xdr:cNvPr id="4024" name="PTObj_DBranchName_1_1001">
          <a:extLst>
            <a:ext uri="{FF2B5EF4-FFF2-40B4-BE49-F238E27FC236}">
              <a16:creationId xmlns:a16="http://schemas.microsoft.com/office/drawing/2014/main" id="{D36B4E2B-CCBA-4B25-970A-FA2784ED8DF8}"/>
            </a:ext>
          </a:extLst>
        </xdr:cNvPr>
        <xdr:cNvSpPr txBox="1"/>
      </xdr:nvSpPr>
      <xdr:spPr>
        <a:xfrm>
          <a:off x="15922752" y="3660265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2024</xdr:row>
      <xdr:rowOff>101600</xdr:rowOff>
    </xdr:from>
    <xdr:to>
      <xdr:col>10</xdr:col>
      <xdr:colOff>150622</xdr:colOff>
      <xdr:row>2025</xdr:row>
      <xdr:rowOff>97795</xdr:rowOff>
    </xdr:to>
    <xdr:sp macro="_xll.PtreeEvent_ObjectClick" textlink="">
      <xdr:nvSpPr>
        <xdr:cNvPr id="4025" name="PTObj_DNode_1_1002">
          <a:extLst>
            <a:ext uri="{FF2B5EF4-FFF2-40B4-BE49-F238E27FC236}">
              <a16:creationId xmlns:a16="http://schemas.microsoft.com/office/drawing/2014/main" id="{90513EDC-DFDF-483D-A6EB-CE286C140DCA}"/>
            </a:ext>
          </a:extLst>
        </xdr:cNvPr>
        <xdr:cNvSpPr/>
      </xdr:nvSpPr>
      <xdr:spPr>
        <a:xfrm>
          <a:off x="18493867" y="366395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2024</xdr:row>
      <xdr:rowOff>98906</xdr:rowOff>
    </xdr:from>
    <xdr:ext cx="514857" cy="180627"/>
    <xdr:sp macro="_xll.PtreeEvent_ObjectClick" textlink="">
      <xdr:nvSpPr>
        <xdr:cNvPr id="4028" name="PTObj_DBranchName_1_1002">
          <a:extLst>
            <a:ext uri="{FF2B5EF4-FFF2-40B4-BE49-F238E27FC236}">
              <a16:creationId xmlns:a16="http://schemas.microsoft.com/office/drawing/2014/main" id="{67F72136-AB90-4556-9C3D-3E7761EB1557}"/>
            </a:ext>
          </a:extLst>
        </xdr:cNvPr>
        <xdr:cNvSpPr txBox="1"/>
      </xdr:nvSpPr>
      <xdr:spPr>
        <a:xfrm>
          <a:off x="17344834" y="3663923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2026</xdr:row>
      <xdr:rowOff>105420</xdr:rowOff>
    </xdr:from>
    <xdr:to>
      <xdr:col>11</xdr:col>
      <xdr:colOff>135383</xdr:colOff>
      <xdr:row>2027</xdr:row>
      <xdr:rowOff>93995</xdr:rowOff>
    </xdr:to>
    <xdr:sp macro="_xll.PtreeEvent_ObjectClick" textlink="">
      <xdr:nvSpPr>
        <xdr:cNvPr id="4029" name="PTObj_DNode_1_1003">
          <a:extLst>
            <a:ext uri="{FF2B5EF4-FFF2-40B4-BE49-F238E27FC236}">
              <a16:creationId xmlns:a16="http://schemas.microsoft.com/office/drawing/2014/main" id="{2C6550FD-435E-41E0-BF86-944872B13E80}"/>
            </a:ext>
          </a:extLst>
        </xdr:cNvPr>
        <xdr:cNvSpPr/>
      </xdr:nvSpPr>
      <xdr:spPr>
        <a:xfrm>
          <a:off x="19918807" y="366760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2026</xdr:row>
      <xdr:rowOff>104631</xdr:rowOff>
    </xdr:from>
    <xdr:ext cx="514858" cy="180627"/>
    <xdr:sp macro="_xll.PtreeEvent_ObjectClick" textlink="">
      <xdr:nvSpPr>
        <xdr:cNvPr id="4032" name="PTObj_DBranchName_1_1003">
          <a:extLst>
            <a:ext uri="{FF2B5EF4-FFF2-40B4-BE49-F238E27FC236}">
              <a16:creationId xmlns:a16="http://schemas.microsoft.com/office/drawing/2014/main" id="{5FEE3DC0-AD95-4C75-9546-54FEFA0829B5}"/>
            </a:ext>
          </a:extLst>
        </xdr:cNvPr>
        <xdr:cNvSpPr txBox="1"/>
      </xdr:nvSpPr>
      <xdr:spPr>
        <a:xfrm>
          <a:off x="18768820" y="366759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2028</xdr:row>
      <xdr:rowOff>111122</xdr:rowOff>
    </xdr:from>
    <xdr:to>
      <xdr:col>12</xdr:col>
      <xdr:colOff>135385</xdr:colOff>
      <xdr:row>2029</xdr:row>
      <xdr:rowOff>97787</xdr:rowOff>
    </xdr:to>
    <xdr:sp macro="_xll.PtreeEvent_ObjectClick" textlink="">
      <xdr:nvSpPr>
        <xdr:cNvPr id="4033" name="PTObj_DNode_1_1004">
          <a:extLst>
            <a:ext uri="{FF2B5EF4-FFF2-40B4-BE49-F238E27FC236}">
              <a16:creationId xmlns:a16="http://schemas.microsoft.com/office/drawing/2014/main" id="{1E8B1D71-2FD3-4087-AAB3-1C6D80CDA6F6}"/>
            </a:ext>
          </a:extLst>
        </xdr:cNvPr>
        <xdr:cNvSpPr/>
      </xdr:nvSpPr>
      <xdr:spPr>
        <a:xfrm rot="-5400000">
          <a:off x="21347557" y="3671246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2028</xdr:row>
      <xdr:rowOff>108451</xdr:rowOff>
    </xdr:from>
    <xdr:ext cx="514858" cy="180627"/>
    <xdr:sp macro="_xll.PtreeEvent_ObjectClick" textlink="">
      <xdr:nvSpPr>
        <xdr:cNvPr id="4036" name="PTObj_DBranchName_1_1004">
          <a:extLst>
            <a:ext uri="{FF2B5EF4-FFF2-40B4-BE49-F238E27FC236}">
              <a16:creationId xmlns:a16="http://schemas.microsoft.com/office/drawing/2014/main" id="{8A8ABA86-F1E5-44D4-BFCD-5724D025C64D}"/>
            </a:ext>
          </a:extLst>
        </xdr:cNvPr>
        <xdr:cNvSpPr txBox="1"/>
      </xdr:nvSpPr>
      <xdr:spPr>
        <a:xfrm>
          <a:off x="20188045" y="3671257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2032</xdr:row>
      <xdr:rowOff>116830</xdr:rowOff>
    </xdr:from>
    <xdr:to>
      <xdr:col>9</xdr:col>
      <xdr:colOff>154432</xdr:colOff>
      <xdr:row>2033</xdr:row>
      <xdr:rowOff>130170</xdr:rowOff>
    </xdr:to>
    <xdr:sp macro="_xll.PtreeEvent_ObjectClick" textlink="">
      <xdr:nvSpPr>
        <xdr:cNvPr id="4037" name="PTObj_DNode_1_1006">
          <a:extLst>
            <a:ext uri="{FF2B5EF4-FFF2-40B4-BE49-F238E27FC236}">
              <a16:creationId xmlns:a16="http://schemas.microsoft.com/office/drawing/2014/main" id="{8CD6E545-61A3-4F21-95BD-5E5882347814}"/>
            </a:ext>
          </a:extLst>
        </xdr:cNvPr>
        <xdr:cNvSpPr/>
      </xdr:nvSpPr>
      <xdr:spPr>
        <a:xfrm>
          <a:off x="17068927" y="367858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2032</xdr:row>
      <xdr:rowOff>117971</xdr:rowOff>
    </xdr:from>
    <xdr:ext cx="566520" cy="180627"/>
    <xdr:sp macro="_xll.PtreeEvent_ObjectClick" textlink="">
      <xdr:nvSpPr>
        <xdr:cNvPr id="4040" name="PTObj_DBranchName_1_1006">
          <a:extLst>
            <a:ext uri="{FF2B5EF4-FFF2-40B4-BE49-F238E27FC236}">
              <a16:creationId xmlns:a16="http://schemas.microsoft.com/office/drawing/2014/main" id="{38DE4EA0-C31A-4341-9181-47C14FB950FC}"/>
            </a:ext>
          </a:extLst>
        </xdr:cNvPr>
        <xdr:cNvSpPr txBox="1"/>
      </xdr:nvSpPr>
      <xdr:spPr>
        <a:xfrm>
          <a:off x="15926563" y="3678591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2034</xdr:row>
      <xdr:rowOff>120650</xdr:rowOff>
    </xdr:from>
    <xdr:to>
      <xdr:col>10</xdr:col>
      <xdr:colOff>150622</xdr:colOff>
      <xdr:row>2035</xdr:row>
      <xdr:rowOff>133990</xdr:rowOff>
    </xdr:to>
    <xdr:sp macro="_xll.PtreeEvent_ObjectClick" textlink="">
      <xdr:nvSpPr>
        <xdr:cNvPr id="4041" name="PTObj_DNode_1_1007">
          <a:extLst>
            <a:ext uri="{FF2B5EF4-FFF2-40B4-BE49-F238E27FC236}">
              <a16:creationId xmlns:a16="http://schemas.microsoft.com/office/drawing/2014/main" id="{876F11EA-4DA5-4FBE-A72F-7AAB5D1C586D}"/>
            </a:ext>
          </a:extLst>
        </xdr:cNvPr>
        <xdr:cNvSpPr/>
      </xdr:nvSpPr>
      <xdr:spPr>
        <a:xfrm>
          <a:off x="18493867" y="368223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2034</xdr:row>
      <xdr:rowOff>123671</xdr:rowOff>
    </xdr:from>
    <xdr:ext cx="514857" cy="180627"/>
    <xdr:sp macro="_xll.PtreeEvent_ObjectClick" textlink="">
      <xdr:nvSpPr>
        <xdr:cNvPr id="4044" name="PTObj_DBranchName_1_1007">
          <a:extLst>
            <a:ext uri="{FF2B5EF4-FFF2-40B4-BE49-F238E27FC236}">
              <a16:creationId xmlns:a16="http://schemas.microsoft.com/office/drawing/2014/main" id="{C55C8CEE-8375-4743-ACC1-E9F0BF2C746F}"/>
            </a:ext>
          </a:extLst>
        </xdr:cNvPr>
        <xdr:cNvSpPr txBox="1"/>
      </xdr:nvSpPr>
      <xdr:spPr>
        <a:xfrm>
          <a:off x="17344834" y="3682268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2036</xdr:row>
      <xdr:rowOff>124470</xdr:rowOff>
    </xdr:from>
    <xdr:to>
      <xdr:col>11</xdr:col>
      <xdr:colOff>135383</xdr:colOff>
      <xdr:row>2037</xdr:row>
      <xdr:rowOff>130190</xdr:rowOff>
    </xdr:to>
    <xdr:sp macro="_xll.PtreeEvent_ObjectClick" textlink="">
      <xdr:nvSpPr>
        <xdr:cNvPr id="4045" name="PTObj_DNode_1_1008">
          <a:extLst>
            <a:ext uri="{FF2B5EF4-FFF2-40B4-BE49-F238E27FC236}">
              <a16:creationId xmlns:a16="http://schemas.microsoft.com/office/drawing/2014/main" id="{014DC71C-0F79-46CC-B0FC-933F350607B3}"/>
            </a:ext>
          </a:extLst>
        </xdr:cNvPr>
        <xdr:cNvSpPr/>
      </xdr:nvSpPr>
      <xdr:spPr>
        <a:xfrm>
          <a:off x="19918807" y="368589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2036</xdr:row>
      <xdr:rowOff>127491</xdr:rowOff>
    </xdr:from>
    <xdr:ext cx="514858" cy="180627"/>
    <xdr:sp macro="_xll.PtreeEvent_ObjectClick" textlink="">
      <xdr:nvSpPr>
        <xdr:cNvPr id="4048" name="PTObj_DBranchName_1_1008">
          <a:extLst>
            <a:ext uri="{FF2B5EF4-FFF2-40B4-BE49-F238E27FC236}">
              <a16:creationId xmlns:a16="http://schemas.microsoft.com/office/drawing/2014/main" id="{535C17CF-4146-487D-826E-D0F2458FA86B}"/>
            </a:ext>
          </a:extLst>
        </xdr:cNvPr>
        <xdr:cNvSpPr txBox="1"/>
      </xdr:nvSpPr>
      <xdr:spPr>
        <a:xfrm>
          <a:off x="18768820" y="368592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2038</xdr:row>
      <xdr:rowOff>134935</xdr:rowOff>
    </xdr:from>
    <xdr:to>
      <xdr:col>12</xdr:col>
      <xdr:colOff>132527</xdr:colOff>
      <xdr:row>2039</xdr:row>
      <xdr:rowOff>131125</xdr:rowOff>
    </xdr:to>
    <xdr:sp macro="_xll.PtreeEvent_ObjectClick" textlink="">
      <xdr:nvSpPr>
        <xdr:cNvPr id="4049" name="PTObj_DNode_1_1009">
          <a:extLst>
            <a:ext uri="{FF2B5EF4-FFF2-40B4-BE49-F238E27FC236}">
              <a16:creationId xmlns:a16="http://schemas.microsoft.com/office/drawing/2014/main" id="{A71258D4-F6FF-456F-A522-9138DE76EA27}"/>
            </a:ext>
          </a:extLst>
        </xdr:cNvPr>
        <xdr:cNvSpPr/>
      </xdr:nvSpPr>
      <xdr:spPr>
        <a:xfrm rot="-5400000">
          <a:off x="21347557" y="3689591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2038</xdr:row>
      <xdr:rowOff>133216</xdr:rowOff>
    </xdr:from>
    <xdr:ext cx="514858" cy="180627"/>
    <xdr:sp macro="_xll.PtreeEvent_ObjectClick" textlink="">
      <xdr:nvSpPr>
        <xdr:cNvPr id="4052" name="PTObj_DBranchName_1_1009">
          <a:extLst>
            <a:ext uri="{FF2B5EF4-FFF2-40B4-BE49-F238E27FC236}">
              <a16:creationId xmlns:a16="http://schemas.microsoft.com/office/drawing/2014/main" id="{5FE65317-A135-47A0-B396-04E929BF82A0}"/>
            </a:ext>
          </a:extLst>
        </xdr:cNvPr>
        <xdr:cNvSpPr txBox="1"/>
      </xdr:nvSpPr>
      <xdr:spPr>
        <a:xfrm>
          <a:off x="20188045" y="3689602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2050</xdr:row>
      <xdr:rowOff>151135</xdr:rowOff>
    </xdr:from>
    <xdr:to>
      <xdr:col>8</xdr:col>
      <xdr:colOff>171578</xdr:colOff>
      <xdr:row>2051</xdr:row>
      <xdr:rowOff>153045</xdr:rowOff>
    </xdr:to>
    <xdr:sp macro="_xll.PtreeEvent_ObjectClick" textlink="">
      <xdr:nvSpPr>
        <xdr:cNvPr id="4053" name="PTObj_DNode_1_1015">
          <a:extLst>
            <a:ext uri="{FF2B5EF4-FFF2-40B4-BE49-F238E27FC236}">
              <a16:creationId xmlns:a16="http://schemas.microsoft.com/office/drawing/2014/main" id="{1709F10C-7524-41EA-8D4A-D1BD7FDD1083}"/>
            </a:ext>
          </a:extLst>
        </xdr:cNvPr>
        <xdr:cNvSpPr/>
      </xdr:nvSpPr>
      <xdr:spPr>
        <a:xfrm>
          <a:off x="15643988" y="371149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2050</xdr:row>
      <xdr:rowOff>152251</xdr:rowOff>
    </xdr:from>
    <xdr:ext cx="566520" cy="180627"/>
    <xdr:sp macro="_xll.PtreeEvent_ObjectClick" textlink="">
      <xdr:nvSpPr>
        <xdr:cNvPr id="4056" name="PTObj_DBranchName_1_1015">
          <a:extLst>
            <a:ext uri="{FF2B5EF4-FFF2-40B4-BE49-F238E27FC236}">
              <a16:creationId xmlns:a16="http://schemas.microsoft.com/office/drawing/2014/main" id="{FFE7CBB5-53C1-4901-98EC-9EAA27844500}"/>
            </a:ext>
          </a:extLst>
        </xdr:cNvPr>
        <xdr:cNvSpPr txBox="1"/>
      </xdr:nvSpPr>
      <xdr:spPr>
        <a:xfrm>
          <a:off x="14498765" y="3711510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2042</xdr:row>
      <xdr:rowOff>135880</xdr:rowOff>
    </xdr:from>
    <xdr:to>
      <xdr:col>9</xdr:col>
      <xdr:colOff>154432</xdr:colOff>
      <xdr:row>2043</xdr:row>
      <xdr:rowOff>130170</xdr:rowOff>
    </xdr:to>
    <xdr:sp macro="_xll.PtreeEvent_ObjectClick" textlink="">
      <xdr:nvSpPr>
        <xdr:cNvPr id="4057" name="PTObj_DNode_1_1011">
          <a:extLst>
            <a:ext uri="{FF2B5EF4-FFF2-40B4-BE49-F238E27FC236}">
              <a16:creationId xmlns:a16="http://schemas.microsoft.com/office/drawing/2014/main" id="{16AFEC71-166D-413F-9036-F524687B333C}"/>
            </a:ext>
          </a:extLst>
        </xdr:cNvPr>
        <xdr:cNvSpPr/>
      </xdr:nvSpPr>
      <xdr:spPr>
        <a:xfrm>
          <a:off x="17068927" y="369686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2042</xdr:row>
      <xdr:rowOff>133211</xdr:rowOff>
    </xdr:from>
    <xdr:ext cx="566519" cy="180627"/>
    <xdr:sp macro="_xll.PtreeEvent_ObjectClick" textlink="">
      <xdr:nvSpPr>
        <xdr:cNvPr id="4060" name="PTObj_DBranchName_1_1011">
          <a:extLst>
            <a:ext uri="{FF2B5EF4-FFF2-40B4-BE49-F238E27FC236}">
              <a16:creationId xmlns:a16="http://schemas.microsoft.com/office/drawing/2014/main" id="{DB18AFE6-3E08-4582-9412-C019FE4654A5}"/>
            </a:ext>
          </a:extLst>
        </xdr:cNvPr>
        <xdr:cNvSpPr txBox="1"/>
      </xdr:nvSpPr>
      <xdr:spPr>
        <a:xfrm>
          <a:off x="15922752" y="3696841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2044</xdr:row>
      <xdr:rowOff>139700</xdr:rowOff>
    </xdr:from>
    <xdr:to>
      <xdr:col>10</xdr:col>
      <xdr:colOff>150622</xdr:colOff>
      <xdr:row>2045</xdr:row>
      <xdr:rowOff>132085</xdr:rowOff>
    </xdr:to>
    <xdr:sp macro="_xll.PtreeEvent_ObjectClick" textlink="">
      <xdr:nvSpPr>
        <xdr:cNvPr id="4061" name="PTObj_DNode_1_1012">
          <a:extLst>
            <a:ext uri="{FF2B5EF4-FFF2-40B4-BE49-F238E27FC236}">
              <a16:creationId xmlns:a16="http://schemas.microsoft.com/office/drawing/2014/main" id="{E56B93D4-E589-49C5-87EF-8243FB772CAE}"/>
            </a:ext>
          </a:extLst>
        </xdr:cNvPr>
        <xdr:cNvSpPr/>
      </xdr:nvSpPr>
      <xdr:spPr>
        <a:xfrm>
          <a:off x="18493867" y="370052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2044</xdr:row>
      <xdr:rowOff>137006</xdr:rowOff>
    </xdr:from>
    <xdr:ext cx="514857" cy="180627"/>
    <xdr:sp macro="_xll.PtreeEvent_ObjectClick" textlink="">
      <xdr:nvSpPr>
        <xdr:cNvPr id="4064" name="PTObj_DBranchName_1_1012">
          <a:extLst>
            <a:ext uri="{FF2B5EF4-FFF2-40B4-BE49-F238E27FC236}">
              <a16:creationId xmlns:a16="http://schemas.microsoft.com/office/drawing/2014/main" id="{9719DDE1-941F-4BFE-9030-5E71E92B0A0C}"/>
            </a:ext>
          </a:extLst>
        </xdr:cNvPr>
        <xdr:cNvSpPr txBox="1"/>
      </xdr:nvSpPr>
      <xdr:spPr>
        <a:xfrm>
          <a:off x="17344834" y="3700499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2046</xdr:row>
      <xdr:rowOff>143520</xdr:rowOff>
    </xdr:from>
    <xdr:to>
      <xdr:col>11</xdr:col>
      <xdr:colOff>131573</xdr:colOff>
      <xdr:row>2047</xdr:row>
      <xdr:rowOff>135905</xdr:rowOff>
    </xdr:to>
    <xdr:sp macro="_xll.PtreeEvent_ObjectClick" textlink="">
      <xdr:nvSpPr>
        <xdr:cNvPr id="4065" name="PTObj_DNode_1_1013">
          <a:extLst>
            <a:ext uri="{FF2B5EF4-FFF2-40B4-BE49-F238E27FC236}">
              <a16:creationId xmlns:a16="http://schemas.microsoft.com/office/drawing/2014/main" id="{9567E9E1-98DC-45F7-8500-F632469E21E2}"/>
            </a:ext>
          </a:extLst>
        </xdr:cNvPr>
        <xdr:cNvSpPr/>
      </xdr:nvSpPr>
      <xdr:spPr>
        <a:xfrm>
          <a:off x="19918807" y="370418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2046</xdr:row>
      <xdr:rowOff>142731</xdr:rowOff>
    </xdr:from>
    <xdr:ext cx="514858" cy="180627"/>
    <xdr:sp macro="_xll.PtreeEvent_ObjectClick" textlink="">
      <xdr:nvSpPr>
        <xdr:cNvPr id="4068" name="PTObj_DBranchName_1_1013">
          <a:extLst>
            <a:ext uri="{FF2B5EF4-FFF2-40B4-BE49-F238E27FC236}">
              <a16:creationId xmlns:a16="http://schemas.microsoft.com/office/drawing/2014/main" id="{89D362D1-DA60-4D35-83C9-EE9998700968}"/>
            </a:ext>
          </a:extLst>
        </xdr:cNvPr>
        <xdr:cNvSpPr txBox="1"/>
      </xdr:nvSpPr>
      <xdr:spPr>
        <a:xfrm>
          <a:off x="18768820" y="370417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2048</xdr:row>
      <xdr:rowOff>149222</xdr:rowOff>
    </xdr:from>
    <xdr:to>
      <xdr:col>12</xdr:col>
      <xdr:colOff>131575</xdr:colOff>
      <xdr:row>2049</xdr:row>
      <xdr:rowOff>132077</xdr:rowOff>
    </xdr:to>
    <xdr:sp macro="_xll.PtreeEvent_ObjectClick" textlink="">
      <xdr:nvSpPr>
        <xdr:cNvPr id="4069" name="PTObj_DNode_1_1014">
          <a:extLst>
            <a:ext uri="{FF2B5EF4-FFF2-40B4-BE49-F238E27FC236}">
              <a16:creationId xmlns:a16="http://schemas.microsoft.com/office/drawing/2014/main" id="{922C6AD8-0CD9-4187-8D8D-7766601D9C28}"/>
            </a:ext>
          </a:extLst>
        </xdr:cNvPr>
        <xdr:cNvSpPr/>
      </xdr:nvSpPr>
      <xdr:spPr>
        <a:xfrm rot="-5400000">
          <a:off x="21347557" y="3707822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2048</xdr:row>
      <xdr:rowOff>146551</xdr:rowOff>
    </xdr:from>
    <xdr:ext cx="514858" cy="180627"/>
    <xdr:sp macro="_xll.PtreeEvent_ObjectClick" textlink="">
      <xdr:nvSpPr>
        <xdr:cNvPr id="4072" name="PTObj_DBranchName_1_1014">
          <a:extLst>
            <a:ext uri="{FF2B5EF4-FFF2-40B4-BE49-F238E27FC236}">
              <a16:creationId xmlns:a16="http://schemas.microsoft.com/office/drawing/2014/main" id="{99368D18-11EF-4E96-A680-013CCBBB1498}"/>
            </a:ext>
          </a:extLst>
        </xdr:cNvPr>
        <xdr:cNvSpPr txBox="1"/>
      </xdr:nvSpPr>
      <xdr:spPr>
        <a:xfrm>
          <a:off x="20188045" y="3707833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2052</xdr:row>
      <xdr:rowOff>154930</xdr:rowOff>
    </xdr:from>
    <xdr:to>
      <xdr:col>9</xdr:col>
      <xdr:colOff>154432</xdr:colOff>
      <xdr:row>2053</xdr:row>
      <xdr:rowOff>172080</xdr:rowOff>
    </xdr:to>
    <xdr:sp macro="_xll.PtreeEvent_ObjectClick" textlink="">
      <xdr:nvSpPr>
        <xdr:cNvPr id="4073" name="PTObj_DNode_1_1016">
          <a:extLst>
            <a:ext uri="{FF2B5EF4-FFF2-40B4-BE49-F238E27FC236}">
              <a16:creationId xmlns:a16="http://schemas.microsoft.com/office/drawing/2014/main" id="{DB8CD30E-A2CA-4C62-9C99-4730A7DDBB82}"/>
            </a:ext>
          </a:extLst>
        </xdr:cNvPr>
        <xdr:cNvSpPr/>
      </xdr:nvSpPr>
      <xdr:spPr>
        <a:xfrm>
          <a:off x="17068927" y="371515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2052</xdr:row>
      <xdr:rowOff>156071</xdr:rowOff>
    </xdr:from>
    <xdr:ext cx="566520" cy="180627"/>
    <xdr:sp macro="_xll.PtreeEvent_ObjectClick" textlink="">
      <xdr:nvSpPr>
        <xdr:cNvPr id="4076" name="PTObj_DBranchName_1_1016">
          <a:extLst>
            <a:ext uri="{FF2B5EF4-FFF2-40B4-BE49-F238E27FC236}">
              <a16:creationId xmlns:a16="http://schemas.microsoft.com/office/drawing/2014/main" id="{203921EF-B3E0-426A-8A68-46B2ACC5A6D2}"/>
            </a:ext>
          </a:extLst>
        </xdr:cNvPr>
        <xdr:cNvSpPr txBox="1"/>
      </xdr:nvSpPr>
      <xdr:spPr>
        <a:xfrm>
          <a:off x="15926563" y="3715167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2054</xdr:row>
      <xdr:rowOff>158750</xdr:rowOff>
    </xdr:from>
    <xdr:to>
      <xdr:col>10</xdr:col>
      <xdr:colOff>150622</xdr:colOff>
      <xdr:row>2055</xdr:row>
      <xdr:rowOff>168280</xdr:rowOff>
    </xdr:to>
    <xdr:sp macro="_xll.PtreeEvent_ObjectClick" textlink="">
      <xdr:nvSpPr>
        <xdr:cNvPr id="4077" name="PTObj_DNode_1_1017">
          <a:extLst>
            <a:ext uri="{FF2B5EF4-FFF2-40B4-BE49-F238E27FC236}">
              <a16:creationId xmlns:a16="http://schemas.microsoft.com/office/drawing/2014/main" id="{B1AEDB11-C170-4840-8BEA-5B1E706189F8}"/>
            </a:ext>
          </a:extLst>
        </xdr:cNvPr>
        <xdr:cNvSpPr/>
      </xdr:nvSpPr>
      <xdr:spPr>
        <a:xfrm>
          <a:off x="18493867" y="371881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2054</xdr:row>
      <xdr:rowOff>161771</xdr:rowOff>
    </xdr:from>
    <xdr:ext cx="514857" cy="180627"/>
    <xdr:sp macro="_xll.PtreeEvent_ObjectClick" textlink="">
      <xdr:nvSpPr>
        <xdr:cNvPr id="4080" name="PTObj_DBranchName_1_1017">
          <a:extLst>
            <a:ext uri="{FF2B5EF4-FFF2-40B4-BE49-F238E27FC236}">
              <a16:creationId xmlns:a16="http://schemas.microsoft.com/office/drawing/2014/main" id="{65E10A9D-48FC-4C0F-B241-E4F237639F3C}"/>
            </a:ext>
          </a:extLst>
        </xdr:cNvPr>
        <xdr:cNvSpPr txBox="1"/>
      </xdr:nvSpPr>
      <xdr:spPr>
        <a:xfrm>
          <a:off x="17344834" y="3718844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2056</xdr:row>
      <xdr:rowOff>162570</xdr:rowOff>
    </xdr:from>
    <xdr:to>
      <xdr:col>11</xdr:col>
      <xdr:colOff>131573</xdr:colOff>
      <xdr:row>2057</xdr:row>
      <xdr:rowOff>172100</xdr:rowOff>
    </xdr:to>
    <xdr:sp macro="_xll.PtreeEvent_ObjectClick" textlink="">
      <xdr:nvSpPr>
        <xdr:cNvPr id="4081" name="PTObj_DNode_1_1018">
          <a:extLst>
            <a:ext uri="{FF2B5EF4-FFF2-40B4-BE49-F238E27FC236}">
              <a16:creationId xmlns:a16="http://schemas.microsoft.com/office/drawing/2014/main" id="{0433CACA-E8DA-4E57-86D3-A2B511BCCA8B}"/>
            </a:ext>
          </a:extLst>
        </xdr:cNvPr>
        <xdr:cNvSpPr/>
      </xdr:nvSpPr>
      <xdr:spPr>
        <a:xfrm>
          <a:off x="19918807" y="372247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2056</xdr:row>
      <xdr:rowOff>165591</xdr:rowOff>
    </xdr:from>
    <xdr:ext cx="514858" cy="180627"/>
    <xdr:sp macro="_xll.PtreeEvent_ObjectClick" textlink="">
      <xdr:nvSpPr>
        <xdr:cNvPr id="4084" name="PTObj_DBranchName_1_1018">
          <a:extLst>
            <a:ext uri="{FF2B5EF4-FFF2-40B4-BE49-F238E27FC236}">
              <a16:creationId xmlns:a16="http://schemas.microsoft.com/office/drawing/2014/main" id="{02441F1B-6481-4B53-96B0-22E30D4753CD}"/>
            </a:ext>
          </a:extLst>
        </xdr:cNvPr>
        <xdr:cNvSpPr txBox="1"/>
      </xdr:nvSpPr>
      <xdr:spPr>
        <a:xfrm>
          <a:off x="18768820" y="372250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2058</xdr:row>
      <xdr:rowOff>173035</xdr:rowOff>
    </xdr:from>
    <xdr:to>
      <xdr:col>12</xdr:col>
      <xdr:colOff>136337</xdr:colOff>
      <xdr:row>2059</xdr:row>
      <xdr:rowOff>173035</xdr:rowOff>
    </xdr:to>
    <xdr:sp macro="_xll.PtreeEvent_ObjectClick" textlink="">
      <xdr:nvSpPr>
        <xdr:cNvPr id="4085" name="PTObj_DNode_1_1019">
          <a:extLst>
            <a:ext uri="{FF2B5EF4-FFF2-40B4-BE49-F238E27FC236}">
              <a16:creationId xmlns:a16="http://schemas.microsoft.com/office/drawing/2014/main" id="{7DB09688-3B29-48C4-91D6-A4A57F40F865}"/>
            </a:ext>
          </a:extLst>
        </xdr:cNvPr>
        <xdr:cNvSpPr/>
      </xdr:nvSpPr>
      <xdr:spPr>
        <a:xfrm rot="-5400000">
          <a:off x="21347557" y="3726167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2058</xdr:row>
      <xdr:rowOff>171316</xdr:rowOff>
    </xdr:from>
    <xdr:ext cx="514858" cy="180627"/>
    <xdr:sp macro="_xll.PtreeEvent_ObjectClick" textlink="">
      <xdr:nvSpPr>
        <xdr:cNvPr id="4088" name="PTObj_DBranchName_1_1019">
          <a:extLst>
            <a:ext uri="{FF2B5EF4-FFF2-40B4-BE49-F238E27FC236}">
              <a16:creationId xmlns:a16="http://schemas.microsoft.com/office/drawing/2014/main" id="{99B0445C-DBFD-4A20-9DFA-A7BC1BE9A31E}"/>
            </a:ext>
          </a:extLst>
        </xdr:cNvPr>
        <xdr:cNvSpPr txBox="1"/>
      </xdr:nvSpPr>
      <xdr:spPr>
        <a:xfrm>
          <a:off x="20188045" y="3726178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2081</xdr:row>
      <xdr:rowOff>27310</xdr:rowOff>
    </xdr:from>
    <xdr:to>
      <xdr:col>7</xdr:col>
      <xdr:colOff>167767</xdr:colOff>
      <xdr:row>2082</xdr:row>
      <xdr:rowOff>17790</xdr:rowOff>
    </xdr:to>
    <xdr:sp macro="_xll.PtreeEvent_ObjectClick" textlink="">
      <xdr:nvSpPr>
        <xdr:cNvPr id="4089" name="PTObj_DNode_1_1030">
          <a:extLst>
            <a:ext uri="{FF2B5EF4-FFF2-40B4-BE49-F238E27FC236}">
              <a16:creationId xmlns:a16="http://schemas.microsoft.com/office/drawing/2014/main" id="{67BE9582-0A21-4A14-BB7A-5A0D4EA9DE9F}"/>
            </a:ext>
          </a:extLst>
        </xdr:cNvPr>
        <xdr:cNvSpPr/>
      </xdr:nvSpPr>
      <xdr:spPr>
        <a:xfrm>
          <a:off x="14219047" y="376636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2081</xdr:row>
      <xdr:rowOff>26521</xdr:rowOff>
    </xdr:from>
    <xdr:ext cx="566520" cy="180627"/>
    <xdr:sp macro="_xll.PtreeEvent_ObjectClick" textlink="">
      <xdr:nvSpPr>
        <xdr:cNvPr id="4092" name="PTObj_DBranchName_1_1030">
          <a:extLst>
            <a:ext uri="{FF2B5EF4-FFF2-40B4-BE49-F238E27FC236}">
              <a16:creationId xmlns:a16="http://schemas.microsoft.com/office/drawing/2014/main" id="{B34A19AC-4EC9-44D6-A9B2-0D78DDB5D0AA}"/>
            </a:ext>
          </a:extLst>
        </xdr:cNvPr>
        <xdr:cNvSpPr txBox="1"/>
      </xdr:nvSpPr>
      <xdr:spPr>
        <a:xfrm>
          <a:off x="13074777" y="376635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2071</xdr:row>
      <xdr:rowOff>8260</xdr:rowOff>
    </xdr:from>
    <xdr:to>
      <xdr:col>8</xdr:col>
      <xdr:colOff>171578</xdr:colOff>
      <xdr:row>2072</xdr:row>
      <xdr:rowOff>19695</xdr:rowOff>
    </xdr:to>
    <xdr:sp macro="_xll.PtreeEvent_ObjectClick" textlink="">
      <xdr:nvSpPr>
        <xdr:cNvPr id="4093" name="PTObj_DNode_1_1025">
          <a:extLst>
            <a:ext uri="{FF2B5EF4-FFF2-40B4-BE49-F238E27FC236}">
              <a16:creationId xmlns:a16="http://schemas.microsoft.com/office/drawing/2014/main" id="{8C95D527-5E66-4D04-9F08-AA410B40755F}"/>
            </a:ext>
          </a:extLst>
        </xdr:cNvPr>
        <xdr:cNvSpPr/>
      </xdr:nvSpPr>
      <xdr:spPr>
        <a:xfrm>
          <a:off x="15643988" y="374807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2071</xdr:row>
      <xdr:rowOff>11281</xdr:rowOff>
    </xdr:from>
    <xdr:ext cx="566520" cy="180627"/>
    <xdr:sp macro="_xll.PtreeEvent_ObjectClick" textlink="">
      <xdr:nvSpPr>
        <xdr:cNvPr id="4096" name="PTObj_DBranchName_1_1025">
          <a:extLst>
            <a:ext uri="{FF2B5EF4-FFF2-40B4-BE49-F238E27FC236}">
              <a16:creationId xmlns:a16="http://schemas.microsoft.com/office/drawing/2014/main" id="{9107DD18-AB5D-45AD-A78D-955606D6FF17}"/>
            </a:ext>
          </a:extLst>
        </xdr:cNvPr>
        <xdr:cNvSpPr txBox="1"/>
      </xdr:nvSpPr>
      <xdr:spPr>
        <a:xfrm>
          <a:off x="14500670" y="374810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2062</xdr:row>
      <xdr:rowOff>173980</xdr:rowOff>
    </xdr:from>
    <xdr:to>
      <xdr:col>9</xdr:col>
      <xdr:colOff>154432</xdr:colOff>
      <xdr:row>2063</xdr:row>
      <xdr:rowOff>168270</xdr:rowOff>
    </xdr:to>
    <xdr:sp macro="_xll.PtreeEvent_ObjectClick" textlink="">
      <xdr:nvSpPr>
        <xdr:cNvPr id="4097" name="PTObj_DNode_1_1021">
          <a:extLst>
            <a:ext uri="{FF2B5EF4-FFF2-40B4-BE49-F238E27FC236}">
              <a16:creationId xmlns:a16="http://schemas.microsoft.com/office/drawing/2014/main" id="{1682205D-5164-4355-8571-7450D8E0D167}"/>
            </a:ext>
          </a:extLst>
        </xdr:cNvPr>
        <xdr:cNvSpPr/>
      </xdr:nvSpPr>
      <xdr:spPr>
        <a:xfrm>
          <a:off x="17068927" y="373344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2062</xdr:row>
      <xdr:rowOff>171311</xdr:rowOff>
    </xdr:from>
    <xdr:ext cx="566519" cy="180627"/>
    <xdr:sp macro="_xll.PtreeEvent_ObjectClick" textlink="">
      <xdr:nvSpPr>
        <xdr:cNvPr id="4100" name="PTObj_DBranchName_1_1021">
          <a:extLst>
            <a:ext uri="{FF2B5EF4-FFF2-40B4-BE49-F238E27FC236}">
              <a16:creationId xmlns:a16="http://schemas.microsoft.com/office/drawing/2014/main" id="{A462C9F5-FF58-4886-A520-ED375EB33FDD}"/>
            </a:ext>
          </a:extLst>
        </xdr:cNvPr>
        <xdr:cNvSpPr txBox="1"/>
      </xdr:nvSpPr>
      <xdr:spPr>
        <a:xfrm>
          <a:off x="15922752" y="3733417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2064</xdr:row>
      <xdr:rowOff>177800</xdr:rowOff>
    </xdr:from>
    <xdr:to>
      <xdr:col>10</xdr:col>
      <xdr:colOff>150622</xdr:colOff>
      <xdr:row>2065</xdr:row>
      <xdr:rowOff>170185</xdr:rowOff>
    </xdr:to>
    <xdr:sp macro="_xll.PtreeEvent_ObjectClick" textlink="">
      <xdr:nvSpPr>
        <xdr:cNvPr id="4101" name="PTObj_DNode_1_1022">
          <a:extLst>
            <a:ext uri="{FF2B5EF4-FFF2-40B4-BE49-F238E27FC236}">
              <a16:creationId xmlns:a16="http://schemas.microsoft.com/office/drawing/2014/main" id="{B3F1961D-38D3-4F05-AF15-2B06A8E19A64}"/>
            </a:ext>
          </a:extLst>
        </xdr:cNvPr>
        <xdr:cNvSpPr/>
      </xdr:nvSpPr>
      <xdr:spPr>
        <a:xfrm>
          <a:off x="18493867" y="373710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2064</xdr:row>
      <xdr:rowOff>175106</xdr:rowOff>
    </xdr:from>
    <xdr:ext cx="514857" cy="180627"/>
    <xdr:sp macro="_xll.PtreeEvent_ObjectClick" textlink="">
      <xdr:nvSpPr>
        <xdr:cNvPr id="4104" name="PTObj_DBranchName_1_1022">
          <a:extLst>
            <a:ext uri="{FF2B5EF4-FFF2-40B4-BE49-F238E27FC236}">
              <a16:creationId xmlns:a16="http://schemas.microsoft.com/office/drawing/2014/main" id="{A38E82FC-33B7-45D4-B803-A33363D4EC45}"/>
            </a:ext>
          </a:extLst>
        </xdr:cNvPr>
        <xdr:cNvSpPr txBox="1"/>
      </xdr:nvSpPr>
      <xdr:spPr>
        <a:xfrm>
          <a:off x="17344834" y="3737075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2067</xdr:row>
      <xdr:rowOff>645</xdr:rowOff>
    </xdr:from>
    <xdr:to>
      <xdr:col>11</xdr:col>
      <xdr:colOff>131573</xdr:colOff>
      <xdr:row>2068</xdr:row>
      <xdr:rowOff>2555</xdr:rowOff>
    </xdr:to>
    <xdr:sp macro="_xll.PtreeEvent_ObjectClick" textlink="">
      <xdr:nvSpPr>
        <xdr:cNvPr id="4105" name="PTObj_DNode_1_1023">
          <a:extLst>
            <a:ext uri="{FF2B5EF4-FFF2-40B4-BE49-F238E27FC236}">
              <a16:creationId xmlns:a16="http://schemas.microsoft.com/office/drawing/2014/main" id="{00FC9EC6-EAB9-40AA-A98A-F38B3D882F23}"/>
            </a:ext>
          </a:extLst>
        </xdr:cNvPr>
        <xdr:cNvSpPr/>
      </xdr:nvSpPr>
      <xdr:spPr>
        <a:xfrm>
          <a:off x="19918807" y="374075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2067</xdr:row>
      <xdr:rowOff>1761</xdr:rowOff>
    </xdr:from>
    <xdr:ext cx="514858" cy="180627"/>
    <xdr:sp macro="_xll.PtreeEvent_ObjectClick" textlink="">
      <xdr:nvSpPr>
        <xdr:cNvPr id="4108" name="PTObj_DBranchName_1_1023">
          <a:extLst>
            <a:ext uri="{FF2B5EF4-FFF2-40B4-BE49-F238E27FC236}">
              <a16:creationId xmlns:a16="http://schemas.microsoft.com/office/drawing/2014/main" id="{203E8EC7-4701-46D6-A6F2-2E6C9A0DFCCE}"/>
            </a:ext>
          </a:extLst>
        </xdr:cNvPr>
        <xdr:cNvSpPr txBox="1"/>
      </xdr:nvSpPr>
      <xdr:spPr>
        <a:xfrm>
          <a:off x="18768820" y="3740770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2069</xdr:row>
      <xdr:rowOff>9205</xdr:rowOff>
    </xdr:from>
    <xdr:to>
      <xdr:col>12</xdr:col>
      <xdr:colOff>136337</xdr:colOff>
      <xdr:row>2070</xdr:row>
      <xdr:rowOff>16825</xdr:rowOff>
    </xdr:to>
    <xdr:sp macro="_xll.PtreeEvent_ObjectClick" textlink="">
      <xdr:nvSpPr>
        <xdr:cNvPr id="4109" name="PTObj_DNode_1_1024">
          <a:extLst>
            <a:ext uri="{FF2B5EF4-FFF2-40B4-BE49-F238E27FC236}">
              <a16:creationId xmlns:a16="http://schemas.microsoft.com/office/drawing/2014/main" id="{548CDB77-DA06-4F89-A240-F69D4977BBA3}"/>
            </a:ext>
          </a:extLst>
        </xdr:cNvPr>
        <xdr:cNvSpPr/>
      </xdr:nvSpPr>
      <xdr:spPr>
        <a:xfrm rot="-5400000">
          <a:off x="21347557" y="3744436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2069</xdr:row>
      <xdr:rowOff>7486</xdr:rowOff>
    </xdr:from>
    <xdr:ext cx="514858" cy="180627"/>
    <xdr:sp macro="_xll.PtreeEvent_ObjectClick" textlink="">
      <xdr:nvSpPr>
        <xdr:cNvPr id="4112" name="PTObj_DBranchName_1_1024">
          <a:extLst>
            <a:ext uri="{FF2B5EF4-FFF2-40B4-BE49-F238E27FC236}">
              <a16:creationId xmlns:a16="http://schemas.microsoft.com/office/drawing/2014/main" id="{5DB97A9B-495E-453C-AD05-A2E643F1840B}"/>
            </a:ext>
          </a:extLst>
        </xdr:cNvPr>
        <xdr:cNvSpPr txBox="1"/>
      </xdr:nvSpPr>
      <xdr:spPr>
        <a:xfrm>
          <a:off x="20188045" y="3744447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2073</xdr:row>
      <xdr:rowOff>12055</xdr:rowOff>
    </xdr:from>
    <xdr:to>
      <xdr:col>9</xdr:col>
      <xdr:colOff>154432</xdr:colOff>
      <xdr:row>2074</xdr:row>
      <xdr:rowOff>21585</xdr:rowOff>
    </xdr:to>
    <xdr:sp macro="_xll.PtreeEvent_ObjectClick" textlink="">
      <xdr:nvSpPr>
        <xdr:cNvPr id="4113" name="PTObj_DNode_1_1026">
          <a:extLst>
            <a:ext uri="{FF2B5EF4-FFF2-40B4-BE49-F238E27FC236}">
              <a16:creationId xmlns:a16="http://schemas.microsoft.com/office/drawing/2014/main" id="{69F49C69-0413-467C-A1B0-C10A9157BA39}"/>
            </a:ext>
          </a:extLst>
        </xdr:cNvPr>
        <xdr:cNvSpPr/>
      </xdr:nvSpPr>
      <xdr:spPr>
        <a:xfrm>
          <a:off x="17068927" y="375173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2073</xdr:row>
      <xdr:rowOff>17006</xdr:rowOff>
    </xdr:from>
    <xdr:ext cx="566520" cy="180627"/>
    <xdr:sp macro="_xll.PtreeEvent_ObjectClick" textlink="">
      <xdr:nvSpPr>
        <xdr:cNvPr id="4116" name="PTObj_DBranchName_1_1026">
          <a:extLst>
            <a:ext uri="{FF2B5EF4-FFF2-40B4-BE49-F238E27FC236}">
              <a16:creationId xmlns:a16="http://schemas.microsoft.com/office/drawing/2014/main" id="{6532197C-C121-4A32-A72B-12C9E0D4E671}"/>
            </a:ext>
          </a:extLst>
        </xdr:cNvPr>
        <xdr:cNvSpPr txBox="1"/>
      </xdr:nvSpPr>
      <xdr:spPr>
        <a:xfrm>
          <a:off x="15926563" y="3751781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2075</xdr:row>
      <xdr:rowOff>15875</xdr:rowOff>
    </xdr:from>
    <xdr:to>
      <xdr:col>10</xdr:col>
      <xdr:colOff>150622</xdr:colOff>
      <xdr:row>2076</xdr:row>
      <xdr:rowOff>21595</xdr:rowOff>
    </xdr:to>
    <xdr:sp macro="_xll.PtreeEvent_ObjectClick" textlink="">
      <xdr:nvSpPr>
        <xdr:cNvPr id="4117" name="PTObj_DNode_1_1027">
          <a:extLst>
            <a:ext uri="{FF2B5EF4-FFF2-40B4-BE49-F238E27FC236}">
              <a16:creationId xmlns:a16="http://schemas.microsoft.com/office/drawing/2014/main" id="{505EAC8D-07BA-4B35-A8C6-774D20165AE7}"/>
            </a:ext>
          </a:extLst>
        </xdr:cNvPr>
        <xdr:cNvSpPr/>
      </xdr:nvSpPr>
      <xdr:spPr>
        <a:xfrm>
          <a:off x="18493867" y="375539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2075</xdr:row>
      <xdr:rowOff>20801</xdr:rowOff>
    </xdr:from>
    <xdr:ext cx="514857" cy="180627"/>
    <xdr:sp macro="_xll.PtreeEvent_ObjectClick" textlink="">
      <xdr:nvSpPr>
        <xdr:cNvPr id="4120" name="PTObj_DBranchName_1_1027">
          <a:extLst>
            <a:ext uri="{FF2B5EF4-FFF2-40B4-BE49-F238E27FC236}">
              <a16:creationId xmlns:a16="http://schemas.microsoft.com/office/drawing/2014/main" id="{BF1A83DA-8070-474E-9C0D-0190D4E5AC69}"/>
            </a:ext>
          </a:extLst>
        </xdr:cNvPr>
        <xdr:cNvSpPr txBox="1"/>
      </xdr:nvSpPr>
      <xdr:spPr>
        <a:xfrm>
          <a:off x="17344834" y="3755439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2077</xdr:row>
      <xdr:rowOff>19695</xdr:rowOff>
    </xdr:from>
    <xdr:to>
      <xdr:col>11</xdr:col>
      <xdr:colOff>131573</xdr:colOff>
      <xdr:row>2078</xdr:row>
      <xdr:rowOff>21605</xdr:rowOff>
    </xdr:to>
    <xdr:sp macro="_xll.PtreeEvent_ObjectClick" textlink="">
      <xdr:nvSpPr>
        <xdr:cNvPr id="4121" name="PTObj_DNode_1_1028">
          <a:extLst>
            <a:ext uri="{FF2B5EF4-FFF2-40B4-BE49-F238E27FC236}">
              <a16:creationId xmlns:a16="http://schemas.microsoft.com/office/drawing/2014/main" id="{F92D116D-E7E0-4718-BB2E-E60197741529}"/>
            </a:ext>
          </a:extLst>
        </xdr:cNvPr>
        <xdr:cNvSpPr/>
      </xdr:nvSpPr>
      <xdr:spPr>
        <a:xfrm>
          <a:off x="19918807" y="375904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2077</xdr:row>
      <xdr:rowOff>17001</xdr:rowOff>
    </xdr:from>
    <xdr:ext cx="514858" cy="180627"/>
    <xdr:sp macro="_xll.PtreeEvent_ObjectClick" textlink="">
      <xdr:nvSpPr>
        <xdr:cNvPr id="4124" name="PTObj_DBranchName_1_1028">
          <a:extLst>
            <a:ext uri="{FF2B5EF4-FFF2-40B4-BE49-F238E27FC236}">
              <a16:creationId xmlns:a16="http://schemas.microsoft.com/office/drawing/2014/main" id="{C49454D2-7585-4A14-B44A-B2D32507D1D5}"/>
            </a:ext>
          </a:extLst>
        </xdr:cNvPr>
        <xdr:cNvSpPr txBox="1"/>
      </xdr:nvSpPr>
      <xdr:spPr>
        <a:xfrm>
          <a:off x="18768820" y="3759020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2079</xdr:row>
      <xdr:rowOff>22540</xdr:rowOff>
    </xdr:from>
    <xdr:to>
      <xdr:col>12</xdr:col>
      <xdr:colOff>136337</xdr:colOff>
      <xdr:row>2080</xdr:row>
      <xdr:rowOff>22540</xdr:rowOff>
    </xdr:to>
    <xdr:sp macro="_xll.PtreeEvent_ObjectClick" textlink="">
      <xdr:nvSpPr>
        <xdr:cNvPr id="4125" name="PTObj_DNode_1_1029">
          <a:extLst>
            <a:ext uri="{FF2B5EF4-FFF2-40B4-BE49-F238E27FC236}">
              <a16:creationId xmlns:a16="http://schemas.microsoft.com/office/drawing/2014/main" id="{7471A79C-9EDF-4569-A454-6B747A9D40DF}"/>
            </a:ext>
          </a:extLst>
        </xdr:cNvPr>
        <xdr:cNvSpPr/>
      </xdr:nvSpPr>
      <xdr:spPr>
        <a:xfrm rot="-5400000">
          <a:off x="21347557" y="3762667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2079</xdr:row>
      <xdr:rowOff>20821</xdr:rowOff>
    </xdr:from>
    <xdr:ext cx="514858" cy="180627"/>
    <xdr:sp macro="_xll.PtreeEvent_ObjectClick" textlink="">
      <xdr:nvSpPr>
        <xdr:cNvPr id="4128" name="PTObj_DBranchName_1_1029">
          <a:extLst>
            <a:ext uri="{FF2B5EF4-FFF2-40B4-BE49-F238E27FC236}">
              <a16:creationId xmlns:a16="http://schemas.microsoft.com/office/drawing/2014/main" id="{084E0CB4-0170-4DA3-94FC-F54E632E0A21}"/>
            </a:ext>
          </a:extLst>
        </xdr:cNvPr>
        <xdr:cNvSpPr txBox="1"/>
      </xdr:nvSpPr>
      <xdr:spPr>
        <a:xfrm>
          <a:off x="20188045" y="3762678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2091</xdr:row>
      <xdr:rowOff>46360</xdr:rowOff>
    </xdr:from>
    <xdr:to>
      <xdr:col>8</xdr:col>
      <xdr:colOff>167768</xdr:colOff>
      <xdr:row>2092</xdr:row>
      <xdr:rowOff>53985</xdr:rowOff>
    </xdr:to>
    <xdr:sp macro="_xll.PtreeEvent_ObjectClick" textlink="">
      <xdr:nvSpPr>
        <xdr:cNvPr id="4129" name="PTObj_DNode_1_1035">
          <a:extLst>
            <a:ext uri="{FF2B5EF4-FFF2-40B4-BE49-F238E27FC236}">
              <a16:creationId xmlns:a16="http://schemas.microsoft.com/office/drawing/2014/main" id="{3C642FF6-BC88-407B-B6CA-2EF0213C0733}"/>
            </a:ext>
          </a:extLst>
        </xdr:cNvPr>
        <xdr:cNvSpPr/>
      </xdr:nvSpPr>
      <xdr:spPr>
        <a:xfrm>
          <a:off x="15643988" y="378465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2091</xdr:row>
      <xdr:rowOff>49381</xdr:rowOff>
    </xdr:from>
    <xdr:ext cx="566520" cy="180627"/>
    <xdr:sp macro="_xll.PtreeEvent_ObjectClick" textlink="">
      <xdr:nvSpPr>
        <xdr:cNvPr id="4132" name="PTObj_DBranchName_1_1035">
          <a:extLst>
            <a:ext uri="{FF2B5EF4-FFF2-40B4-BE49-F238E27FC236}">
              <a16:creationId xmlns:a16="http://schemas.microsoft.com/office/drawing/2014/main" id="{6A702CF6-06B9-4F57-888A-31593F35ADE0}"/>
            </a:ext>
          </a:extLst>
        </xdr:cNvPr>
        <xdr:cNvSpPr txBox="1"/>
      </xdr:nvSpPr>
      <xdr:spPr>
        <a:xfrm>
          <a:off x="14498765" y="378468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2083</xdr:row>
      <xdr:rowOff>31105</xdr:rowOff>
    </xdr:from>
    <xdr:to>
      <xdr:col>9</xdr:col>
      <xdr:colOff>154432</xdr:colOff>
      <xdr:row>2084</xdr:row>
      <xdr:rowOff>21585</xdr:rowOff>
    </xdr:to>
    <xdr:sp macro="_xll.PtreeEvent_ObjectClick" textlink="">
      <xdr:nvSpPr>
        <xdr:cNvPr id="4133" name="PTObj_DNode_1_1031">
          <a:extLst>
            <a:ext uri="{FF2B5EF4-FFF2-40B4-BE49-F238E27FC236}">
              <a16:creationId xmlns:a16="http://schemas.microsoft.com/office/drawing/2014/main" id="{342E504B-D92C-4570-9A4F-9585E8722F7F}"/>
            </a:ext>
          </a:extLst>
        </xdr:cNvPr>
        <xdr:cNvSpPr/>
      </xdr:nvSpPr>
      <xdr:spPr>
        <a:xfrm>
          <a:off x="17068927" y="377002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2083</xdr:row>
      <xdr:rowOff>30341</xdr:rowOff>
    </xdr:from>
    <xdr:ext cx="566519" cy="180627"/>
    <xdr:sp macro="_xll.PtreeEvent_ObjectClick" textlink="">
      <xdr:nvSpPr>
        <xdr:cNvPr id="4136" name="PTObj_DBranchName_1_1031">
          <a:extLst>
            <a:ext uri="{FF2B5EF4-FFF2-40B4-BE49-F238E27FC236}">
              <a16:creationId xmlns:a16="http://schemas.microsoft.com/office/drawing/2014/main" id="{4F10B87B-D819-4939-8BE0-71CB16DA71ED}"/>
            </a:ext>
          </a:extLst>
        </xdr:cNvPr>
        <xdr:cNvSpPr txBox="1"/>
      </xdr:nvSpPr>
      <xdr:spPr>
        <a:xfrm>
          <a:off x="15922752" y="3770012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2085</xdr:row>
      <xdr:rowOff>34925</xdr:rowOff>
    </xdr:from>
    <xdr:to>
      <xdr:col>10</xdr:col>
      <xdr:colOff>150622</xdr:colOff>
      <xdr:row>2086</xdr:row>
      <xdr:rowOff>36835</xdr:rowOff>
    </xdr:to>
    <xdr:sp macro="_xll.PtreeEvent_ObjectClick" textlink="">
      <xdr:nvSpPr>
        <xdr:cNvPr id="4137" name="PTObj_DNode_1_1032">
          <a:extLst>
            <a:ext uri="{FF2B5EF4-FFF2-40B4-BE49-F238E27FC236}">
              <a16:creationId xmlns:a16="http://schemas.microsoft.com/office/drawing/2014/main" id="{939B21C3-72FA-492E-B47B-4C72AED290E5}"/>
            </a:ext>
          </a:extLst>
        </xdr:cNvPr>
        <xdr:cNvSpPr/>
      </xdr:nvSpPr>
      <xdr:spPr>
        <a:xfrm>
          <a:off x="18493867" y="377367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2085</xdr:row>
      <xdr:rowOff>36041</xdr:rowOff>
    </xdr:from>
    <xdr:ext cx="514857" cy="180627"/>
    <xdr:sp macro="_xll.PtreeEvent_ObjectClick" textlink="">
      <xdr:nvSpPr>
        <xdr:cNvPr id="4140" name="PTObj_DBranchName_1_1032">
          <a:extLst>
            <a:ext uri="{FF2B5EF4-FFF2-40B4-BE49-F238E27FC236}">
              <a16:creationId xmlns:a16="http://schemas.microsoft.com/office/drawing/2014/main" id="{5B5B4385-3ED6-4642-A4EF-66677F2B1308}"/>
            </a:ext>
          </a:extLst>
        </xdr:cNvPr>
        <xdr:cNvSpPr txBox="1"/>
      </xdr:nvSpPr>
      <xdr:spPr>
        <a:xfrm>
          <a:off x="17344834" y="3773689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2087</xdr:row>
      <xdr:rowOff>38745</xdr:rowOff>
    </xdr:from>
    <xdr:to>
      <xdr:col>11</xdr:col>
      <xdr:colOff>135383</xdr:colOff>
      <xdr:row>2088</xdr:row>
      <xdr:rowOff>40655</xdr:rowOff>
    </xdr:to>
    <xdr:sp macro="_xll.PtreeEvent_ObjectClick" textlink="">
      <xdr:nvSpPr>
        <xdr:cNvPr id="4141" name="PTObj_DNode_1_1033">
          <a:extLst>
            <a:ext uri="{FF2B5EF4-FFF2-40B4-BE49-F238E27FC236}">
              <a16:creationId xmlns:a16="http://schemas.microsoft.com/office/drawing/2014/main" id="{1F69270B-C6E8-4AF6-BCDE-EC7DD40B2595}"/>
            </a:ext>
          </a:extLst>
        </xdr:cNvPr>
        <xdr:cNvSpPr/>
      </xdr:nvSpPr>
      <xdr:spPr>
        <a:xfrm>
          <a:off x="19918807" y="377733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2087</xdr:row>
      <xdr:rowOff>39861</xdr:rowOff>
    </xdr:from>
    <xdr:ext cx="514858" cy="180627"/>
    <xdr:sp macro="_xll.PtreeEvent_ObjectClick" textlink="">
      <xdr:nvSpPr>
        <xdr:cNvPr id="4144" name="PTObj_DBranchName_1_1033">
          <a:extLst>
            <a:ext uri="{FF2B5EF4-FFF2-40B4-BE49-F238E27FC236}">
              <a16:creationId xmlns:a16="http://schemas.microsoft.com/office/drawing/2014/main" id="{A7EE731C-63F7-4BE1-87E1-548C2FCD4393}"/>
            </a:ext>
          </a:extLst>
        </xdr:cNvPr>
        <xdr:cNvSpPr txBox="1"/>
      </xdr:nvSpPr>
      <xdr:spPr>
        <a:xfrm>
          <a:off x="18768820" y="3777346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2089</xdr:row>
      <xdr:rowOff>47305</xdr:rowOff>
    </xdr:from>
    <xdr:to>
      <xdr:col>12</xdr:col>
      <xdr:colOff>132527</xdr:colOff>
      <xdr:row>2090</xdr:row>
      <xdr:rowOff>58735</xdr:rowOff>
    </xdr:to>
    <xdr:sp macro="_xll.PtreeEvent_ObjectClick" textlink="">
      <xdr:nvSpPr>
        <xdr:cNvPr id="4145" name="PTObj_DNode_1_1034">
          <a:extLst>
            <a:ext uri="{FF2B5EF4-FFF2-40B4-BE49-F238E27FC236}">
              <a16:creationId xmlns:a16="http://schemas.microsoft.com/office/drawing/2014/main" id="{C05518D2-AC8D-45CB-9076-7DF662639809}"/>
            </a:ext>
          </a:extLst>
        </xdr:cNvPr>
        <xdr:cNvSpPr/>
      </xdr:nvSpPr>
      <xdr:spPr>
        <a:xfrm rot="-5400000">
          <a:off x="21347557" y="3781012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2089</xdr:row>
      <xdr:rowOff>45586</xdr:rowOff>
    </xdr:from>
    <xdr:ext cx="514858" cy="180627"/>
    <xdr:sp macro="_xll.PtreeEvent_ObjectClick" textlink="">
      <xdr:nvSpPr>
        <xdr:cNvPr id="4148" name="PTObj_DBranchName_1_1034">
          <a:extLst>
            <a:ext uri="{FF2B5EF4-FFF2-40B4-BE49-F238E27FC236}">
              <a16:creationId xmlns:a16="http://schemas.microsoft.com/office/drawing/2014/main" id="{9818D76A-03DB-462C-AAC4-49E9B9602F51}"/>
            </a:ext>
          </a:extLst>
        </xdr:cNvPr>
        <xdr:cNvSpPr txBox="1"/>
      </xdr:nvSpPr>
      <xdr:spPr>
        <a:xfrm>
          <a:off x="20188045" y="3781023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2093</xdr:row>
      <xdr:rowOff>50155</xdr:rowOff>
    </xdr:from>
    <xdr:to>
      <xdr:col>9</xdr:col>
      <xdr:colOff>154432</xdr:colOff>
      <xdr:row>2094</xdr:row>
      <xdr:rowOff>55875</xdr:rowOff>
    </xdr:to>
    <xdr:sp macro="_xll.PtreeEvent_ObjectClick" textlink="">
      <xdr:nvSpPr>
        <xdr:cNvPr id="4149" name="PTObj_DNode_1_1036">
          <a:extLst>
            <a:ext uri="{FF2B5EF4-FFF2-40B4-BE49-F238E27FC236}">
              <a16:creationId xmlns:a16="http://schemas.microsoft.com/office/drawing/2014/main" id="{AF7F71B6-14D7-4F1D-A6FE-CA6A777623C0}"/>
            </a:ext>
          </a:extLst>
        </xdr:cNvPr>
        <xdr:cNvSpPr/>
      </xdr:nvSpPr>
      <xdr:spPr>
        <a:xfrm>
          <a:off x="17068927" y="378830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2093</xdr:row>
      <xdr:rowOff>55106</xdr:rowOff>
    </xdr:from>
    <xdr:ext cx="566520" cy="180627"/>
    <xdr:sp macro="_xll.PtreeEvent_ObjectClick" textlink="">
      <xdr:nvSpPr>
        <xdr:cNvPr id="4152" name="PTObj_DBranchName_1_1036">
          <a:extLst>
            <a:ext uri="{FF2B5EF4-FFF2-40B4-BE49-F238E27FC236}">
              <a16:creationId xmlns:a16="http://schemas.microsoft.com/office/drawing/2014/main" id="{0367C311-1F46-4011-B454-DF410D633477}"/>
            </a:ext>
          </a:extLst>
        </xdr:cNvPr>
        <xdr:cNvSpPr txBox="1"/>
      </xdr:nvSpPr>
      <xdr:spPr>
        <a:xfrm>
          <a:off x="15926563" y="3788357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2095</xdr:row>
      <xdr:rowOff>53975</xdr:rowOff>
    </xdr:from>
    <xdr:to>
      <xdr:col>10</xdr:col>
      <xdr:colOff>150622</xdr:colOff>
      <xdr:row>2096</xdr:row>
      <xdr:rowOff>55885</xdr:rowOff>
    </xdr:to>
    <xdr:sp macro="_xll.PtreeEvent_ObjectClick" textlink="">
      <xdr:nvSpPr>
        <xdr:cNvPr id="4153" name="PTObj_DNode_1_1037">
          <a:extLst>
            <a:ext uri="{FF2B5EF4-FFF2-40B4-BE49-F238E27FC236}">
              <a16:creationId xmlns:a16="http://schemas.microsoft.com/office/drawing/2014/main" id="{4EBE07E1-CF71-4616-B6AD-2B26817F1AD3}"/>
            </a:ext>
          </a:extLst>
        </xdr:cNvPr>
        <xdr:cNvSpPr/>
      </xdr:nvSpPr>
      <xdr:spPr>
        <a:xfrm>
          <a:off x="18493867" y="379196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2095</xdr:row>
      <xdr:rowOff>58901</xdr:rowOff>
    </xdr:from>
    <xdr:ext cx="514857" cy="180627"/>
    <xdr:sp macro="_xll.PtreeEvent_ObjectClick" textlink="">
      <xdr:nvSpPr>
        <xdr:cNvPr id="4156" name="PTObj_DBranchName_1_1037">
          <a:extLst>
            <a:ext uri="{FF2B5EF4-FFF2-40B4-BE49-F238E27FC236}">
              <a16:creationId xmlns:a16="http://schemas.microsoft.com/office/drawing/2014/main" id="{F05DF7E4-33B6-49B9-9D70-79DB5E0EF082}"/>
            </a:ext>
          </a:extLst>
        </xdr:cNvPr>
        <xdr:cNvSpPr txBox="1"/>
      </xdr:nvSpPr>
      <xdr:spPr>
        <a:xfrm>
          <a:off x="17344834" y="3792015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2097</xdr:row>
      <xdr:rowOff>57795</xdr:rowOff>
    </xdr:from>
    <xdr:to>
      <xdr:col>11</xdr:col>
      <xdr:colOff>135383</xdr:colOff>
      <xdr:row>2098</xdr:row>
      <xdr:rowOff>55895</xdr:rowOff>
    </xdr:to>
    <xdr:sp macro="_xll.PtreeEvent_ObjectClick" textlink="">
      <xdr:nvSpPr>
        <xdr:cNvPr id="4157" name="PTObj_DNode_1_1038">
          <a:extLst>
            <a:ext uri="{FF2B5EF4-FFF2-40B4-BE49-F238E27FC236}">
              <a16:creationId xmlns:a16="http://schemas.microsoft.com/office/drawing/2014/main" id="{A14AC7E7-B302-416B-ACB4-2461696C2B47}"/>
            </a:ext>
          </a:extLst>
        </xdr:cNvPr>
        <xdr:cNvSpPr/>
      </xdr:nvSpPr>
      <xdr:spPr>
        <a:xfrm>
          <a:off x="19918807" y="379562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2097</xdr:row>
      <xdr:rowOff>55101</xdr:rowOff>
    </xdr:from>
    <xdr:ext cx="514858" cy="180627"/>
    <xdr:sp macro="_xll.PtreeEvent_ObjectClick" textlink="">
      <xdr:nvSpPr>
        <xdr:cNvPr id="4160" name="PTObj_DBranchName_1_1038">
          <a:extLst>
            <a:ext uri="{FF2B5EF4-FFF2-40B4-BE49-F238E27FC236}">
              <a16:creationId xmlns:a16="http://schemas.microsoft.com/office/drawing/2014/main" id="{578DC8A0-65FF-4A82-AD1A-96E213F57C13}"/>
            </a:ext>
          </a:extLst>
        </xdr:cNvPr>
        <xdr:cNvSpPr txBox="1"/>
      </xdr:nvSpPr>
      <xdr:spPr>
        <a:xfrm>
          <a:off x="18768820" y="3795596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2099</xdr:row>
      <xdr:rowOff>60640</xdr:rowOff>
    </xdr:from>
    <xdr:to>
      <xdr:col>12</xdr:col>
      <xdr:colOff>132527</xdr:colOff>
      <xdr:row>2100</xdr:row>
      <xdr:rowOff>56830</xdr:rowOff>
    </xdr:to>
    <xdr:sp macro="_xll.PtreeEvent_ObjectClick" textlink="">
      <xdr:nvSpPr>
        <xdr:cNvPr id="4161" name="PTObj_DNode_1_1039">
          <a:extLst>
            <a:ext uri="{FF2B5EF4-FFF2-40B4-BE49-F238E27FC236}">
              <a16:creationId xmlns:a16="http://schemas.microsoft.com/office/drawing/2014/main" id="{8CF0EEB7-A361-4763-821F-F5F4C891E12F}"/>
            </a:ext>
          </a:extLst>
        </xdr:cNvPr>
        <xdr:cNvSpPr/>
      </xdr:nvSpPr>
      <xdr:spPr>
        <a:xfrm rot="-5400000">
          <a:off x="21347557" y="3799243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2099</xdr:row>
      <xdr:rowOff>58921</xdr:rowOff>
    </xdr:from>
    <xdr:ext cx="514858" cy="180627"/>
    <xdr:sp macro="_xll.PtreeEvent_ObjectClick" textlink="">
      <xdr:nvSpPr>
        <xdr:cNvPr id="4164" name="PTObj_DBranchName_1_1039">
          <a:extLst>
            <a:ext uri="{FF2B5EF4-FFF2-40B4-BE49-F238E27FC236}">
              <a16:creationId xmlns:a16="http://schemas.microsoft.com/office/drawing/2014/main" id="{29A6FBE2-1D52-4847-A7AB-2C51C87C0DC3}"/>
            </a:ext>
          </a:extLst>
        </xdr:cNvPr>
        <xdr:cNvSpPr txBox="1"/>
      </xdr:nvSpPr>
      <xdr:spPr>
        <a:xfrm>
          <a:off x="20188045" y="3799254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1415542</xdr:colOff>
      <xdr:row>2182</xdr:row>
      <xdr:rowOff>36835</xdr:rowOff>
    </xdr:from>
    <xdr:to>
      <xdr:col>5</xdr:col>
      <xdr:colOff>173483</xdr:colOff>
      <xdr:row>2183</xdr:row>
      <xdr:rowOff>38745</xdr:rowOff>
    </xdr:to>
    <xdr:sp macro="_xll.PtreeEvent_ObjectClick" textlink="">
      <xdr:nvSpPr>
        <xdr:cNvPr id="4165" name="PTObj_DNode_1_1080">
          <a:extLst>
            <a:ext uri="{FF2B5EF4-FFF2-40B4-BE49-F238E27FC236}">
              <a16:creationId xmlns:a16="http://schemas.microsoft.com/office/drawing/2014/main" id="{F264C345-878B-4CAA-A145-F7A83937F1EE}"/>
            </a:ext>
          </a:extLst>
        </xdr:cNvPr>
        <xdr:cNvSpPr/>
      </xdr:nvSpPr>
      <xdr:spPr>
        <a:xfrm>
          <a:off x="11369167" y="394924285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266509</xdr:colOff>
      <xdr:row>2182</xdr:row>
      <xdr:rowOff>37951</xdr:rowOff>
    </xdr:from>
    <xdr:ext cx="566520" cy="180627"/>
    <xdr:sp macro="_xll.PtreeEvent_ObjectClick" textlink="">
      <xdr:nvSpPr>
        <xdr:cNvPr id="4168" name="PTObj_DBranchName_1_1080">
          <a:extLst>
            <a:ext uri="{FF2B5EF4-FFF2-40B4-BE49-F238E27FC236}">
              <a16:creationId xmlns:a16="http://schemas.microsoft.com/office/drawing/2014/main" id="{27EAF100-0573-4235-B8B7-E4412DC00473}"/>
            </a:ext>
          </a:extLst>
        </xdr:cNvPr>
        <xdr:cNvSpPr txBox="1"/>
      </xdr:nvSpPr>
      <xdr:spPr>
        <a:xfrm>
          <a:off x="10220134" y="3949254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1411732</xdr:colOff>
      <xdr:row>2141</xdr:row>
      <xdr:rowOff>141610</xdr:rowOff>
    </xdr:from>
    <xdr:to>
      <xdr:col>6</xdr:col>
      <xdr:colOff>173482</xdr:colOff>
      <xdr:row>2142</xdr:row>
      <xdr:rowOff>132090</xdr:rowOff>
    </xdr:to>
    <xdr:sp macro="_xll.PtreeEvent_ObjectClick" textlink="">
      <xdr:nvSpPr>
        <xdr:cNvPr id="4169" name="PTObj_DNode_1_1060">
          <a:extLst>
            <a:ext uri="{FF2B5EF4-FFF2-40B4-BE49-F238E27FC236}">
              <a16:creationId xmlns:a16="http://schemas.microsoft.com/office/drawing/2014/main" id="{63C03FE9-562C-4A35-A8DE-AED32229B582}"/>
            </a:ext>
          </a:extLst>
        </xdr:cNvPr>
        <xdr:cNvSpPr/>
      </xdr:nvSpPr>
      <xdr:spPr>
        <a:xfrm>
          <a:off x="12794107" y="387609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2141</xdr:row>
      <xdr:rowOff>140821</xdr:rowOff>
    </xdr:from>
    <xdr:ext cx="566520" cy="180627"/>
    <xdr:sp macro="_xll.PtreeEvent_ObjectClick" textlink="">
      <xdr:nvSpPr>
        <xdr:cNvPr id="4172" name="PTObj_DBranchName_1_1060">
          <a:extLst>
            <a:ext uri="{FF2B5EF4-FFF2-40B4-BE49-F238E27FC236}">
              <a16:creationId xmlns:a16="http://schemas.microsoft.com/office/drawing/2014/main" id="{67FCA743-47C6-4817-818E-234336D0FBB3}"/>
            </a:ext>
          </a:extLst>
        </xdr:cNvPr>
        <xdr:cNvSpPr txBox="1"/>
      </xdr:nvSpPr>
      <xdr:spPr>
        <a:xfrm>
          <a:off x="11648885" y="387608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2121</xdr:row>
      <xdr:rowOff>103510</xdr:rowOff>
    </xdr:from>
    <xdr:to>
      <xdr:col>7</xdr:col>
      <xdr:colOff>171577</xdr:colOff>
      <xdr:row>2122</xdr:row>
      <xdr:rowOff>97800</xdr:rowOff>
    </xdr:to>
    <xdr:sp macro="_xll.PtreeEvent_ObjectClick" textlink="">
      <xdr:nvSpPr>
        <xdr:cNvPr id="4173" name="PTObj_DNode_1_1050">
          <a:extLst>
            <a:ext uri="{FF2B5EF4-FFF2-40B4-BE49-F238E27FC236}">
              <a16:creationId xmlns:a16="http://schemas.microsoft.com/office/drawing/2014/main" id="{F5CB0533-ECEF-44E5-A54C-76781D179B4D}"/>
            </a:ext>
          </a:extLst>
        </xdr:cNvPr>
        <xdr:cNvSpPr/>
      </xdr:nvSpPr>
      <xdr:spPr>
        <a:xfrm>
          <a:off x="14219047" y="383951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2121</xdr:row>
      <xdr:rowOff>102721</xdr:rowOff>
    </xdr:from>
    <xdr:ext cx="568424" cy="180627"/>
    <xdr:sp macro="_xll.PtreeEvent_ObjectClick" textlink="">
      <xdr:nvSpPr>
        <xdr:cNvPr id="4176" name="PTObj_DBranchName_1_1050">
          <a:extLst>
            <a:ext uri="{FF2B5EF4-FFF2-40B4-BE49-F238E27FC236}">
              <a16:creationId xmlns:a16="http://schemas.microsoft.com/office/drawing/2014/main" id="{4C67AFEC-8E86-47D6-BC2B-2039CA20A254}"/>
            </a:ext>
          </a:extLst>
        </xdr:cNvPr>
        <xdr:cNvSpPr txBox="1"/>
      </xdr:nvSpPr>
      <xdr:spPr>
        <a:xfrm>
          <a:off x="13072872" y="38395069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2111</xdr:row>
      <xdr:rowOff>84460</xdr:rowOff>
    </xdr:from>
    <xdr:to>
      <xdr:col>8</xdr:col>
      <xdr:colOff>167768</xdr:colOff>
      <xdr:row>2112</xdr:row>
      <xdr:rowOff>92085</xdr:rowOff>
    </xdr:to>
    <xdr:sp macro="_xll.PtreeEvent_ObjectClick" textlink="">
      <xdr:nvSpPr>
        <xdr:cNvPr id="4177" name="PTObj_DNode_1_1045">
          <a:extLst>
            <a:ext uri="{FF2B5EF4-FFF2-40B4-BE49-F238E27FC236}">
              <a16:creationId xmlns:a16="http://schemas.microsoft.com/office/drawing/2014/main" id="{F2750F61-12C3-4140-887B-A2689F5789DB}"/>
            </a:ext>
          </a:extLst>
        </xdr:cNvPr>
        <xdr:cNvSpPr/>
      </xdr:nvSpPr>
      <xdr:spPr>
        <a:xfrm>
          <a:off x="15643988" y="382122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2111</xdr:row>
      <xdr:rowOff>87481</xdr:rowOff>
    </xdr:from>
    <xdr:ext cx="566520" cy="180627"/>
    <xdr:sp macro="_xll.PtreeEvent_ObjectClick" textlink="">
      <xdr:nvSpPr>
        <xdr:cNvPr id="4180" name="PTObj_DBranchName_1_1045">
          <a:extLst>
            <a:ext uri="{FF2B5EF4-FFF2-40B4-BE49-F238E27FC236}">
              <a16:creationId xmlns:a16="http://schemas.microsoft.com/office/drawing/2014/main" id="{CF01FD29-683B-447F-BF15-E912FE697467}"/>
            </a:ext>
          </a:extLst>
        </xdr:cNvPr>
        <xdr:cNvSpPr txBox="1"/>
      </xdr:nvSpPr>
      <xdr:spPr>
        <a:xfrm>
          <a:off x="14500670" y="3821257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2103</xdr:row>
      <xdr:rowOff>69205</xdr:rowOff>
    </xdr:from>
    <xdr:to>
      <xdr:col>9</xdr:col>
      <xdr:colOff>154432</xdr:colOff>
      <xdr:row>2104</xdr:row>
      <xdr:rowOff>59685</xdr:rowOff>
    </xdr:to>
    <xdr:sp macro="_xll.PtreeEvent_ObjectClick" textlink="">
      <xdr:nvSpPr>
        <xdr:cNvPr id="4181" name="PTObj_DNode_1_1041">
          <a:extLst>
            <a:ext uri="{FF2B5EF4-FFF2-40B4-BE49-F238E27FC236}">
              <a16:creationId xmlns:a16="http://schemas.microsoft.com/office/drawing/2014/main" id="{89F92793-9198-4FC7-BC15-6E03951A27D6}"/>
            </a:ext>
          </a:extLst>
        </xdr:cNvPr>
        <xdr:cNvSpPr/>
      </xdr:nvSpPr>
      <xdr:spPr>
        <a:xfrm>
          <a:off x="17068927" y="380659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2103</xdr:row>
      <xdr:rowOff>68441</xdr:rowOff>
    </xdr:from>
    <xdr:ext cx="566519" cy="180627"/>
    <xdr:sp macro="_xll.PtreeEvent_ObjectClick" textlink="">
      <xdr:nvSpPr>
        <xdr:cNvPr id="4184" name="PTObj_DBranchName_1_1041">
          <a:extLst>
            <a:ext uri="{FF2B5EF4-FFF2-40B4-BE49-F238E27FC236}">
              <a16:creationId xmlns:a16="http://schemas.microsoft.com/office/drawing/2014/main" id="{0A6C30F5-F7C6-4524-976C-3D7B5A469D7B}"/>
            </a:ext>
          </a:extLst>
        </xdr:cNvPr>
        <xdr:cNvSpPr txBox="1"/>
      </xdr:nvSpPr>
      <xdr:spPr>
        <a:xfrm>
          <a:off x="15922752" y="3806588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2105</xdr:row>
      <xdr:rowOff>73025</xdr:rowOff>
    </xdr:from>
    <xdr:to>
      <xdr:col>10</xdr:col>
      <xdr:colOff>150622</xdr:colOff>
      <xdr:row>2106</xdr:row>
      <xdr:rowOff>74935</xdr:rowOff>
    </xdr:to>
    <xdr:sp macro="_xll.PtreeEvent_ObjectClick" textlink="">
      <xdr:nvSpPr>
        <xdr:cNvPr id="4185" name="PTObj_DNode_1_1042">
          <a:extLst>
            <a:ext uri="{FF2B5EF4-FFF2-40B4-BE49-F238E27FC236}">
              <a16:creationId xmlns:a16="http://schemas.microsoft.com/office/drawing/2014/main" id="{CB96168E-4BE1-4D98-9463-59A7D4AD58E7}"/>
            </a:ext>
          </a:extLst>
        </xdr:cNvPr>
        <xdr:cNvSpPr/>
      </xdr:nvSpPr>
      <xdr:spPr>
        <a:xfrm>
          <a:off x="18493867" y="381025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2105</xdr:row>
      <xdr:rowOff>74141</xdr:rowOff>
    </xdr:from>
    <xdr:ext cx="514857" cy="180627"/>
    <xdr:sp macro="_xll.PtreeEvent_ObjectClick" textlink="">
      <xdr:nvSpPr>
        <xdr:cNvPr id="4188" name="PTObj_DBranchName_1_1042">
          <a:extLst>
            <a:ext uri="{FF2B5EF4-FFF2-40B4-BE49-F238E27FC236}">
              <a16:creationId xmlns:a16="http://schemas.microsoft.com/office/drawing/2014/main" id="{DD8ADC40-733E-4DFC-B295-1FB1ACDF7D40}"/>
            </a:ext>
          </a:extLst>
        </xdr:cNvPr>
        <xdr:cNvSpPr txBox="1"/>
      </xdr:nvSpPr>
      <xdr:spPr>
        <a:xfrm>
          <a:off x="17344834" y="3810265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2107</xdr:row>
      <xdr:rowOff>76845</xdr:rowOff>
    </xdr:from>
    <xdr:to>
      <xdr:col>11</xdr:col>
      <xdr:colOff>135383</xdr:colOff>
      <xdr:row>2108</xdr:row>
      <xdr:rowOff>78755</xdr:rowOff>
    </xdr:to>
    <xdr:sp macro="_xll.PtreeEvent_ObjectClick" textlink="">
      <xdr:nvSpPr>
        <xdr:cNvPr id="4189" name="PTObj_DNode_1_1043">
          <a:extLst>
            <a:ext uri="{FF2B5EF4-FFF2-40B4-BE49-F238E27FC236}">
              <a16:creationId xmlns:a16="http://schemas.microsoft.com/office/drawing/2014/main" id="{FD45906E-2157-4133-A791-500A82868427}"/>
            </a:ext>
          </a:extLst>
        </xdr:cNvPr>
        <xdr:cNvSpPr/>
      </xdr:nvSpPr>
      <xdr:spPr>
        <a:xfrm>
          <a:off x="19918807" y="381391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2107</xdr:row>
      <xdr:rowOff>77961</xdr:rowOff>
    </xdr:from>
    <xdr:ext cx="514858" cy="180627"/>
    <xdr:sp macro="_xll.PtreeEvent_ObjectClick" textlink="">
      <xdr:nvSpPr>
        <xdr:cNvPr id="4192" name="PTObj_DBranchName_1_1043">
          <a:extLst>
            <a:ext uri="{FF2B5EF4-FFF2-40B4-BE49-F238E27FC236}">
              <a16:creationId xmlns:a16="http://schemas.microsoft.com/office/drawing/2014/main" id="{B034CD70-76A9-4984-9270-BFE6503EEBE2}"/>
            </a:ext>
          </a:extLst>
        </xdr:cNvPr>
        <xdr:cNvSpPr txBox="1"/>
      </xdr:nvSpPr>
      <xdr:spPr>
        <a:xfrm>
          <a:off x="18768820" y="381392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2109</xdr:row>
      <xdr:rowOff>85405</xdr:rowOff>
    </xdr:from>
    <xdr:to>
      <xdr:col>12</xdr:col>
      <xdr:colOff>132527</xdr:colOff>
      <xdr:row>2110</xdr:row>
      <xdr:rowOff>96835</xdr:rowOff>
    </xdr:to>
    <xdr:sp macro="_xll.PtreeEvent_ObjectClick" textlink="">
      <xdr:nvSpPr>
        <xdr:cNvPr id="4193" name="PTObj_DNode_1_1044">
          <a:extLst>
            <a:ext uri="{FF2B5EF4-FFF2-40B4-BE49-F238E27FC236}">
              <a16:creationId xmlns:a16="http://schemas.microsoft.com/office/drawing/2014/main" id="{4F00C769-AA4E-4402-B077-BB1F061A4B92}"/>
            </a:ext>
          </a:extLst>
        </xdr:cNvPr>
        <xdr:cNvSpPr/>
      </xdr:nvSpPr>
      <xdr:spPr>
        <a:xfrm rot="-5400000">
          <a:off x="21347557" y="3817588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2109</xdr:row>
      <xdr:rowOff>83686</xdr:rowOff>
    </xdr:from>
    <xdr:ext cx="514858" cy="180627"/>
    <xdr:sp macro="_xll.PtreeEvent_ObjectClick" textlink="">
      <xdr:nvSpPr>
        <xdr:cNvPr id="4196" name="PTObj_DBranchName_1_1044">
          <a:extLst>
            <a:ext uri="{FF2B5EF4-FFF2-40B4-BE49-F238E27FC236}">
              <a16:creationId xmlns:a16="http://schemas.microsoft.com/office/drawing/2014/main" id="{D3A5C90D-9DEF-4079-9190-E040240E0E2A}"/>
            </a:ext>
          </a:extLst>
        </xdr:cNvPr>
        <xdr:cNvSpPr txBox="1"/>
      </xdr:nvSpPr>
      <xdr:spPr>
        <a:xfrm>
          <a:off x="20188045" y="3817599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2113</xdr:row>
      <xdr:rowOff>88255</xdr:rowOff>
    </xdr:from>
    <xdr:to>
      <xdr:col>9</xdr:col>
      <xdr:colOff>154432</xdr:colOff>
      <xdr:row>2114</xdr:row>
      <xdr:rowOff>93975</xdr:rowOff>
    </xdr:to>
    <xdr:sp macro="_xll.PtreeEvent_ObjectClick" textlink="">
      <xdr:nvSpPr>
        <xdr:cNvPr id="4197" name="PTObj_DNode_1_1046">
          <a:extLst>
            <a:ext uri="{FF2B5EF4-FFF2-40B4-BE49-F238E27FC236}">
              <a16:creationId xmlns:a16="http://schemas.microsoft.com/office/drawing/2014/main" id="{4BFEDBE4-BCD7-48E6-9DB2-5903FA71DC87}"/>
            </a:ext>
          </a:extLst>
        </xdr:cNvPr>
        <xdr:cNvSpPr/>
      </xdr:nvSpPr>
      <xdr:spPr>
        <a:xfrm>
          <a:off x="17068927" y="382488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2113</xdr:row>
      <xdr:rowOff>93206</xdr:rowOff>
    </xdr:from>
    <xdr:ext cx="566520" cy="180627"/>
    <xdr:sp macro="_xll.PtreeEvent_ObjectClick" textlink="">
      <xdr:nvSpPr>
        <xdr:cNvPr id="4200" name="PTObj_DBranchName_1_1046">
          <a:extLst>
            <a:ext uri="{FF2B5EF4-FFF2-40B4-BE49-F238E27FC236}">
              <a16:creationId xmlns:a16="http://schemas.microsoft.com/office/drawing/2014/main" id="{8D3182B4-04B1-47C4-89E5-33463B78E748}"/>
            </a:ext>
          </a:extLst>
        </xdr:cNvPr>
        <xdr:cNvSpPr txBox="1"/>
      </xdr:nvSpPr>
      <xdr:spPr>
        <a:xfrm>
          <a:off x="15926563" y="3824933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2115</xdr:row>
      <xdr:rowOff>92075</xdr:rowOff>
    </xdr:from>
    <xdr:to>
      <xdr:col>10</xdr:col>
      <xdr:colOff>150622</xdr:colOff>
      <xdr:row>2116</xdr:row>
      <xdr:rowOff>93985</xdr:rowOff>
    </xdr:to>
    <xdr:sp macro="_xll.PtreeEvent_ObjectClick" textlink="">
      <xdr:nvSpPr>
        <xdr:cNvPr id="4201" name="PTObj_DNode_1_1047">
          <a:extLst>
            <a:ext uri="{FF2B5EF4-FFF2-40B4-BE49-F238E27FC236}">
              <a16:creationId xmlns:a16="http://schemas.microsoft.com/office/drawing/2014/main" id="{6885F9EC-9041-4DDC-8FAF-81954202B34A}"/>
            </a:ext>
          </a:extLst>
        </xdr:cNvPr>
        <xdr:cNvSpPr/>
      </xdr:nvSpPr>
      <xdr:spPr>
        <a:xfrm>
          <a:off x="18493867" y="382854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2115</xdr:row>
      <xdr:rowOff>97001</xdr:rowOff>
    </xdr:from>
    <xdr:ext cx="514857" cy="180627"/>
    <xdr:sp macro="_xll.PtreeEvent_ObjectClick" textlink="">
      <xdr:nvSpPr>
        <xdr:cNvPr id="4204" name="PTObj_DBranchName_1_1047">
          <a:extLst>
            <a:ext uri="{FF2B5EF4-FFF2-40B4-BE49-F238E27FC236}">
              <a16:creationId xmlns:a16="http://schemas.microsoft.com/office/drawing/2014/main" id="{640B859B-A118-41CA-B1B3-33EBCB5CA2AA}"/>
            </a:ext>
          </a:extLst>
        </xdr:cNvPr>
        <xdr:cNvSpPr txBox="1"/>
      </xdr:nvSpPr>
      <xdr:spPr>
        <a:xfrm>
          <a:off x="17344834" y="3828591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2117</xdr:row>
      <xdr:rowOff>95895</xdr:rowOff>
    </xdr:from>
    <xdr:to>
      <xdr:col>11</xdr:col>
      <xdr:colOff>135383</xdr:colOff>
      <xdr:row>2118</xdr:row>
      <xdr:rowOff>93995</xdr:rowOff>
    </xdr:to>
    <xdr:sp macro="_xll.PtreeEvent_ObjectClick" textlink="">
      <xdr:nvSpPr>
        <xdr:cNvPr id="4205" name="PTObj_DNode_1_1048">
          <a:extLst>
            <a:ext uri="{FF2B5EF4-FFF2-40B4-BE49-F238E27FC236}">
              <a16:creationId xmlns:a16="http://schemas.microsoft.com/office/drawing/2014/main" id="{9C65C9CC-1588-4FF5-9F3B-511DCD6C4F78}"/>
            </a:ext>
          </a:extLst>
        </xdr:cNvPr>
        <xdr:cNvSpPr/>
      </xdr:nvSpPr>
      <xdr:spPr>
        <a:xfrm>
          <a:off x="19918807" y="383219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2117</xdr:row>
      <xdr:rowOff>93201</xdr:rowOff>
    </xdr:from>
    <xdr:ext cx="514858" cy="180627"/>
    <xdr:sp macro="_xll.PtreeEvent_ObjectClick" textlink="">
      <xdr:nvSpPr>
        <xdr:cNvPr id="4208" name="PTObj_DBranchName_1_1048">
          <a:extLst>
            <a:ext uri="{FF2B5EF4-FFF2-40B4-BE49-F238E27FC236}">
              <a16:creationId xmlns:a16="http://schemas.microsoft.com/office/drawing/2014/main" id="{6433E3D6-5032-4AED-AC46-0AC89B182024}"/>
            </a:ext>
          </a:extLst>
        </xdr:cNvPr>
        <xdr:cNvSpPr txBox="1"/>
      </xdr:nvSpPr>
      <xdr:spPr>
        <a:xfrm>
          <a:off x="18768820" y="383217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2119</xdr:row>
      <xdr:rowOff>98740</xdr:rowOff>
    </xdr:from>
    <xdr:to>
      <xdr:col>12</xdr:col>
      <xdr:colOff>132527</xdr:colOff>
      <xdr:row>2120</xdr:row>
      <xdr:rowOff>94930</xdr:rowOff>
    </xdr:to>
    <xdr:sp macro="_xll.PtreeEvent_ObjectClick" textlink="">
      <xdr:nvSpPr>
        <xdr:cNvPr id="4209" name="PTObj_DNode_1_1049">
          <a:extLst>
            <a:ext uri="{FF2B5EF4-FFF2-40B4-BE49-F238E27FC236}">
              <a16:creationId xmlns:a16="http://schemas.microsoft.com/office/drawing/2014/main" id="{F5B6C929-8E2B-4D07-977B-CB8FC0EAEDE5}"/>
            </a:ext>
          </a:extLst>
        </xdr:cNvPr>
        <xdr:cNvSpPr/>
      </xdr:nvSpPr>
      <xdr:spPr>
        <a:xfrm rot="-5400000">
          <a:off x="21347557" y="3835819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2119</xdr:row>
      <xdr:rowOff>97021</xdr:rowOff>
    </xdr:from>
    <xdr:ext cx="514858" cy="180627"/>
    <xdr:sp macro="_xll.PtreeEvent_ObjectClick" textlink="">
      <xdr:nvSpPr>
        <xdr:cNvPr id="4212" name="PTObj_DBranchName_1_1049">
          <a:extLst>
            <a:ext uri="{FF2B5EF4-FFF2-40B4-BE49-F238E27FC236}">
              <a16:creationId xmlns:a16="http://schemas.microsoft.com/office/drawing/2014/main" id="{D656900F-7A63-4C46-BE73-238013270F23}"/>
            </a:ext>
          </a:extLst>
        </xdr:cNvPr>
        <xdr:cNvSpPr txBox="1"/>
      </xdr:nvSpPr>
      <xdr:spPr>
        <a:xfrm>
          <a:off x="20188045" y="383583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2131</xdr:row>
      <xdr:rowOff>122560</xdr:rowOff>
    </xdr:from>
    <xdr:to>
      <xdr:col>8</xdr:col>
      <xdr:colOff>171578</xdr:colOff>
      <xdr:row>2132</xdr:row>
      <xdr:rowOff>133995</xdr:rowOff>
    </xdr:to>
    <xdr:sp macro="_xll.PtreeEvent_ObjectClick" textlink="">
      <xdr:nvSpPr>
        <xdr:cNvPr id="4213" name="PTObj_DNode_1_1055">
          <a:extLst>
            <a:ext uri="{FF2B5EF4-FFF2-40B4-BE49-F238E27FC236}">
              <a16:creationId xmlns:a16="http://schemas.microsoft.com/office/drawing/2014/main" id="{943836A3-829E-4AE3-8620-F0BB4F900E3C}"/>
            </a:ext>
          </a:extLst>
        </xdr:cNvPr>
        <xdr:cNvSpPr/>
      </xdr:nvSpPr>
      <xdr:spPr>
        <a:xfrm>
          <a:off x="15643988" y="385780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2131</xdr:row>
      <xdr:rowOff>125581</xdr:rowOff>
    </xdr:from>
    <xdr:ext cx="566520" cy="180627"/>
    <xdr:sp macro="_xll.PtreeEvent_ObjectClick" textlink="">
      <xdr:nvSpPr>
        <xdr:cNvPr id="4216" name="PTObj_DBranchName_1_1055">
          <a:extLst>
            <a:ext uri="{FF2B5EF4-FFF2-40B4-BE49-F238E27FC236}">
              <a16:creationId xmlns:a16="http://schemas.microsoft.com/office/drawing/2014/main" id="{3465FBC2-8865-4738-9936-5D9044697878}"/>
            </a:ext>
          </a:extLst>
        </xdr:cNvPr>
        <xdr:cNvSpPr txBox="1"/>
      </xdr:nvSpPr>
      <xdr:spPr>
        <a:xfrm>
          <a:off x="14498765" y="3857833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2123</xdr:row>
      <xdr:rowOff>107305</xdr:rowOff>
    </xdr:from>
    <xdr:to>
      <xdr:col>9</xdr:col>
      <xdr:colOff>154432</xdr:colOff>
      <xdr:row>2124</xdr:row>
      <xdr:rowOff>93975</xdr:rowOff>
    </xdr:to>
    <xdr:sp macro="_xll.PtreeEvent_ObjectClick" textlink="">
      <xdr:nvSpPr>
        <xdr:cNvPr id="4217" name="PTObj_DNode_1_1051">
          <a:extLst>
            <a:ext uri="{FF2B5EF4-FFF2-40B4-BE49-F238E27FC236}">
              <a16:creationId xmlns:a16="http://schemas.microsoft.com/office/drawing/2014/main" id="{0FBDEF99-44D1-4743-A5CC-B00CE39EF57A}"/>
            </a:ext>
          </a:extLst>
        </xdr:cNvPr>
        <xdr:cNvSpPr/>
      </xdr:nvSpPr>
      <xdr:spPr>
        <a:xfrm>
          <a:off x="17068927" y="384317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2123</xdr:row>
      <xdr:rowOff>106541</xdr:rowOff>
    </xdr:from>
    <xdr:ext cx="566519" cy="180627"/>
    <xdr:sp macro="_xll.PtreeEvent_ObjectClick" textlink="">
      <xdr:nvSpPr>
        <xdr:cNvPr id="4220" name="PTObj_DBranchName_1_1051">
          <a:extLst>
            <a:ext uri="{FF2B5EF4-FFF2-40B4-BE49-F238E27FC236}">
              <a16:creationId xmlns:a16="http://schemas.microsoft.com/office/drawing/2014/main" id="{22EF05B0-E42E-4DC0-B443-4811542F3CB2}"/>
            </a:ext>
          </a:extLst>
        </xdr:cNvPr>
        <xdr:cNvSpPr txBox="1"/>
      </xdr:nvSpPr>
      <xdr:spPr>
        <a:xfrm>
          <a:off x="15922752" y="3843164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2125</xdr:row>
      <xdr:rowOff>111125</xdr:rowOff>
    </xdr:from>
    <xdr:to>
      <xdr:col>10</xdr:col>
      <xdr:colOff>150622</xdr:colOff>
      <xdr:row>2126</xdr:row>
      <xdr:rowOff>113035</xdr:rowOff>
    </xdr:to>
    <xdr:sp macro="_xll.PtreeEvent_ObjectClick" textlink="">
      <xdr:nvSpPr>
        <xdr:cNvPr id="4221" name="PTObj_DNode_1_1052">
          <a:extLst>
            <a:ext uri="{FF2B5EF4-FFF2-40B4-BE49-F238E27FC236}">
              <a16:creationId xmlns:a16="http://schemas.microsoft.com/office/drawing/2014/main" id="{5CF06473-5C55-49F3-9D2F-B6072BDA6D22}"/>
            </a:ext>
          </a:extLst>
        </xdr:cNvPr>
        <xdr:cNvSpPr/>
      </xdr:nvSpPr>
      <xdr:spPr>
        <a:xfrm>
          <a:off x="18493867" y="384683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2125</xdr:row>
      <xdr:rowOff>112241</xdr:rowOff>
    </xdr:from>
    <xdr:ext cx="514857" cy="180627"/>
    <xdr:sp macro="_xll.PtreeEvent_ObjectClick" textlink="">
      <xdr:nvSpPr>
        <xdr:cNvPr id="4224" name="PTObj_DBranchName_1_1052">
          <a:extLst>
            <a:ext uri="{FF2B5EF4-FFF2-40B4-BE49-F238E27FC236}">
              <a16:creationId xmlns:a16="http://schemas.microsoft.com/office/drawing/2014/main" id="{2703B6C7-778E-4CD6-94D5-F07E6853D321}"/>
            </a:ext>
          </a:extLst>
        </xdr:cNvPr>
        <xdr:cNvSpPr txBox="1"/>
      </xdr:nvSpPr>
      <xdr:spPr>
        <a:xfrm>
          <a:off x="17344834" y="3846841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2127</xdr:row>
      <xdr:rowOff>114945</xdr:rowOff>
    </xdr:from>
    <xdr:to>
      <xdr:col>11</xdr:col>
      <xdr:colOff>131573</xdr:colOff>
      <xdr:row>2128</xdr:row>
      <xdr:rowOff>116855</xdr:rowOff>
    </xdr:to>
    <xdr:sp macro="_xll.PtreeEvent_ObjectClick" textlink="">
      <xdr:nvSpPr>
        <xdr:cNvPr id="4225" name="PTObj_DNode_1_1053">
          <a:extLst>
            <a:ext uri="{FF2B5EF4-FFF2-40B4-BE49-F238E27FC236}">
              <a16:creationId xmlns:a16="http://schemas.microsoft.com/office/drawing/2014/main" id="{2A516F1A-9435-4F28-9504-C57A0B318EA9}"/>
            </a:ext>
          </a:extLst>
        </xdr:cNvPr>
        <xdr:cNvSpPr/>
      </xdr:nvSpPr>
      <xdr:spPr>
        <a:xfrm>
          <a:off x="19918807" y="385048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2127</xdr:row>
      <xdr:rowOff>116061</xdr:rowOff>
    </xdr:from>
    <xdr:ext cx="514858" cy="180627"/>
    <xdr:sp macro="_xll.PtreeEvent_ObjectClick" textlink="">
      <xdr:nvSpPr>
        <xdr:cNvPr id="4228" name="PTObj_DBranchName_1_1053">
          <a:extLst>
            <a:ext uri="{FF2B5EF4-FFF2-40B4-BE49-F238E27FC236}">
              <a16:creationId xmlns:a16="http://schemas.microsoft.com/office/drawing/2014/main" id="{0592C3D8-5C36-425E-BFEA-3235943979AD}"/>
            </a:ext>
          </a:extLst>
        </xdr:cNvPr>
        <xdr:cNvSpPr txBox="1"/>
      </xdr:nvSpPr>
      <xdr:spPr>
        <a:xfrm>
          <a:off x="18768820" y="385049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2129</xdr:row>
      <xdr:rowOff>123505</xdr:rowOff>
    </xdr:from>
    <xdr:to>
      <xdr:col>12</xdr:col>
      <xdr:colOff>136337</xdr:colOff>
      <xdr:row>2130</xdr:row>
      <xdr:rowOff>131125</xdr:rowOff>
    </xdr:to>
    <xdr:sp macro="_xll.PtreeEvent_ObjectClick" textlink="">
      <xdr:nvSpPr>
        <xdr:cNvPr id="4229" name="PTObj_DNode_1_1054">
          <a:extLst>
            <a:ext uri="{FF2B5EF4-FFF2-40B4-BE49-F238E27FC236}">
              <a16:creationId xmlns:a16="http://schemas.microsoft.com/office/drawing/2014/main" id="{9A964A3A-2685-4323-9ABC-76DE2C8FBD0F}"/>
            </a:ext>
          </a:extLst>
        </xdr:cNvPr>
        <xdr:cNvSpPr/>
      </xdr:nvSpPr>
      <xdr:spPr>
        <a:xfrm rot="-5400000">
          <a:off x="21347557" y="3854164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2129</xdr:row>
      <xdr:rowOff>121786</xdr:rowOff>
    </xdr:from>
    <xdr:ext cx="514858" cy="180627"/>
    <xdr:sp macro="_xll.PtreeEvent_ObjectClick" textlink="">
      <xdr:nvSpPr>
        <xdr:cNvPr id="4232" name="PTObj_DBranchName_1_1054">
          <a:extLst>
            <a:ext uri="{FF2B5EF4-FFF2-40B4-BE49-F238E27FC236}">
              <a16:creationId xmlns:a16="http://schemas.microsoft.com/office/drawing/2014/main" id="{981B1C30-F124-4830-9325-9EF9B746C33F}"/>
            </a:ext>
          </a:extLst>
        </xdr:cNvPr>
        <xdr:cNvSpPr txBox="1"/>
      </xdr:nvSpPr>
      <xdr:spPr>
        <a:xfrm>
          <a:off x="20188045" y="385417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2133</xdr:row>
      <xdr:rowOff>126355</xdr:rowOff>
    </xdr:from>
    <xdr:to>
      <xdr:col>9</xdr:col>
      <xdr:colOff>154432</xdr:colOff>
      <xdr:row>2134</xdr:row>
      <xdr:rowOff>135885</xdr:rowOff>
    </xdr:to>
    <xdr:sp macro="_xll.PtreeEvent_ObjectClick" textlink="">
      <xdr:nvSpPr>
        <xdr:cNvPr id="4233" name="PTObj_DNode_1_1056">
          <a:extLst>
            <a:ext uri="{FF2B5EF4-FFF2-40B4-BE49-F238E27FC236}">
              <a16:creationId xmlns:a16="http://schemas.microsoft.com/office/drawing/2014/main" id="{1AEABB7B-BDD6-43FD-9766-D9D1232D92C4}"/>
            </a:ext>
          </a:extLst>
        </xdr:cNvPr>
        <xdr:cNvSpPr/>
      </xdr:nvSpPr>
      <xdr:spPr>
        <a:xfrm>
          <a:off x="17068927" y="386146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2133</xdr:row>
      <xdr:rowOff>131306</xdr:rowOff>
    </xdr:from>
    <xdr:ext cx="566520" cy="180627"/>
    <xdr:sp macro="_xll.PtreeEvent_ObjectClick" textlink="">
      <xdr:nvSpPr>
        <xdr:cNvPr id="4236" name="PTObj_DBranchName_1_1056">
          <a:extLst>
            <a:ext uri="{FF2B5EF4-FFF2-40B4-BE49-F238E27FC236}">
              <a16:creationId xmlns:a16="http://schemas.microsoft.com/office/drawing/2014/main" id="{CD653EE9-480A-487F-9D12-B2A5265F9F2D}"/>
            </a:ext>
          </a:extLst>
        </xdr:cNvPr>
        <xdr:cNvSpPr txBox="1"/>
      </xdr:nvSpPr>
      <xdr:spPr>
        <a:xfrm>
          <a:off x="15926563" y="3861509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2135</xdr:row>
      <xdr:rowOff>130175</xdr:rowOff>
    </xdr:from>
    <xdr:to>
      <xdr:col>10</xdr:col>
      <xdr:colOff>150622</xdr:colOff>
      <xdr:row>2136</xdr:row>
      <xdr:rowOff>135895</xdr:rowOff>
    </xdr:to>
    <xdr:sp macro="_xll.PtreeEvent_ObjectClick" textlink="">
      <xdr:nvSpPr>
        <xdr:cNvPr id="4237" name="PTObj_DNode_1_1057">
          <a:extLst>
            <a:ext uri="{FF2B5EF4-FFF2-40B4-BE49-F238E27FC236}">
              <a16:creationId xmlns:a16="http://schemas.microsoft.com/office/drawing/2014/main" id="{8398328D-E682-49A3-A208-5895999EAB2B}"/>
            </a:ext>
          </a:extLst>
        </xdr:cNvPr>
        <xdr:cNvSpPr/>
      </xdr:nvSpPr>
      <xdr:spPr>
        <a:xfrm>
          <a:off x="18493867" y="386511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2135</xdr:row>
      <xdr:rowOff>135101</xdr:rowOff>
    </xdr:from>
    <xdr:ext cx="514857" cy="180627"/>
    <xdr:sp macro="_xll.PtreeEvent_ObjectClick" textlink="">
      <xdr:nvSpPr>
        <xdr:cNvPr id="4240" name="PTObj_DBranchName_1_1057">
          <a:extLst>
            <a:ext uri="{FF2B5EF4-FFF2-40B4-BE49-F238E27FC236}">
              <a16:creationId xmlns:a16="http://schemas.microsoft.com/office/drawing/2014/main" id="{4B4F3DAC-5A22-4DB3-93F0-C17592E48588}"/>
            </a:ext>
          </a:extLst>
        </xdr:cNvPr>
        <xdr:cNvSpPr txBox="1"/>
      </xdr:nvSpPr>
      <xdr:spPr>
        <a:xfrm>
          <a:off x="17344834" y="3865167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2137</xdr:row>
      <xdr:rowOff>133995</xdr:rowOff>
    </xdr:from>
    <xdr:to>
      <xdr:col>11</xdr:col>
      <xdr:colOff>131573</xdr:colOff>
      <xdr:row>2138</xdr:row>
      <xdr:rowOff>135905</xdr:rowOff>
    </xdr:to>
    <xdr:sp macro="_xll.PtreeEvent_ObjectClick" textlink="">
      <xdr:nvSpPr>
        <xdr:cNvPr id="4241" name="PTObj_DNode_1_1058">
          <a:extLst>
            <a:ext uri="{FF2B5EF4-FFF2-40B4-BE49-F238E27FC236}">
              <a16:creationId xmlns:a16="http://schemas.microsoft.com/office/drawing/2014/main" id="{F8E4FE29-D438-4821-BDEC-6026879FE57F}"/>
            </a:ext>
          </a:extLst>
        </xdr:cNvPr>
        <xdr:cNvSpPr/>
      </xdr:nvSpPr>
      <xdr:spPr>
        <a:xfrm>
          <a:off x="19918807" y="386877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2137</xdr:row>
      <xdr:rowOff>131301</xdr:rowOff>
    </xdr:from>
    <xdr:ext cx="514858" cy="180627"/>
    <xdr:sp macro="_xll.PtreeEvent_ObjectClick" textlink="">
      <xdr:nvSpPr>
        <xdr:cNvPr id="4244" name="PTObj_DBranchName_1_1058">
          <a:extLst>
            <a:ext uri="{FF2B5EF4-FFF2-40B4-BE49-F238E27FC236}">
              <a16:creationId xmlns:a16="http://schemas.microsoft.com/office/drawing/2014/main" id="{8966CFAD-B8DA-40FE-B2D4-E3CEB7EA32FE}"/>
            </a:ext>
          </a:extLst>
        </xdr:cNvPr>
        <xdr:cNvSpPr txBox="1"/>
      </xdr:nvSpPr>
      <xdr:spPr>
        <a:xfrm>
          <a:off x="18768820" y="386874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2139</xdr:row>
      <xdr:rowOff>136840</xdr:rowOff>
    </xdr:from>
    <xdr:to>
      <xdr:col>12</xdr:col>
      <xdr:colOff>136337</xdr:colOff>
      <xdr:row>2140</xdr:row>
      <xdr:rowOff>136840</xdr:rowOff>
    </xdr:to>
    <xdr:sp macro="_xll.PtreeEvent_ObjectClick" textlink="">
      <xdr:nvSpPr>
        <xdr:cNvPr id="4245" name="PTObj_DNode_1_1059">
          <a:extLst>
            <a:ext uri="{FF2B5EF4-FFF2-40B4-BE49-F238E27FC236}">
              <a16:creationId xmlns:a16="http://schemas.microsoft.com/office/drawing/2014/main" id="{2D7F2470-B29D-4948-814F-41C44FA44889}"/>
            </a:ext>
          </a:extLst>
        </xdr:cNvPr>
        <xdr:cNvSpPr/>
      </xdr:nvSpPr>
      <xdr:spPr>
        <a:xfrm rot="-5400000">
          <a:off x="21347557" y="3872395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2139</xdr:row>
      <xdr:rowOff>135121</xdr:rowOff>
    </xdr:from>
    <xdr:ext cx="514858" cy="180627"/>
    <xdr:sp macro="_xll.PtreeEvent_ObjectClick" textlink="">
      <xdr:nvSpPr>
        <xdr:cNvPr id="4248" name="PTObj_DBranchName_1_1059">
          <a:extLst>
            <a:ext uri="{FF2B5EF4-FFF2-40B4-BE49-F238E27FC236}">
              <a16:creationId xmlns:a16="http://schemas.microsoft.com/office/drawing/2014/main" id="{87EF95C6-3268-4FB6-BA58-80593F2D10E6}"/>
            </a:ext>
          </a:extLst>
        </xdr:cNvPr>
        <xdr:cNvSpPr txBox="1"/>
      </xdr:nvSpPr>
      <xdr:spPr>
        <a:xfrm>
          <a:off x="20188045" y="387240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2161</xdr:row>
      <xdr:rowOff>179710</xdr:rowOff>
    </xdr:from>
    <xdr:to>
      <xdr:col>7</xdr:col>
      <xdr:colOff>167767</xdr:colOff>
      <xdr:row>2163</xdr:row>
      <xdr:rowOff>645</xdr:rowOff>
    </xdr:to>
    <xdr:sp macro="_xll.PtreeEvent_ObjectClick" textlink="">
      <xdr:nvSpPr>
        <xdr:cNvPr id="4249" name="PTObj_DNode_1_1070">
          <a:extLst>
            <a:ext uri="{FF2B5EF4-FFF2-40B4-BE49-F238E27FC236}">
              <a16:creationId xmlns:a16="http://schemas.microsoft.com/office/drawing/2014/main" id="{CC5F910F-1976-401B-B6BA-69AB8954E1F5}"/>
            </a:ext>
          </a:extLst>
        </xdr:cNvPr>
        <xdr:cNvSpPr/>
      </xdr:nvSpPr>
      <xdr:spPr>
        <a:xfrm>
          <a:off x="14219047" y="391266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2161</xdr:row>
      <xdr:rowOff>178921</xdr:rowOff>
    </xdr:from>
    <xdr:ext cx="566520" cy="180627"/>
    <xdr:sp macro="_xll.PtreeEvent_ObjectClick" textlink="">
      <xdr:nvSpPr>
        <xdr:cNvPr id="4252" name="PTObj_DBranchName_1_1070">
          <a:extLst>
            <a:ext uri="{FF2B5EF4-FFF2-40B4-BE49-F238E27FC236}">
              <a16:creationId xmlns:a16="http://schemas.microsoft.com/office/drawing/2014/main" id="{48ADAD73-5FD7-44E9-8D36-33336056BB5F}"/>
            </a:ext>
          </a:extLst>
        </xdr:cNvPr>
        <xdr:cNvSpPr txBox="1"/>
      </xdr:nvSpPr>
      <xdr:spPr>
        <a:xfrm>
          <a:off x="13074777" y="391265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2151</xdr:row>
      <xdr:rowOff>160660</xdr:rowOff>
    </xdr:from>
    <xdr:to>
      <xdr:col>8</xdr:col>
      <xdr:colOff>171578</xdr:colOff>
      <xdr:row>2152</xdr:row>
      <xdr:rowOff>172095</xdr:rowOff>
    </xdr:to>
    <xdr:sp macro="_xll.PtreeEvent_ObjectClick" textlink="">
      <xdr:nvSpPr>
        <xdr:cNvPr id="4253" name="PTObj_DNode_1_1065">
          <a:extLst>
            <a:ext uri="{FF2B5EF4-FFF2-40B4-BE49-F238E27FC236}">
              <a16:creationId xmlns:a16="http://schemas.microsoft.com/office/drawing/2014/main" id="{62634FB5-3AC8-4256-B9AA-6A541077F8B9}"/>
            </a:ext>
          </a:extLst>
        </xdr:cNvPr>
        <xdr:cNvSpPr/>
      </xdr:nvSpPr>
      <xdr:spPr>
        <a:xfrm>
          <a:off x="15643988" y="389437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2151</xdr:row>
      <xdr:rowOff>163681</xdr:rowOff>
    </xdr:from>
    <xdr:ext cx="566520" cy="180627"/>
    <xdr:sp macro="_xll.PtreeEvent_ObjectClick" textlink="">
      <xdr:nvSpPr>
        <xdr:cNvPr id="4256" name="PTObj_DBranchName_1_1065">
          <a:extLst>
            <a:ext uri="{FF2B5EF4-FFF2-40B4-BE49-F238E27FC236}">
              <a16:creationId xmlns:a16="http://schemas.microsoft.com/office/drawing/2014/main" id="{3B8FC211-DF72-4F87-B1BB-A238EACA0001}"/>
            </a:ext>
          </a:extLst>
        </xdr:cNvPr>
        <xdr:cNvSpPr txBox="1"/>
      </xdr:nvSpPr>
      <xdr:spPr>
        <a:xfrm>
          <a:off x="14500670" y="389440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2143</xdr:row>
      <xdr:rowOff>145405</xdr:rowOff>
    </xdr:from>
    <xdr:to>
      <xdr:col>9</xdr:col>
      <xdr:colOff>154432</xdr:colOff>
      <xdr:row>2144</xdr:row>
      <xdr:rowOff>132075</xdr:rowOff>
    </xdr:to>
    <xdr:sp macro="_xll.PtreeEvent_ObjectClick" textlink="">
      <xdr:nvSpPr>
        <xdr:cNvPr id="4257" name="PTObj_DNode_1_1061">
          <a:extLst>
            <a:ext uri="{FF2B5EF4-FFF2-40B4-BE49-F238E27FC236}">
              <a16:creationId xmlns:a16="http://schemas.microsoft.com/office/drawing/2014/main" id="{3530681E-3EF7-40B3-B8BA-3C706B56627A}"/>
            </a:ext>
          </a:extLst>
        </xdr:cNvPr>
        <xdr:cNvSpPr/>
      </xdr:nvSpPr>
      <xdr:spPr>
        <a:xfrm>
          <a:off x="17068927" y="387974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2143</xdr:row>
      <xdr:rowOff>144641</xdr:rowOff>
    </xdr:from>
    <xdr:ext cx="566519" cy="180627"/>
    <xdr:sp macro="_xll.PtreeEvent_ObjectClick" textlink="">
      <xdr:nvSpPr>
        <xdr:cNvPr id="4260" name="PTObj_DBranchName_1_1061">
          <a:extLst>
            <a:ext uri="{FF2B5EF4-FFF2-40B4-BE49-F238E27FC236}">
              <a16:creationId xmlns:a16="http://schemas.microsoft.com/office/drawing/2014/main" id="{B9ABE141-8B5E-494C-82D1-77932D167066}"/>
            </a:ext>
          </a:extLst>
        </xdr:cNvPr>
        <xdr:cNvSpPr txBox="1"/>
      </xdr:nvSpPr>
      <xdr:spPr>
        <a:xfrm>
          <a:off x="15922752" y="3879740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2145</xdr:row>
      <xdr:rowOff>149225</xdr:rowOff>
    </xdr:from>
    <xdr:to>
      <xdr:col>10</xdr:col>
      <xdr:colOff>150622</xdr:colOff>
      <xdr:row>2146</xdr:row>
      <xdr:rowOff>151135</xdr:rowOff>
    </xdr:to>
    <xdr:sp macro="_xll.PtreeEvent_ObjectClick" textlink="">
      <xdr:nvSpPr>
        <xdr:cNvPr id="4261" name="PTObj_DNode_1_1062">
          <a:extLst>
            <a:ext uri="{FF2B5EF4-FFF2-40B4-BE49-F238E27FC236}">
              <a16:creationId xmlns:a16="http://schemas.microsoft.com/office/drawing/2014/main" id="{26094560-6B76-4909-965C-F3F4D454BB3A}"/>
            </a:ext>
          </a:extLst>
        </xdr:cNvPr>
        <xdr:cNvSpPr/>
      </xdr:nvSpPr>
      <xdr:spPr>
        <a:xfrm>
          <a:off x="18493867" y="388340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2145</xdr:row>
      <xdr:rowOff>150341</xdr:rowOff>
    </xdr:from>
    <xdr:ext cx="514857" cy="180627"/>
    <xdr:sp macro="_xll.PtreeEvent_ObjectClick" textlink="">
      <xdr:nvSpPr>
        <xdr:cNvPr id="4264" name="PTObj_DBranchName_1_1062">
          <a:extLst>
            <a:ext uri="{FF2B5EF4-FFF2-40B4-BE49-F238E27FC236}">
              <a16:creationId xmlns:a16="http://schemas.microsoft.com/office/drawing/2014/main" id="{8E71CC4B-B299-437C-83E3-8F3006959458}"/>
            </a:ext>
          </a:extLst>
        </xdr:cNvPr>
        <xdr:cNvSpPr txBox="1"/>
      </xdr:nvSpPr>
      <xdr:spPr>
        <a:xfrm>
          <a:off x="17344834" y="3883417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2147</xdr:row>
      <xdr:rowOff>153045</xdr:rowOff>
    </xdr:from>
    <xdr:to>
      <xdr:col>11</xdr:col>
      <xdr:colOff>131573</xdr:colOff>
      <xdr:row>2148</xdr:row>
      <xdr:rowOff>154955</xdr:rowOff>
    </xdr:to>
    <xdr:sp macro="_xll.PtreeEvent_ObjectClick" textlink="">
      <xdr:nvSpPr>
        <xdr:cNvPr id="4265" name="PTObj_DNode_1_1063">
          <a:extLst>
            <a:ext uri="{FF2B5EF4-FFF2-40B4-BE49-F238E27FC236}">
              <a16:creationId xmlns:a16="http://schemas.microsoft.com/office/drawing/2014/main" id="{2CBC7D83-D918-4D77-A92E-D3576C52B4C4}"/>
            </a:ext>
          </a:extLst>
        </xdr:cNvPr>
        <xdr:cNvSpPr/>
      </xdr:nvSpPr>
      <xdr:spPr>
        <a:xfrm>
          <a:off x="19918807" y="388706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2147</xdr:row>
      <xdr:rowOff>154161</xdr:rowOff>
    </xdr:from>
    <xdr:ext cx="514858" cy="180627"/>
    <xdr:sp macro="_xll.PtreeEvent_ObjectClick" textlink="">
      <xdr:nvSpPr>
        <xdr:cNvPr id="4268" name="PTObj_DBranchName_1_1063">
          <a:extLst>
            <a:ext uri="{FF2B5EF4-FFF2-40B4-BE49-F238E27FC236}">
              <a16:creationId xmlns:a16="http://schemas.microsoft.com/office/drawing/2014/main" id="{7649C2C7-C969-446A-A41E-B4CED3C81030}"/>
            </a:ext>
          </a:extLst>
        </xdr:cNvPr>
        <xdr:cNvSpPr txBox="1"/>
      </xdr:nvSpPr>
      <xdr:spPr>
        <a:xfrm>
          <a:off x="18768820" y="388707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2149</xdr:row>
      <xdr:rowOff>161605</xdr:rowOff>
    </xdr:from>
    <xdr:to>
      <xdr:col>12</xdr:col>
      <xdr:colOff>136337</xdr:colOff>
      <xdr:row>2150</xdr:row>
      <xdr:rowOff>169225</xdr:rowOff>
    </xdr:to>
    <xdr:sp macro="_xll.PtreeEvent_ObjectClick" textlink="">
      <xdr:nvSpPr>
        <xdr:cNvPr id="4269" name="PTObj_DNode_1_1064">
          <a:extLst>
            <a:ext uri="{FF2B5EF4-FFF2-40B4-BE49-F238E27FC236}">
              <a16:creationId xmlns:a16="http://schemas.microsoft.com/office/drawing/2014/main" id="{8587A151-21DC-4F01-907A-37DF6177DA09}"/>
            </a:ext>
          </a:extLst>
        </xdr:cNvPr>
        <xdr:cNvSpPr/>
      </xdr:nvSpPr>
      <xdr:spPr>
        <a:xfrm rot="-5400000">
          <a:off x="21347557" y="3890740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2149</xdr:row>
      <xdr:rowOff>159886</xdr:rowOff>
    </xdr:from>
    <xdr:ext cx="514858" cy="180627"/>
    <xdr:sp macro="_xll.PtreeEvent_ObjectClick" textlink="">
      <xdr:nvSpPr>
        <xdr:cNvPr id="4272" name="PTObj_DBranchName_1_1064">
          <a:extLst>
            <a:ext uri="{FF2B5EF4-FFF2-40B4-BE49-F238E27FC236}">
              <a16:creationId xmlns:a16="http://schemas.microsoft.com/office/drawing/2014/main" id="{27D9A6D7-78D0-4E19-93FB-A3236AB1ABE6}"/>
            </a:ext>
          </a:extLst>
        </xdr:cNvPr>
        <xdr:cNvSpPr txBox="1"/>
      </xdr:nvSpPr>
      <xdr:spPr>
        <a:xfrm>
          <a:off x="20188045" y="3890751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2153</xdr:row>
      <xdr:rowOff>164455</xdr:rowOff>
    </xdr:from>
    <xdr:to>
      <xdr:col>9</xdr:col>
      <xdr:colOff>154432</xdr:colOff>
      <xdr:row>2154</xdr:row>
      <xdr:rowOff>173985</xdr:rowOff>
    </xdr:to>
    <xdr:sp macro="_xll.PtreeEvent_ObjectClick" textlink="">
      <xdr:nvSpPr>
        <xdr:cNvPr id="4273" name="PTObj_DNode_1_1066">
          <a:extLst>
            <a:ext uri="{FF2B5EF4-FFF2-40B4-BE49-F238E27FC236}">
              <a16:creationId xmlns:a16="http://schemas.microsoft.com/office/drawing/2014/main" id="{12B2C405-03C1-48CA-9331-74A54C0E8F11}"/>
            </a:ext>
          </a:extLst>
        </xdr:cNvPr>
        <xdr:cNvSpPr/>
      </xdr:nvSpPr>
      <xdr:spPr>
        <a:xfrm>
          <a:off x="17068927" y="389803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2153</xdr:row>
      <xdr:rowOff>169406</xdr:rowOff>
    </xdr:from>
    <xdr:ext cx="566520" cy="180627"/>
    <xdr:sp macro="_xll.PtreeEvent_ObjectClick" textlink="">
      <xdr:nvSpPr>
        <xdr:cNvPr id="4276" name="PTObj_DBranchName_1_1066">
          <a:extLst>
            <a:ext uri="{FF2B5EF4-FFF2-40B4-BE49-F238E27FC236}">
              <a16:creationId xmlns:a16="http://schemas.microsoft.com/office/drawing/2014/main" id="{560BED0F-3288-41FC-928F-A8CB4FFF7BF7}"/>
            </a:ext>
          </a:extLst>
        </xdr:cNvPr>
        <xdr:cNvSpPr txBox="1"/>
      </xdr:nvSpPr>
      <xdr:spPr>
        <a:xfrm>
          <a:off x="15926563" y="3898085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2155</xdr:row>
      <xdr:rowOff>168275</xdr:rowOff>
    </xdr:from>
    <xdr:to>
      <xdr:col>10</xdr:col>
      <xdr:colOff>150622</xdr:colOff>
      <xdr:row>2156</xdr:row>
      <xdr:rowOff>173995</xdr:rowOff>
    </xdr:to>
    <xdr:sp macro="_xll.PtreeEvent_ObjectClick" textlink="">
      <xdr:nvSpPr>
        <xdr:cNvPr id="4277" name="PTObj_DNode_1_1067">
          <a:extLst>
            <a:ext uri="{FF2B5EF4-FFF2-40B4-BE49-F238E27FC236}">
              <a16:creationId xmlns:a16="http://schemas.microsoft.com/office/drawing/2014/main" id="{79540810-0DB2-435A-AA81-4A0C8EC01FFB}"/>
            </a:ext>
          </a:extLst>
        </xdr:cNvPr>
        <xdr:cNvSpPr/>
      </xdr:nvSpPr>
      <xdr:spPr>
        <a:xfrm>
          <a:off x="18493867" y="390169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2155</xdr:row>
      <xdr:rowOff>173201</xdr:rowOff>
    </xdr:from>
    <xdr:ext cx="514857" cy="180627"/>
    <xdr:sp macro="_xll.PtreeEvent_ObjectClick" textlink="">
      <xdr:nvSpPr>
        <xdr:cNvPr id="4280" name="PTObj_DBranchName_1_1067">
          <a:extLst>
            <a:ext uri="{FF2B5EF4-FFF2-40B4-BE49-F238E27FC236}">
              <a16:creationId xmlns:a16="http://schemas.microsoft.com/office/drawing/2014/main" id="{2DA38776-B1D3-4666-AEA2-DBEC36C6F190}"/>
            </a:ext>
          </a:extLst>
        </xdr:cNvPr>
        <xdr:cNvSpPr txBox="1"/>
      </xdr:nvSpPr>
      <xdr:spPr>
        <a:xfrm>
          <a:off x="17344834" y="3901743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2157</xdr:row>
      <xdr:rowOff>172095</xdr:rowOff>
    </xdr:from>
    <xdr:to>
      <xdr:col>11</xdr:col>
      <xdr:colOff>131573</xdr:colOff>
      <xdr:row>2158</xdr:row>
      <xdr:rowOff>174005</xdr:rowOff>
    </xdr:to>
    <xdr:sp macro="_xll.PtreeEvent_ObjectClick" textlink="">
      <xdr:nvSpPr>
        <xdr:cNvPr id="4281" name="PTObj_DNode_1_1068">
          <a:extLst>
            <a:ext uri="{FF2B5EF4-FFF2-40B4-BE49-F238E27FC236}">
              <a16:creationId xmlns:a16="http://schemas.microsoft.com/office/drawing/2014/main" id="{2725164B-2BF4-4A5B-93B2-03AF1642A953}"/>
            </a:ext>
          </a:extLst>
        </xdr:cNvPr>
        <xdr:cNvSpPr/>
      </xdr:nvSpPr>
      <xdr:spPr>
        <a:xfrm>
          <a:off x="19918807" y="390535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2157</xdr:row>
      <xdr:rowOff>169401</xdr:rowOff>
    </xdr:from>
    <xdr:ext cx="514858" cy="180627"/>
    <xdr:sp macro="_xll.PtreeEvent_ObjectClick" textlink="">
      <xdr:nvSpPr>
        <xdr:cNvPr id="4284" name="PTObj_DBranchName_1_1068">
          <a:extLst>
            <a:ext uri="{FF2B5EF4-FFF2-40B4-BE49-F238E27FC236}">
              <a16:creationId xmlns:a16="http://schemas.microsoft.com/office/drawing/2014/main" id="{8A57279B-08A0-4823-A02E-47B81DB003B7}"/>
            </a:ext>
          </a:extLst>
        </xdr:cNvPr>
        <xdr:cNvSpPr txBox="1"/>
      </xdr:nvSpPr>
      <xdr:spPr>
        <a:xfrm>
          <a:off x="18768820" y="3905324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2159</xdr:row>
      <xdr:rowOff>174940</xdr:rowOff>
    </xdr:from>
    <xdr:to>
      <xdr:col>12</xdr:col>
      <xdr:colOff>136337</xdr:colOff>
      <xdr:row>2160</xdr:row>
      <xdr:rowOff>174940</xdr:rowOff>
    </xdr:to>
    <xdr:sp macro="_xll.PtreeEvent_ObjectClick" textlink="">
      <xdr:nvSpPr>
        <xdr:cNvPr id="4285" name="PTObj_DNode_1_1069">
          <a:extLst>
            <a:ext uri="{FF2B5EF4-FFF2-40B4-BE49-F238E27FC236}">
              <a16:creationId xmlns:a16="http://schemas.microsoft.com/office/drawing/2014/main" id="{62A687FC-8CEA-42FA-B437-ACA31207FC6D}"/>
            </a:ext>
          </a:extLst>
        </xdr:cNvPr>
        <xdr:cNvSpPr/>
      </xdr:nvSpPr>
      <xdr:spPr>
        <a:xfrm rot="-5400000">
          <a:off x="21347557" y="3908971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2159</xdr:row>
      <xdr:rowOff>173221</xdr:rowOff>
    </xdr:from>
    <xdr:ext cx="514858" cy="180627"/>
    <xdr:sp macro="_xll.PtreeEvent_ObjectClick" textlink="">
      <xdr:nvSpPr>
        <xdr:cNvPr id="4288" name="PTObj_DBranchName_1_1069">
          <a:extLst>
            <a:ext uri="{FF2B5EF4-FFF2-40B4-BE49-F238E27FC236}">
              <a16:creationId xmlns:a16="http://schemas.microsoft.com/office/drawing/2014/main" id="{0B89BD82-5F15-4003-9277-674250CD1603}"/>
            </a:ext>
          </a:extLst>
        </xdr:cNvPr>
        <xdr:cNvSpPr txBox="1"/>
      </xdr:nvSpPr>
      <xdr:spPr>
        <a:xfrm>
          <a:off x="20188045" y="3908982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2172</xdr:row>
      <xdr:rowOff>17785</xdr:rowOff>
    </xdr:from>
    <xdr:to>
      <xdr:col>8</xdr:col>
      <xdr:colOff>167768</xdr:colOff>
      <xdr:row>2173</xdr:row>
      <xdr:rowOff>19695</xdr:rowOff>
    </xdr:to>
    <xdr:sp macro="_xll.PtreeEvent_ObjectClick" textlink="">
      <xdr:nvSpPr>
        <xdr:cNvPr id="4289" name="PTObj_DNode_1_1075">
          <a:extLst>
            <a:ext uri="{FF2B5EF4-FFF2-40B4-BE49-F238E27FC236}">
              <a16:creationId xmlns:a16="http://schemas.microsoft.com/office/drawing/2014/main" id="{5C505799-5152-42E1-98C2-B40B8945794F}"/>
            </a:ext>
          </a:extLst>
        </xdr:cNvPr>
        <xdr:cNvSpPr/>
      </xdr:nvSpPr>
      <xdr:spPr>
        <a:xfrm>
          <a:off x="15643988" y="393095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2172</xdr:row>
      <xdr:rowOff>22711</xdr:rowOff>
    </xdr:from>
    <xdr:ext cx="566520" cy="180627"/>
    <xdr:sp macro="_xll.PtreeEvent_ObjectClick" textlink="">
      <xdr:nvSpPr>
        <xdr:cNvPr id="4292" name="PTObj_DBranchName_1_1075">
          <a:extLst>
            <a:ext uri="{FF2B5EF4-FFF2-40B4-BE49-F238E27FC236}">
              <a16:creationId xmlns:a16="http://schemas.microsoft.com/office/drawing/2014/main" id="{E24CBAAA-6485-44FC-B2B0-F8777C5C7BDE}"/>
            </a:ext>
          </a:extLst>
        </xdr:cNvPr>
        <xdr:cNvSpPr txBox="1"/>
      </xdr:nvSpPr>
      <xdr:spPr>
        <a:xfrm>
          <a:off x="14498765" y="393100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2164</xdr:row>
      <xdr:rowOff>2530</xdr:rowOff>
    </xdr:from>
    <xdr:to>
      <xdr:col>9</xdr:col>
      <xdr:colOff>154432</xdr:colOff>
      <xdr:row>2165</xdr:row>
      <xdr:rowOff>15870</xdr:rowOff>
    </xdr:to>
    <xdr:sp macro="_xll.PtreeEvent_ObjectClick" textlink="">
      <xdr:nvSpPr>
        <xdr:cNvPr id="4293" name="PTObj_DNode_1_1071">
          <a:extLst>
            <a:ext uri="{FF2B5EF4-FFF2-40B4-BE49-F238E27FC236}">
              <a16:creationId xmlns:a16="http://schemas.microsoft.com/office/drawing/2014/main" id="{A0BA214F-32F1-4BB2-AC04-06D4CC95EE14}"/>
            </a:ext>
          </a:extLst>
        </xdr:cNvPr>
        <xdr:cNvSpPr/>
      </xdr:nvSpPr>
      <xdr:spPr>
        <a:xfrm>
          <a:off x="17068927" y="391632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2164</xdr:row>
      <xdr:rowOff>3671</xdr:rowOff>
    </xdr:from>
    <xdr:ext cx="566519" cy="180627"/>
    <xdr:sp macro="_xll.PtreeEvent_ObjectClick" textlink="">
      <xdr:nvSpPr>
        <xdr:cNvPr id="4296" name="PTObj_DBranchName_1_1071">
          <a:extLst>
            <a:ext uri="{FF2B5EF4-FFF2-40B4-BE49-F238E27FC236}">
              <a16:creationId xmlns:a16="http://schemas.microsoft.com/office/drawing/2014/main" id="{C28A92F1-5128-4776-A0C3-008E934C9759}"/>
            </a:ext>
          </a:extLst>
        </xdr:cNvPr>
        <xdr:cNvSpPr txBox="1"/>
      </xdr:nvSpPr>
      <xdr:spPr>
        <a:xfrm>
          <a:off x="15922752" y="3916335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2166</xdr:row>
      <xdr:rowOff>6350</xdr:rowOff>
    </xdr:from>
    <xdr:to>
      <xdr:col>10</xdr:col>
      <xdr:colOff>150622</xdr:colOff>
      <xdr:row>2167</xdr:row>
      <xdr:rowOff>19690</xdr:rowOff>
    </xdr:to>
    <xdr:sp macro="_xll.PtreeEvent_ObjectClick" textlink="">
      <xdr:nvSpPr>
        <xdr:cNvPr id="4297" name="PTObj_DNode_1_1072">
          <a:extLst>
            <a:ext uri="{FF2B5EF4-FFF2-40B4-BE49-F238E27FC236}">
              <a16:creationId xmlns:a16="http://schemas.microsoft.com/office/drawing/2014/main" id="{E59E5267-D7C7-4DA4-9C30-172AAA466502}"/>
            </a:ext>
          </a:extLst>
        </xdr:cNvPr>
        <xdr:cNvSpPr/>
      </xdr:nvSpPr>
      <xdr:spPr>
        <a:xfrm>
          <a:off x="18493867" y="391998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2166</xdr:row>
      <xdr:rowOff>9371</xdr:rowOff>
    </xdr:from>
    <xdr:ext cx="514857" cy="180627"/>
    <xdr:sp macro="_xll.PtreeEvent_ObjectClick" textlink="">
      <xdr:nvSpPr>
        <xdr:cNvPr id="4300" name="PTObj_DBranchName_1_1072">
          <a:extLst>
            <a:ext uri="{FF2B5EF4-FFF2-40B4-BE49-F238E27FC236}">
              <a16:creationId xmlns:a16="http://schemas.microsoft.com/office/drawing/2014/main" id="{B8F65FE5-E730-45B3-ADA1-66446EF4026C}"/>
            </a:ext>
          </a:extLst>
        </xdr:cNvPr>
        <xdr:cNvSpPr txBox="1"/>
      </xdr:nvSpPr>
      <xdr:spPr>
        <a:xfrm>
          <a:off x="17344834" y="3920012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2168</xdr:row>
      <xdr:rowOff>10170</xdr:rowOff>
    </xdr:from>
    <xdr:to>
      <xdr:col>11</xdr:col>
      <xdr:colOff>135383</xdr:colOff>
      <xdr:row>2169</xdr:row>
      <xdr:rowOff>15890</xdr:rowOff>
    </xdr:to>
    <xdr:sp macro="_xll.PtreeEvent_ObjectClick" textlink="">
      <xdr:nvSpPr>
        <xdr:cNvPr id="4301" name="PTObj_DNode_1_1073">
          <a:extLst>
            <a:ext uri="{FF2B5EF4-FFF2-40B4-BE49-F238E27FC236}">
              <a16:creationId xmlns:a16="http://schemas.microsoft.com/office/drawing/2014/main" id="{02A3AD5E-238E-4E1C-AA8F-FDF0FE21AE4B}"/>
            </a:ext>
          </a:extLst>
        </xdr:cNvPr>
        <xdr:cNvSpPr/>
      </xdr:nvSpPr>
      <xdr:spPr>
        <a:xfrm>
          <a:off x="19918807" y="392363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2168</xdr:row>
      <xdr:rowOff>13191</xdr:rowOff>
    </xdr:from>
    <xdr:ext cx="514858" cy="180627"/>
    <xdr:sp macro="_xll.PtreeEvent_ObjectClick" textlink="">
      <xdr:nvSpPr>
        <xdr:cNvPr id="4304" name="PTObj_DBranchName_1_1073">
          <a:extLst>
            <a:ext uri="{FF2B5EF4-FFF2-40B4-BE49-F238E27FC236}">
              <a16:creationId xmlns:a16="http://schemas.microsoft.com/office/drawing/2014/main" id="{DD830558-B55A-406C-BB22-6C0E41B17D89}"/>
            </a:ext>
          </a:extLst>
        </xdr:cNvPr>
        <xdr:cNvSpPr txBox="1"/>
      </xdr:nvSpPr>
      <xdr:spPr>
        <a:xfrm>
          <a:off x="18768820" y="3923669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2170</xdr:row>
      <xdr:rowOff>20635</xdr:rowOff>
    </xdr:from>
    <xdr:to>
      <xdr:col>12</xdr:col>
      <xdr:colOff>132527</xdr:colOff>
      <xdr:row>2171</xdr:row>
      <xdr:rowOff>16825</xdr:rowOff>
    </xdr:to>
    <xdr:sp macro="_xll.PtreeEvent_ObjectClick" textlink="">
      <xdr:nvSpPr>
        <xdr:cNvPr id="4305" name="PTObj_DNode_1_1074">
          <a:extLst>
            <a:ext uri="{FF2B5EF4-FFF2-40B4-BE49-F238E27FC236}">
              <a16:creationId xmlns:a16="http://schemas.microsoft.com/office/drawing/2014/main" id="{BCEDD683-F236-4A54-A1B6-39C15CD1D7C4}"/>
            </a:ext>
          </a:extLst>
        </xdr:cNvPr>
        <xdr:cNvSpPr/>
      </xdr:nvSpPr>
      <xdr:spPr>
        <a:xfrm rot="-5400000">
          <a:off x="21347557" y="3927335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2170</xdr:row>
      <xdr:rowOff>18916</xdr:rowOff>
    </xdr:from>
    <xdr:ext cx="514858" cy="180627"/>
    <xdr:sp macro="_xll.PtreeEvent_ObjectClick" textlink="">
      <xdr:nvSpPr>
        <xdr:cNvPr id="4308" name="PTObj_DBranchName_1_1074">
          <a:extLst>
            <a:ext uri="{FF2B5EF4-FFF2-40B4-BE49-F238E27FC236}">
              <a16:creationId xmlns:a16="http://schemas.microsoft.com/office/drawing/2014/main" id="{C7E3BDD6-E7F6-4D8A-88D1-C92BCB79C9C3}"/>
            </a:ext>
          </a:extLst>
        </xdr:cNvPr>
        <xdr:cNvSpPr txBox="1"/>
      </xdr:nvSpPr>
      <xdr:spPr>
        <a:xfrm>
          <a:off x="20188045" y="3927346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2174</xdr:row>
      <xdr:rowOff>21580</xdr:rowOff>
    </xdr:from>
    <xdr:to>
      <xdr:col>9</xdr:col>
      <xdr:colOff>154432</xdr:colOff>
      <xdr:row>2175</xdr:row>
      <xdr:rowOff>19680</xdr:rowOff>
    </xdr:to>
    <xdr:sp macro="_xll.PtreeEvent_ObjectClick" textlink="">
      <xdr:nvSpPr>
        <xdr:cNvPr id="4309" name="PTObj_DNode_1_1076">
          <a:extLst>
            <a:ext uri="{FF2B5EF4-FFF2-40B4-BE49-F238E27FC236}">
              <a16:creationId xmlns:a16="http://schemas.microsoft.com/office/drawing/2014/main" id="{2F511E18-B2A0-4F7F-BCB6-27192DA1B939}"/>
            </a:ext>
          </a:extLst>
        </xdr:cNvPr>
        <xdr:cNvSpPr/>
      </xdr:nvSpPr>
      <xdr:spPr>
        <a:xfrm>
          <a:off x="17068927" y="393461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2174</xdr:row>
      <xdr:rowOff>18911</xdr:rowOff>
    </xdr:from>
    <xdr:ext cx="566520" cy="180627"/>
    <xdr:sp macro="_xll.PtreeEvent_ObjectClick" textlink="">
      <xdr:nvSpPr>
        <xdr:cNvPr id="4312" name="PTObj_DBranchName_1_1076">
          <a:extLst>
            <a:ext uri="{FF2B5EF4-FFF2-40B4-BE49-F238E27FC236}">
              <a16:creationId xmlns:a16="http://schemas.microsoft.com/office/drawing/2014/main" id="{7A496D80-7A3E-4689-8726-46FFC967B11E}"/>
            </a:ext>
          </a:extLst>
        </xdr:cNvPr>
        <xdr:cNvSpPr txBox="1"/>
      </xdr:nvSpPr>
      <xdr:spPr>
        <a:xfrm>
          <a:off x="15926563" y="3934585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2176</xdr:row>
      <xdr:rowOff>25400</xdr:rowOff>
    </xdr:from>
    <xdr:to>
      <xdr:col>10</xdr:col>
      <xdr:colOff>150622</xdr:colOff>
      <xdr:row>2177</xdr:row>
      <xdr:rowOff>21595</xdr:rowOff>
    </xdr:to>
    <xdr:sp macro="_xll.PtreeEvent_ObjectClick" textlink="">
      <xdr:nvSpPr>
        <xdr:cNvPr id="4313" name="PTObj_DNode_1_1077">
          <a:extLst>
            <a:ext uri="{FF2B5EF4-FFF2-40B4-BE49-F238E27FC236}">
              <a16:creationId xmlns:a16="http://schemas.microsoft.com/office/drawing/2014/main" id="{BCED718F-6783-473C-8B04-BAA960392B71}"/>
            </a:ext>
          </a:extLst>
        </xdr:cNvPr>
        <xdr:cNvSpPr/>
      </xdr:nvSpPr>
      <xdr:spPr>
        <a:xfrm>
          <a:off x="18493867" y="393827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2176</xdr:row>
      <xdr:rowOff>22706</xdr:rowOff>
    </xdr:from>
    <xdr:ext cx="514857" cy="180627"/>
    <xdr:sp macro="_xll.PtreeEvent_ObjectClick" textlink="">
      <xdr:nvSpPr>
        <xdr:cNvPr id="4316" name="PTObj_DBranchName_1_1077">
          <a:extLst>
            <a:ext uri="{FF2B5EF4-FFF2-40B4-BE49-F238E27FC236}">
              <a16:creationId xmlns:a16="http://schemas.microsoft.com/office/drawing/2014/main" id="{21D6A1F9-8CA8-4FF0-9B7C-91D8453D1D03}"/>
            </a:ext>
          </a:extLst>
        </xdr:cNvPr>
        <xdr:cNvSpPr txBox="1"/>
      </xdr:nvSpPr>
      <xdr:spPr>
        <a:xfrm>
          <a:off x="17344834" y="3938243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2178</xdr:row>
      <xdr:rowOff>29220</xdr:rowOff>
    </xdr:from>
    <xdr:to>
      <xdr:col>11</xdr:col>
      <xdr:colOff>135383</xdr:colOff>
      <xdr:row>2179</xdr:row>
      <xdr:rowOff>17795</xdr:rowOff>
    </xdr:to>
    <xdr:sp macro="_xll.PtreeEvent_ObjectClick" textlink="">
      <xdr:nvSpPr>
        <xdr:cNvPr id="4317" name="PTObj_DNode_1_1078">
          <a:extLst>
            <a:ext uri="{FF2B5EF4-FFF2-40B4-BE49-F238E27FC236}">
              <a16:creationId xmlns:a16="http://schemas.microsoft.com/office/drawing/2014/main" id="{4F301A6B-9563-4D93-9497-C331F52C9848}"/>
            </a:ext>
          </a:extLst>
        </xdr:cNvPr>
        <xdr:cNvSpPr/>
      </xdr:nvSpPr>
      <xdr:spPr>
        <a:xfrm>
          <a:off x="19918807" y="394192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2178</xdr:row>
      <xdr:rowOff>28431</xdr:rowOff>
    </xdr:from>
    <xdr:ext cx="514858" cy="180627"/>
    <xdr:sp macro="_xll.PtreeEvent_ObjectClick" textlink="">
      <xdr:nvSpPr>
        <xdr:cNvPr id="4320" name="PTObj_DBranchName_1_1078">
          <a:extLst>
            <a:ext uri="{FF2B5EF4-FFF2-40B4-BE49-F238E27FC236}">
              <a16:creationId xmlns:a16="http://schemas.microsoft.com/office/drawing/2014/main" id="{93588C43-9A38-40B1-A737-78F8DDD0EABC}"/>
            </a:ext>
          </a:extLst>
        </xdr:cNvPr>
        <xdr:cNvSpPr txBox="1"/>
      </xdr:nvSpPr>
      <xdr:spPr>
        <a:xfrm>
          <a:off x="18768820" y="3941919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2180</xdr:row>
      <xdr:rowOff>34922</xdr:rowOff>
    </xdr:from>
    <xdr:to>
      <xdr:col>12</xdr:col>
      <xdr:colOff>135385</xdr:colOff>
      <xdr:row>2181</xdr:row>
      <xdr:rowOff>21587</xdr:rowOff>
    </xdr:to>
    <xdr:sp macro="_xll.PtreeEvent_ObjectClick" textlink="">
      <xdr:nvSpPr>
        <xdr:cNvPr id="4321" name="PTObj_DNode_1_1079">
          <a:extLst>
            <a:ext uri="{FF2B5EF4-FFF2-40B4-BE49-F238E27FC236}">
              <a16:creationId xmlns:a16="http://schemas.microsoft.com/office/drawing/2014/main" id="{7E3FEB2C-038B-4848-8E6B-10075934F424}"/>
            </a:ext>
          </a:extLst>
        </xdr:cNvPr>
        <xdr:cNvSpPr/>
      </xdr:nvSpPr>
      <xdr:spPr>
        <a:xfrm rot="-5400000">
          <a:off x="21347557" y="3945566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2180</xdr:row>
      <xdr:rowOff>32251</xdr:rowOff>
    </xdr:from>
    <xdr:ext cx="514858" cy="180627"/>
    <xdr:sp macro="_xll.PtreeEvent_ObjectClick" textlink="">
      <xdr:nvSpPr>
        <xdr:cNvPr id="4324" name="PTObj_DBranchName_1_1079">
          <a:extLst>
            <a:ext uri="{FF2B5EF4-FFF2-40B4-BE49-F238E27FC236}">
              <a16:creationId xmlns:a16="http://schemas.microsoft.com/office/drawing/2014/main" id="{A13BDAD6-C481-4840-B031-498BDD3F53CF}"/>
            </a:ext>
          </a:extLst>
        </xdr:cNvPr>
        <xdr:cNvSpPr txBox="1"/>
      </xdr:nvSpPr>
      <xdr:spPr>
        <a:xfrm>
          <a:off x="20188045" y="3945577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2222</xdr:row>
      <xdr:rowOff>113035</xdr:rowOff>
    </xdr:from>
    <xdr:to>
      <xdr:col>6</xdr:col>
      <xdr:colOff>169672</xdr:colOff>
      <xdr:row>2223</xdr:row>
      <xdr:rowOff>114945</xdr:rowOff>
    </xdr:to>
    <xdr:sp macro="_xll.PtreeEvent_ObjectClick" textlink="">
      <xdr:nvSpPr>
        <xdr:cNvPr id="4325" name="PTObj_DNode_1_1100">
          <a:extLst>
            <a:ext uri="{FF2B5EF4-FFF2-40B4-BE49-F238E27FC236}">
              <a16:creationId xmlns:a16="http://schemas.microsoft.com/office/drawing/2014/main" id="{1767756D-021F-44B3-A694-582B90CDF529}"/>
            </a:ext>
          </a:extLst>
        </xdr:cNvPr>
        <xdr:cNvSpPr/>
      </xdr:nvSpPr>
      <xdr:spPr>
        <a:xfrm>
          <a:off x="12794107" y="402239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2222</xdr:row>
      <xdr:rowOff>114151</xdr:rowOff>
    </xdr:from>
    <xdr:ext cx="566520" cy="180627"/>
    <xdr:sp macro="_xll.PtreeEvent_ObjectClick" textlink="">
      <xdr:nvSpPr>
        <xdr:cNvPr id="4328" name="PTObj_DBranchName_1_1100">
          <a:extLst>
            <a:ext uri="{FF2B5EF4-FFF2-40B4-BE49-F238E27FC236}">
              <a16:creationId xmlns:a16="http://schemas.microsoft.com/office/drawing/2014/main" id="{9E135607-6DD5-499F-A78F-DA94FE618C49}"/>
            </a:ext>
          </a:extLst>
        </xdr:cNvPr>
        <xdr:cNvSpPr txBox="1"/>
      </xdr:nvSpPr>
      <xdr:spPr>
        <a:xfrm>
          <a:off x="11646980" y="4022406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2202</xdr:row>
      <xdr:rowOff>74935</xdr:rowOff>
    </xdr:from>
    <xdr:to>
      <xdr:col>7</xdr:col>
      <xdr:colOff>167767</xdr:colOff>
      <xdr:row>2203</xdr:row>
      <xdr:rowOff>76845</xdr:rowOff>
    </xdr:to>
    <xdr:sp macro="_xll.PtreeEvent_ObjectClick" textlink="">
      <xdr:nvSpPr>
        <xdr:cNvPr id="4329" name="PTObj_DNode_1_1090">
          <a:extLst>
            <a:ext uri="{FF2B5EF4-FFF2-40B4-BE49-F238E27FC236}">
              <a16:creationId xmlns:a16="http://schemas.microsoft.com/office/drawing/2014/main" id="{19E881B8-44EE-4AA3-8DF1-6CCCC3B49457}"/>
            </a:ext>
          </a:extLst>
        </xdr:cNvPr>
        <xdr:cNvSpPr/>
      </xdr:nvSpPr>
      <xdr:spPr>
        <a:xfrm>
          <a:off x="14219047" y="398581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2202</xdr:row>
      <xdr:rowOff>76051</xdr:rowOff>
    </xdr:from>
    <xdr:ext cx="568424" cy="180627"/>
    <xdr:sp macro="_xll.PtreeEvent_ObjectClick" textlink="">
      <xdr:nvSpPr>
        <xdr:cNvPr id="4332" name="PTObj_DBranchName_1_1090">
          <a:extLst>
            <a:ext uri="{FF2B5EF4-FFF2-40B4-BE49-F238E27FC236}">
              <a16:creationId xmlns:a16="http://schemas.microsoft.com/office/drawing/2014/main" id="{45C9D9D7-3D45-4B66-9A00-422B07CC3247}"/>
            </a:ext>
          </a:extLst>
        </xdr:cNvPr>
        <xdr:cNvSpPr txBox="1"/>
      </xdr:nvSpPr>
      <xdr:spPr>
        <a:xfrm>
          <a:off x="13072872" y="39858300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2192</xdr:row>
      <xdr:rowOff>55885</xdr:rowOff>
    </xdr:from>
    <xdr:to>
      <xdr:col>8</xdr:col>
      <xdr:colOff>171578</xdr:colOff>
      <xdr:row>2193</xdr:row>
      <xdr:rowOff>53985</xdr:rowOff>
    </xdr:to>
    <xdr:sp macro="_xll.PtreeEvent_ObjectClick" textlink="">
      <xdr:nvSpPr>
        <xdr:cNvPr id="4333" name="PTObj_DNode_1_1085">
          <a:extLst>
            <a:ext uri="{FF2B5EF4-FFF2-40B4-BE49-F238E27FC236}">
              <a16:creationId xmlns:a16="http://schemas.microsoft.com/office/drawing/2014/main" id="{568AD3B2-A5B4-4E7E-A69C-9AEC8947CE43}"/>
            </a:ext>
          </a:extLst>
        </xdr:cNvPr>
        <xdr:cNvSpPr/>
      </xdr:nvSpPr>
      <xdr:spPr>
        <a:xfrm>
          <a:off x="15643988" y="396753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2192</xdr:row>
      <xdr:rowOff>60811</xdr:rowOff>
    </xdr:from>
    <xdr:ext cx="566520" cy="180627"/>
    <xdr:sp macro="_xll.PtreeEvent_ObjectClick" textlink="">
      <xdr:nvSpPr>
        <xdr:cNvPr id="4336" name="PTObj_DBranchName_1_1085">
          <a:extLst>
            <a:ext uri="{FF2B5EF4-FFF2-40B4-BE49-F238E27FC236}">
              <a16:creationId xmlns:a16="http://schemas.microsoft.com/office/drawing/2014/main" id="{F6F301F5-A3F2-4236-8801-151F92C59092}"/>
            </a:ext>
          </a:extLst>
        </xdr:cNvPr>
        <xdr:cNvSpPr txBox="1"/>
      </xdr:nvSpPr>
      <xdr:spPr>
        <a:xfrm>
          <a:off x="14500670" y="3967580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2184</xdr:row>
      <xdr:rowOff>40630</xdr:rowOff>
    </xdr:from>
    <xdr:to>
      <xdr:col>9</xdr:col>
      <xdr:colOff>154432</xdr:colOff>
      <xdr:row>2185</xdr:row>
      <xdr:rowOff>57780</xdr:rowOff>
    </xdr:to>
    <xdr:sp macro="_xll.PtreeEvent_ObjectClick" textlink="">
      <xdr:nvSpPr>
        <xdr:cNvPr id="4337" name="PTObj_DNode_1_1081">
          <a:extLst>
            <a:ext uri="{FF2B5EF4-FFF2-40B4-BE49-F238E27FC236}">
              <a16:creationId xmlns:a16="http://schemas.microsoft.com/office/drawing/2014/main" id="{C9A7A421-BA58-46CF-9E99-90013A6C540A}"/>
            </a:ext>
          </a:extLst>
        </xdr:cNvPr>
        <xdr:cNvSpPr/>
      </xdr:nvSpPr>
      <xdr:spPr>
        <a:xfrm>
          <a:off x="17068927" y="395290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2184</xdr:row>
      <xdr:rowOff>41771</xdr:rowOff>
    </xdr:from>
    <xdr:ext cx="566519" cy="180627"/>
    <xdr:sp macro="_xll.PtreeEvent_ObjectClick" textlink="">
      <xdr:nvSpPr>
        <xdr:cNvPr id="4340" name="PTObj_DBranchName_1_1081">
          <a:extLst>
            <a:ext uri="{FF2B5EF4-FFF2-40B4-BE49-F238E27FC236}">
              <a16:creationId xmlns:a16="http://schemas.microsoft.com/office/drawing/2014/main" id="{8F3073F0-B8AA-44B4-AA93-900B08208602}"/>
            </a:ext>
          </a:extLst>
        </xdr:cNvPr>
        <xdr:cNvSpPr txBox="1"/>
      </xdr:nvSpPr>
      <xdr:spPr>
        <a:xfrm>
          <a:off x="15922752" y="3952911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2186</xdr:row>
      <xdr:rowOff>44450</xdr:rowOff>
    </xdr:from>
    <xdr:to>
      <xdr:col>10</xdr:col>
      <xdr:colOff>150622</xdr:colOff>
      <xdr:row>2187</xdr:row>
      <xdr:rowOff>53980</xdr:rowOff>
    </xdr:to>
    <xdr:sp macro="_xll.PtreeEvent_ObjectClick" textlink="">
      <xdr:nvSpPr>
        <xdr:cNvPr id="4341" name="PTObj_DNode_1_1082">
          <a:extLst>
            <a:ext uri="{FF2B5EF4-FFF2-40B4-BE49-F238E27FC236}">
              <a16:creationId xmlns:a16="http://schemas.microsoft.com/office/drawing/2014/main" id="{ACC62C0A-9312-40C5-81EC-D47818E1A4BE}"/>
            </a:ext>
          </a:extLst>
        </xdr:cNvPr>
        <xdr:cNvSpPr/>
      </xdr:nvSpPr>
      <xdr:spPr>
        <a:xfrm>
          <a:off x="18493867" y="395655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2186</xdr:row>
      <xdr:rowOff>47471</xdr:rowOff>
    </xdr:from>
    <xdr:ext cx="514857" cy="180627"/>
    <xdr:sp macro="_xll.PtreeEvent_ObjectClick" textlink="">
      <xdr:nvSpPr>
        <xdr:cNvPr id="4344" name="PTObj_DBranchName_1_1082">
          <a:extLst>
            <a:ext uri="{FF2B5EF4-FFF2-40B4-BE49-F238E27FC236}">
              <a16:creationId xmlns:a16="http://schemas.microsoft.com/office/drawing/2014/main" id="{F891CE59-AF27-4DF7-B0D3-E61387DB2965}"/>
            </a:ext>
          </a:extLst>
        </xdr:cNvPr>
        <xdr:cNvSpPr txBox="1"/>
      </xdr:nvSpPr>
      <xdr:spPr>
        <a:xfrm>
          <a:off x="17344834" y="3956588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2188</xdr:row>
      <xdr:rowOff>48270</xdr:rowOff>
    </xdr:from>
    <xdr:to>
      <xdr:col>11</xdr:col>
      <xdr:colOff>131573</xdr:colOff>
      <xdr:row>2189</xdr:row>
      <xdr:rowOff>57800</xdr:rowOff>
    </xdr:to>
    <xdr:sp macro="_xll.PtreeEvent_ObjectClick" textlink="">
      <xdr:nvSpPr>
        <xdr:cNvPr id="4345" name="PTObj_DNode_1_1083">
          <a:extLst>
            <a:ext uri="{FF2B5EF4-FFF2-40B4-BE49-F238E27FC236}">
              <a16:creationId xmlns:a16="http://schemas.microsoft.com/office/drawing/2014/main" id="{3BB815CD-890B-4632-B439-461C6DFB470B}"/>
            </a:ext>
          </a:extLst>
        </xdr:cNvPr>
        <xdr:cNvSpPr/>
      </xdr:nvSpPr>
      <xdr:spPr>
        <a:xfrm>
          <a:off x="19918807" y="396021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2188</xdr:row>
      <xdr:rowOff>51291</xdr:rowOff>
    </xdr:from>
    <xdr:ext cx="514858" cy="180627"/>
    <xdr:sp macro="_xll.PtreeEvent_ObjectClick" textlink="">
      <xdr:nvSpPr>
        <xdr:cNvPr id="4348" name="PTObj_DBranchName_1_1083">
          <a:extLst>
            <a:ext uri="{FF2B5EF4-FFF2-40B4-BE49-F238E27FC236}">
              <a16:creationId xmlns:a16="http://schemas.microsoft.com/office/drawing/2014/main" id="{25A3AA20-CEF4-4416-A54E-1A4B5FB2771D}"/>
            </a:ext>
          </a:extLst>
        </xdr:cNvPr>
        <xdr:cNvSpPr txBox="1"/>
      </xdr:nvSpPr>
      <xdr:spPr>
        <a:xfrm>
          <a:off x="18768820" y="3960245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2190</xdr:row>
      <xdr:rowOff>58735</xdr:rowOff>
    </xdr:from>
    <xdr:to>
      <xdr:col>12</xdr:col>
      <xdr:colOff>136337</xdr:colOff>
      <xdr:row>2191</xdr:row>
      <xdr:rowOff>58735</xdr:rowOff>
    </xdr:to>
    <xdr:sp macro="_xll.PtreeEvent_ObjectClick" textlink="">
      <xdr:nvSpPr>
        <xdr:cNvPr id="4349" name="PTObj_DNode_1_1084">
          <a:extLst>
            <a:ext uri="{FF2B5EF4-FFF2-40B4-BE49-F238E27FC236}">
              <a16:creationId xmlns:a16="http://schemas.microsoft.com/office/drawing/2014/main" id="{CD25B43C-2DB8-4254-9872-33AF3938DE5C}"/>
            </a:ext>
          </a:extLst>
        </xdr:cNvPr>
        <xdr:cNvSpPr/>
      </xdr:nvSpPr>
      <xdr:spPr>
        <a:xfrm rot="-5400000">
          <a:off x="21347557" y="3963911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2190</xdr:row>
      <xdr:rowOff>57016</xdr:rowOff>
    </xdr:from>
    <xdr:ext cx="514858" cy="180627"/>
    <xdr:sp macro="_xll.PtreeEvent_ObjectClick" textlink="">
      <xdr:nvSpPr>
        <xdr:cNvPr id="4352" name="PTObj_DBranchName_1_1084">
          <a:extLst>
            <a:ext uri="{FF2B5EF4-FFF2-40B4-BE49-F238E27FC236}">
              <a16:creationId xmlns:a16="http://schemas.microsoft.com/office/drawing/2014/main" id="{D01BF7B3-8C3E-416D-B9BA-711041C89A36}"/>
            </a:ext>
          </a:extLst>
        </xdr:cNvPr>
        <xdr:cNvSpPr txBox="1"/>
      </xdr:nvSpPr>
      <xdr:spPr>
        <a:xfrm>
          <a:off x="20188045" y="3963922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2194</xdr:row>
      <xdr:rowOff>59680</xdr:rowOff>
    </xdr:from>
    <xdr:to>
      <xdr:col>9</xdr:col>
      <xdr:colOff>154432</xdr:colOff>
      <xdr:row>2195</xdr:row>
      <xdr:rowOff>53970</xdr:rowOff>
    </xdr:to>
    <xdr:sp macro="_xll.PtreeEvent_ObjectClick" textlink="">
      <xdr:nvSpPr>
        <xdr:cNvPr id="4353" name="PTObj_DNode_1_1086">
          <a:extLst>
            <a:ext uri="{FF2B5EF4-FFF2-40B4-BE49-F238E27FC236}">
              <a16:creationId xmlns:a16="http://schemas.microsoft.com/office/drawing/2014/main" id="{02BE0054-3F9C-4645-B805-1A2A43406024}"/>
            </a:ext>
          </a:extLst>
        </xdr:cNvPr>
        <xdr:cNvSpPr/>
      </xdr:nvSpPr>
      <xdr:spPr>
        <a:xfrm>
          <a:off x="17068927" y="397118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2194</xdr:row>
      <xdr:rowOff>57011</xdr:rowOff>
    </xdr:from>
    <xdr:ext cx="566520" cy="180627"/>
    <xdr:sp macro="_xll.PtreeEvent_ObjectClick" textlink="">
      <xdr:nvSpPr>
        <xdr:cNvPr id="4356" name="PTObj_DBranchName_1_1086">
          <a:extLst>
            <a:ext uri="{FF2B5EF4-FFF2-40B4-BE49-F238E27FC236}">
              <a16:creationId xmlns:a16="http://schemas.microsoft.com/office/drawing/2014/main" id="{67194FE7-AB0B-4A78-A5B7-698BD729A971}"/>
            </a:ext>
          </a:extLst>
        </xdr:cNvPr>
        <xdr:cNvSpPr txBox="1"/>
      </xdr:nvSpPr>
      <xdr:spPr>
        <a:xfrm>
          <a:off x="15926563" y="3971161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2196</xdr:row>
      <xdr:rowOff>63500</xdr:rowOff>
    </xdr:from>
    <xdr:to>
      <xdr:col>10</xdr:col>
      <xdr:colOff>150622</xdr:colOff>
      <xdr:row>2197</xdr:row>
      <xdr:rowOff>55885</xdr:rowOff>
    </xdr:to>
    <xdr:sp macro="_xll.PtreeEvent_ObjectClick" textlink="">
      <xdr:nvSpPr>
        <xdr:cNvPr id="4357" name="PTObj_DNode_1_1087">
          <a:extLst>
            <a:ext uri="{FF2B5EF4-FFF2-40B4-BE49-F238E27FC236}">
              <a16:creationId xmlns:a16="http://schemas.microsoft.com/office/drawing/2014/main" id="{5E696609-3300-4C08-A46B-DDA63A62B685}"/>
            </a:ext>
          </a:extLst>
        </xdr:cNvPr>
        <xdr:cNvSpPr/>
      </xdr:nvSpPr>
      <xdr:spPr>
        <a:xfrm>
          <a:off x="18493867" y="397484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2196</xdr:row>
      <xdr:rowOff>60806</xdr:rowOff>
    </xdr:from>
    <xdr:ext cx="514857" cy="180627"/>
    <xdr:sp macro="_xll.PtreeEvent_ObjectClick" textlink="">
      <xdr:nvSpPr>
        <xdr:cNvPr id="4360" name="PTObj_DBranchName_1_1087">
          <a:extLst>
            <a:ext uri="{FF2B5EF4-FFF2-40B4-BE49-F238E27FC236}">
              <a16:creationId xmlns:a16="http://schemas.microsoft.com/office/drawing/2014/main" id="{EC8DA897-4EE6-4EA5-8D71-37D1347BDA2C}"/>
            </a:ext>
          </a:extLst>
        </xdr:cNvPr>
        <xdr:cNvSpPr txBox="1"/>
      </xdr:nvSpPr>
      <xdr:spPr>
        <a:xfrm>
          <a:off x="17344834" y="3974819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2198</xdr:row>
      <xdr:rowOff>67320</xdr:rowOff>
    </xdr:from>
    <xdr:to>
      <xdr:col>11</xdr:col>
      <xdr:colOff>131573</xdr:colOff>
      <xdr:row>2199</xdr:row>
      <xdr:rowOff>59705</xdr:rowOff>
    </xdr:to>
    <xdr:sp macro="_xll.PtreeEvent_ObjectClick" textlink="">
      <xdr:nvSpPr>
        <xdr:cNvPr id="4361" name="PTObj_DNode_1_1088">
          <a:extLst>
            <a:ext uri="{FF2B5EF4-FFF2-40B4-BE49-F238E27FC236}">
              <a16:creationId xmlns:a16="http://schemas.microsoft.com/office/drawing/2014/main" id="{80821784-4AA0-4602-8E27-592B7FA30704}"/>
            </a:ext>
          </a:extLst>
        </xdr:cNvPr>
        <xdr:cNvSpPr/>
      </xdr:nvSpPr>
      <xdr:spPr>
        <a:xfrm>
          <a:off x="19918807" y="397850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2198</xdr:row>
      <xdr:rowOff>66531</xdr:rowOff>
    </xdr:from>
    <xdr:ext cx="514858" cy="180627"/>
    <xdr:sp macro="_xll.PtreeEvent_ObjectClick" textlink="">
      <xdr:nvSpPr>
        <xdr:cNvPr id="4364" name="PTObj_DBranchName_1_1088">
          <a:extLst>
            <a:ext uri="{FF2B5EF4-FFF2-40B4-BE49-F238E27FC236}">
              <a16:creationId xmlns:a16="http://schemas.microsoft.com/office/drawing/2014/main" id="{D08227DC-DF9F-4C29-8B12-7AC839280F43}"/>
            </a:ext>
          </a:extLst>
        </xdr:cNvPr>
        <xdr:cNvSpPr txBox="1"/>
      </xdr:nvSpPr>
      <xdr:spPr>
        <a:xfrm>
          <a:off x="18768820" y="3978495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2200</xdr:row>
      <xdr:rowOff>73022</xdr:rowOff>
    </xdr:from>
    <xdr:to>
      <xdr:col>12</xdr:col>
      <xdr:colOff>131575</xdr:colOff>
      <xdr:row>2201</xdr:row>
      <xdr:rowOff>55877</xdr:rowOff>
    </xdr:to>
    <xdr:sp macro="_xll.PtreeEvent_ObjectClick" textlink="">
      <xdr:nvSpPr>
        <xdr:cNvPr id="4365" name="PTObj_DNode_1_1089">
          <a:extLst>
            <a:ext uri="{FF2B5EF4-FFF2-40B4-BE49-F238E27FC236}">
              <a16:creationId xmlns:a16="http://schemas.microsoft.com/office/drawing/2014/main" id="{C4247E70-84A7-4D3B-A5F2-AEEE32D7DE59}"/>
            </a:ext>
          </a:extLst>
        </xdr:cNvPr>
        <xdr:cNvSpPr/>
      </xdr:nvSpPr>
      <xdr:spPr>
        <a:xfrm rot="-5400000">
          <a:off x="21347557" y="3982142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2200</xdr:row>
      <xdr:rowOff>70351</xdr:rowOff>
    </xdr:from>
    <xdr:ext cx="514858" cy="180627"/>
    <xdr:sp macro="_xll.PtreeEvent_ObjectClick" textlink="">
      <xdr:nvSpPr>
        <xdr:cNvPr id="4368" name="PTObj_DBranchName_1_1089">
          <a:extLst>
            <a:ext uri="{FF2B5EF4-FFF2-40B4-BE49-F238E27FC236}">
              <a16:creationId xmlns:a16="http://schemas.microsoft.com/office/drawing/2014/main" id="{B8EB817F-AFE3-4037-BECF-68E772890642}"/>
            </a:ext>
          </a:extLst>
        </xdr:cNvPr>
        <xdr:cNvSpPr txBox="1"/>
      </xdr:nvSpPr>
      <xdr:spPr>
        <a:xfrm>
          <a:off x="20188045" y="3982153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2212</xdr:row>
      <xdr:rowOff>93985</xdr:rowOff>
    </xdr:from>
    <xdr:to>
      <xdr:col>8</xdr:col>
      <xdr:colOff>167768</xdr:colOff>
      <xdr:row>2213</xdr:row>
      <xdr:rowOff>95895</xdr:rowOff>
    </xdr:to>
    <xdr:sp macro="_xll.PtreeEvent_ObjectClick" textlink="">
      <xdr:nvSpPr>
        <xdr:cNvPr id="4369" name="PTObj_DNode_1_1095">
          <a:extLst>
            <a:ext uri="{FF2B5EF4-FFF2-40B4-BE49-F238E27FC236}">
              <a16:creationId xmlns:a16="http://schemas.microsoft.com/office/drawing/2014/main" id="{D0CAEA95-7BA4-437C-83C5-88F5800AB102}"/>
            </a:ext>
          </a:extLst>
        </xdr:cNvPr>
        <xdr:cNvSpPr/>
      </xdr:nvSpPr>
      <xdr:spPr>
        <a:xfrm>
          <a:off x="15643988" y="4004106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2212</xdr:row>
      <xdr:rowOff>98911</xdr:rowOff>
    </xdr:from>
    <xdr:ext cx="566520" cy="180627"/>
    <xdr:sp macro="_xll.PtreeEvent_ObjectClick" textlink="">
      <xdr:nvSpPr>
        <xdr:cNvPr id="4372" name="PTObj_DBranchName_1_1095">
          <a:extLst>
            <a:ext uri="{FF2B5EF4-FFF2-40B4-BE49-F238E27FC236}">
              <a16:creationId xmlns:a16="http://schemas.microsoft.com/office/drawing/2014/main" id="{3F90AF0B-CF64-4D8D-BE8A-29068016F65D}"/>
            </a:ext>
          </a:extLst>
        </xdr:cNvPr>
        <xdr:cNvSpPr txBox="1"/>
      </xdr:nvSpPr>
      <xdr:spPr>
        <a:xfrm>
          <a:off x="14498765" y="4004156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2204</xdr:row>
      <xdr:rowOff>78730</xdr:rowOff>
    </xdr:from>
    <xdr:to>
      <xdr:col>9</xdr:col>
      <xdr:colOff>154432</xdr:colOff>
      <xdr:row>2205</xdr:row>
      <xdr:rowOff>92070</xdr:rowOff>
    </xdr:to>
    <xdr:sp macro="_xll.PtreeEvent_ObjectClick" textlink="">
      <xdr:nvSpPr>
        <xdr:cNvPr id="4373" name="PTObj_DNode_1_1091">
          <a:extLst>
            <a:ext uri="{FF2B5EF4-FFF2-40B4-BE49-F238E27FC236}">
              <a16:creationId xmlns:a16="http://schemas.microsoft.com/office/drawing/2014/main" id="{755C4A6C-A5A6-4B35-9421-7AA59155B776}"/>
            </a:ext>
          </a:extLst>
        </xdr:cNvPr>
        <xdr:cNvSpPr/>
      </xdr:nvSpPr>
      <xdr:spPr>
        <a:xfrm>
          <a:off x="17068927" y="398947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2204</xdr:row>
      <xdr:rowOff>79871</xdr:rowOff>
    </xdr:from>
    <xdr:ext cx="566519" cy="180627"/>
    <xdr:sp macro="_xll.PtreeEvent_ObjectClick" textlink="">
      <xdr:nvSpPr>
        <xdr:cNvPr id="4376" name="PTObj_DBranchName_1_1091">
          <a:extLst>
            <a:ext uri="{FF2B5EF4-FFF2-40B4-BE49-F238E27FC236}">
              <a16:creationId xmlns:a16="http://schemas.microsoft.com/office/drawing/2014/main" id="{FBC30798-D4DA-4A94-A7F7-4124A201F868}"/>
            </a:ext>
          </a:extLst>
        </xdr:cNvPr>
        <xdr:cNvSpPr txBox="1"/>
      </xdr:nvSpPr>
      <xdr:spPr>
        <a:xfrm>
          <a:off x="15922752" y="3989487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2206</xdr:row>
      <xdr:rowOff>82550</xdr:rowOff>
    </xdr:from>
    <xdr:to>
      <xdr:col>10</xdr:col>
      <xdr:colOff>150622</xdr:colOff>
      <xdr:row>2207</xdr:row>
      <xdr:rowOff>95890</xdr:rowOff>
    </xdr:to>
    <xdr:sp macro="_xll.PtreeEvent_ObjectClick" textlink="">
      <xdr:nvSpPr>
        <xdr:cNvPr id="4377" name="PTObj_DNode_1_1092">
          <a:extLst>
            <a:ext uri="{FF2B5EF4-FFF2-40B4-BE49-F238E27FC236}">
              <a16:creationId xmlns:a16="http://schemas.microsoft.com/office/drawing/2014/main" id="{01BD0BAE-7ED0-4492-A8AE-D7BD8FAED8A3}"/>
            </a:ext>
          </a:extLst>
        </xdr:cNvPr>
        <xdr:cNvSpPr/>
      </xdr:nvSpPr>
      <xdr:spPr>
        <a:xfrm>
          <a:off x="18493867" y="399313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2206</xdr:row>
      <xdr:rowOff>85571</xdr:rowOff>
    </xdr:from>
    <xdr:ext cx="514857" cy="180627"/>
    <xdr:sp macro="_xll.PtreeEvent_ObjectClick" textlink="">
      <xdr:nvSpPr>
        <xdr:cNvPr id="4380" name="PTObj_DBranchName_1_1092">
          <a:extLst>
            <a:ext uri="{FF2B5EF4-FFF2-40B4-BE49-F238E27FC236}">
              <a16:creationId xmlns:a16="http://schemas.microsoft.com/office/drawing/2014/main" id="{8378E0AC-8F6C-4886-AA52-231502EC7EDD}"/>
            </a:ext>
          </a:extLst>
        </xdr:cNvPr>
        <xdr:cNvSpPr txBox="1"/>
      </xdr:nvSpPr>
      <xdr:spPr>
        <a:xfrm>
          <a:off x="17344834" y="3993164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2208</xdr:row>
      <xdr:rowOff>86370</xdr:rowOff>
    </xdr:from>
    <xdr:to>
      <xdr:col>11</xdr:col>
      <xdr:colOff>135383</xdr:colOff>
      <xdr:row>2209</xdr:row>
      <xdr:rowOff>92090</xdr:rowOff>
    </xdr:to>
    <xdr:sp macro="_xll.PtreeEvent_ObjectClick" textlink="">
      <xdr:nvSpPr>
        <xdr:cNvPr id="4381" name="PTObj_DNode_1_1093">
          <a:extLst>
            <a:ext uri="{FF2B5EF4-FFF2-40B4-BE49-F238E27FC236}">
              <a16:creationId xmlns:a16="http://schemas.microsoft.com/office/drawing/2014/main" id="{A396E6EC-3E62-4806-AFA8-1D668704C239}"/>
            </a:ext>
          </a:extLst>
        </xdr:cNvPr>
        <xdr:cNvSpPr/>
      </xdr:nvSpPr>
      <xdr:spPr>
        <a:xfrm>
          <a:off x="19918807" y="399679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2208</xdr:row>
      <xdr:rowOff>89391</xdr:rowOff>
    </xdr:from>
    <xdr:ext cx="514858" cy="180627"/>
    <xdr:sp macro="_xll.PtreeEvent_ObjectClick" textlink="">
      <xdr:nvSpPr>
        <xdr:cNvPr id="4384" name="PTObj_DBranchName_1_1093">
          <a:extLst>
            <a:ext uri="{FF2B5EF4-FFF2-40B4-BE49-F238E27FC236}">
              <a16:creationId xmlns:a16="http://schemas.microsoft.com/office/drawing/2014/main" id="{61A90CEE-AA4A-4D95-A093-BCD71A1AFE41}"/>
            </a:ext>
          </a:extLst>
        </xdr:cNvPr>
        <xdr:cNvSpPr txBox="1"/>
      </xdr:nvSpPr>
      <xdr:spPr>
        <a:xfrm>
          <a:off x="18768820" y="3996821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2210</xdr:row>
      <xdr:rowOff>96835</xdr:rowOff>
    </xdr:from>
    <xdr:to>
      <xdr:col>12</xdr:col>
      <xdr:colOff>132527</xdr:colOff>
      <xdr:row>2211</xdr:row>
      <xdr:rowOff>93025</xdr:rowOff>
    </xdr:to>
    <xdr:sp macro="_xll.PtreeEvent_ObjectClick" textlink="">
      <xdr:nvSpPr>
        <xdr:cNvPr id="4385" name="PTObj_DNode_1_1094">
          <a:extLst>
            <a:ext uri="{FF2B5EF4-FFF2-40B4-BE49-F238E27FC236}">
              <a16:creationId xmlns:a16="http://schemas.microsoft.com/office/drawing/2014/main" id="{E06EA88F-2B05-475A-8FFC-83AEAFCEC348}"/>
            </a:ext>
          </a:extLst>
        </xdr:cNvPr>
        <xdr:cNvSpPr/>
      </xdr:nvSpPr>
      <xdr:spPr>
        <a:xfrm rot="-5400000">
          <a:off x="21347557" y="4000487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2210</xdr:row>
      <xdr:rowOff>95116</xdr:rowOff>
    </xdr:from>
    <xdr:ext cx="514858" cy="180627"/>
    <xdr:sp macro="_xll.PtreeEvent_ObjectClick" textlink="">
      <xdr:nvSpPr>
        <xdr:cNvPr id="4388" name="PTObj_DBranchName_1_1094">
          <a:extLst>
            <a:ext uri="{FF2B5EF4-FFF2-40B4-BE49-F238E27FC236}">
              <a16:creationId xmlns:a16="http://schemas.microsoft.com/office/drawing/2014/main" id="{79C8BCCB-99E5-4A67-BC69-C8EEF2F116A6}"/>
            </a:ext>
          </a:extLst>
        </xdr:cNvPr>
        <xdr:cNvSpPr txBox="1"/>
      </xdr:nvSpPr>
      <xdr:spPr>
        <a:xfrm>
          <a:off x="20188045" y="4000498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2214</xdr:row>
      <xdr:rowOff>97780</xdr:rowOff>
    </xdr:from>
    <xdr:to>
      <xdr:col>9</xdr:col>
      <xdr:colOff>154432</xdr:colOff>
      <xdr:row>2215</xdr:row>
      <xdr:rowOff>95880</xdr:rowOff>
    </xdr:to>
    <xdr:sp macro="_xll.PtreeEvent_ObjectClick" textlink="">
      <xdr:nvSpPr>
        <xdr:cNvPr id="4389" name="PTObj_DNode_1_1096">
          <a:extLst>
            <a:ext uri="{FF2B5EF4-FFF2-40B4-BE49-F238E27FC236}">
              <a16:creationId xmlns:a16="http://schemas.microsoft.com/office/drawing/2014/main" id="{8FF01FE1-9595-4D5D-8B72-793C39DF9C23}"/>
            </a:ext>
          </a:extLst>
        </xdr:cNvPr>
        <xdr:cNvSpPr/>
      </xdr:nvSpPr>
      <xdr:spPr>
        <a:xfrm>
          <a:off x="17068927" y="400776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2214</xdr:row>
      <xdr:rowOff>95111</xdr:rowOff>
    </xdr:from>
    <xdr:ext cx="566520" cy="180627"/>
    <xdr:sp macro="_xll.PtreeEvent_ObjectClick" textlink="">
      <xdr:nvSpPr>
        <xdr:cNvPr id="4392" name="PTObj_DBranchName_1_1096">
          <a:extLst>
            <a:ext uri="{FF2B5EF4-FFF2-40B4-BE49-F238E27FC236}">
              <a16:creationId xmlns:a16="http://schemas.microsoft.com/office/drawing/2014/main" id="{E06A644A-4E95-47D5-A638-D6120DA330C8}"/>
            </a:ext>
          </a:extLst>
        </xdr:cNvPr>
        <xdr:cNvSpPr txBox="1"/>
      </xdr:nvSpPr>
      <xdr:spPr>
        <a:xfrm>
          <a:off x="15926563" y="4007737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2216</xdr:row>
      <xdr:rowOff>101600</xdr:rowOff>
    </xdr:from>
    <xdr:to>
      <xdr:col>10</xdr:col>
      <xdr:colOff>150622</xdr:colOff>
      <xdr:row>2217</xdr:row>
      <xdr:rowOff>97795</xdr:rowOff>
    </xdr:to>
    <xdr:sp macro="_xll.PtreeEvent_ObjectClick" textlink="">
      <xdr:nvSpPr>
        <xdr:cNvPr id="4393" name="PTObj_DNode_1_1097">
          <a:extLst>
            <a:ext uri="{FF2B5EF4-FFF2-40B4-BE49-F238E27FC236}">
              <a16:creationId xmlns:a16="http://schemas.microsoft.com/office/drawing/2014/main" id="{7F828015-E06D-4032-9981-9860D41C1CF7}"/>
            </a:ext>
          </a:extLst>
        </xdr:cNvPr>
        <xdr:cNvSpPr/>
      </xdr:nvSpPr>
      <xdr:spPr>
        <a:xfrm>
          <a:off x="18493867" y="401142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2216</xdr:row>
      <xdr:rowOff>98906</xdr:rowOff>
    </xdr:from>
    <xdr:ext cx="514857" cy="180627"/>
    <xdr:sp macro="_xll.PtreeEvent_ObjectClick" textlink="">
      <xdr:nvSpPr>
        <xdr:cNvPr id="4396" name="PTObj_DBranchName_1_1097">
          <a:extLst>
            <a:ext uri="{FF2B5EF4-FFF2-40B4-BE49-F238E27FC236}">
              <a16:creationId xmlns:a16="http://schemas.microsoft.com/office/drawing/2014/main" id="{B32A7E7F-915A-4F3F-AFFA-01A2EEB787A9}"/>
            </a:ext>
          </a:extLst>
        </xdr:cNvPr>
        <xdr:cNvSpPr txBox="1"/>
      </xdr:nvSpPr>
      <xdr:spPr>
        <a:xfrm>
          <a:off x="17344834" y="4011395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2218</xdr:row>
      <xdr:rowOff>105420</xdr:rowOff>
    </xdr:from>
    <xdr:to>
      <xdr:col>11</xdr:col>
      <xdr:colOff>135383</xdr:colOff>
      <xdr:row>2219</xdr:row>
      <xdr:rowOff>93995</xdr:rowOff>
    </xdr:to>
    <xdr:sp macro="_xll.PtreeEvent_ObjectClick" textlink="">
      <xdr:nvSpPr>
        <xdr:cNvPr id="4397" name="PTObj_DNode_1_1098">
          <a:extLst>
            <a:ext uri="{FF2B5EF4-FFF2-40B4-BE49-F238E27FC236}">
              <a16:creationId xmlns:a16="http://schemas.microsoft.com/office/drawing/2014/main" id="{24B3A776-7965-45E2-A4F8-15C217D68584}"/>
            </a:ext>
          </a:extLst>
        </xdr:cNvPr>
        <xdr:cNvSpPr/>
      </xdr:nvSpPr>
      <xdr:spPr>
        <a:xfrm>
          <a:off x="19918807" y="401507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2218</xdr:row>
      <xdr:rowOff>104631</xdr:rowOff>
    </xdr:from>
    <xdr:ext cx="514858" cy="180627"/>
    <xdr:sp macro="_xll.PtreeEvent_ObjectClick" textlink="">
      <xdr:nvSpPr>
        <xdr:cNvPr id="4400" name="PTObj_DBranchName_1_1098">
          <a:extLst>
            <a:ext uri="{FF2B5EF4-FFF2-40B4-BE49-F238E27FC236}">
              <a16:creationId xmlns:a16="http://schemas.microsoft.com/office/drawing/2014/main" id="{F7B127D6-FBB2-4965-926C-F4FA4AB7F300}"/>
            </a:ext>
          </a:extLst>
        </xdr:cNvPr>
        <xdr:cNvSpPr txBox="1"/>
      </xdr:nvSpPr>
      <xdr:spPr>
        <a:xfrm>
          <a:off x="18768820" y="4015071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2220</xdr:row>
      <xdr:rowOff>111122</xdr:rowOff>
    </xdr:from>
    <xdr:to>
      <xdr:col>12</xdr:col>
      <xdr:colOff>135385</xdr:colOff>
      <xdr:row>2221</xdr:row>
      <xdr:rowOff>97787</xdr:rowOff>
    </xdr:to>
    <xdr:sp macro="_xll.PtreeEvent_ObjectClick" textlink="">
      <xdr:nvSpPr>
        <xdr:cNvPr id="4401" name="PTObj_DNode_1_1099">
          <a:extLst>
            <a:ext uri="{FF2B5EF4-FFF2-40B4-BE49-F238E27FC236}">
              <a16:creationId xmlns:a16="http://schemas.microsoft.com/office/drawing/2014/main" id="{DDF5DC93-49BE-4809-8D47-074510082602}"/>
            </a:ext>
          </a:extLst>
        </xdr:cNvPr>
        <xdr:cNvSpPr/>
      </xdr:nvSpPr>
      <xdr:spPr>
        <a:xfrm rot="-5400000">
          <a:off x="21347557" y="4018718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2220</xdr:row>
      <xdr:rowOff>108451</xdr:rowOff>
    </xdr:from>
    <xdr:ext cx="514858" cy="180627"/>
    <xdr:sp macro="_xll.PtreeEvent_ObjectClick" textlink="">
      <xdr:nvSpPr>
        <xdr:cNvPr id="4404" name="PTObj_DBranchName_1_1099">
          <a:extLst>
            <a:ext uri="{FF2B5EF4-FFF2-40B4-BE49-F238E27FC236}">
              <a16:creationId xmlns:a16="http://schemas.microsoft.com/office/drawing/2014/main" id="{C16034DD-9071-4F2B-9D90-B7C2E244B110}"/>
            </a:ext>
          </a:extLst>
        </xdr:cNvPr>
        <xdr:cNvSpPr txBox="1"/>
      </xdr:nvSpPr>
      <xdr:spPr>
        <a:xfrm>
          <a:off x="20188045" y="4018729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2242</xdr:row>
      <xdr:rowOff>151135</xdr:rowOff>
    </xdr:from>
    <xdr:to>
      <xdr:col>7</xdr:col>
      <xdr:colOff>171577</xdr:colOff>
      <xdr:row>2243</xdr:row>
      <xdr:rowOff>153045</xdr:rowOff>
    </xdr:to>
    <xdr:sp macro="_xll.PtreeEvent_ObjectClick" textlink="">
      <xdr:nvSpPr>
        <xdr:cNvPr id="4405" name="PTObj_DNode_1_1110">
          <a:extLst>
            <a:ext uri="{FF2B5EF4-FFF2-40B4-BE49-F238E27FC236}">
              <a16:creationId xmlns:a16="http://schemas.microsoft.com/office/drawing/2014/main" id="{C2DEEEDD-8569-494E-A3A4-0E58A3743B1A}"/>
            </a:ext>
          </a:extLst>
        </xdr:cNvPr>
        <xdr:cNvSpPr/>
      </xdr:nvSpPr>
      <xdr:spPr>
        <a:xfrm>
          <a:off x="14219047" y="405897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2242</xdr:row>
      <xdr:rowOff>152251</xdr:rowOff>
    </xdr:from>
    <xdr:ext cx="566520" cy="180627"/>
    <xdr:sp macro="_xll.PtreeEvent_ObjectClick" textlink="">
      <xdr:nvSpPr>
        <xdr:cNvPr id="4408" name="PTObj_DBranchName_1_1110">
          <a:extLst>
            <a:ext uri="{FF2B5EF4-FFF2-40B4-BE49-F238E27FC236}">
              <a16:creationId xmlns:a16="http://schemas.microsoft.com/office/drawing/2014/main" id="{C5E25299-83A2-4769-98A0-E3AD38C40D8D}"/>
            </a:ext>
          </a:extLst>
        </xdr:cNvPr>
        <xdr:cNvSpPr txBox="1"/>
      </xdr:nvSpPr>
      <xdr:spPr>
        <a:xfrm>
          <a:off x="13074777" y="4058982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2232</xdr:row>
      <xdr:rowOff>132085</xdr:rowOff>
    </xdr:from>
    <xdr:to>
      <xdr:col>8</xdr:col>
      <xdr:colOff>167768</xdr:colOff>
      <xdr:row>2233</xdr:row>
      <xdr:rowOff>133995</xdr:rowOff>
    </xdr:to>
    <xdr:sp macro="_xll.PtreeEvent_ObjectClick" textlink="">
      <xdr:nvSpPr>
        <xdr:cNvPr id="4409" name="PTObj_DNode_1_1105">
          <a:extLst>
            <a:ext uri="{FF2B5EF4-FFF2-40B4-BE49-F238E27FC236}">
              <a16:creationId xmlns:a16="http://schemas.microsoft.com/office/drawing/2014/main" id="{225DEC25-53CD-4EF0-804F-0AC1E23C165D}"/>
            </a:ext>
          </a:extLst>
        </xdr:cNvPr>
        <xdr:cNvSpPr/>
      </xdr:nvSpPr>
      <xdr:spPr>
        <a:xfrm>
          <a:off x="15643988" y="404068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2232</xdr:row>
      <xdr:rowOff>137011</xdr:rowOff>
    </xdr:from>
    <xdr:ext cx="566520" cy="180627"/>
    <xdr:sp macro="_xll.PtreeEvent_ObjectClick" textlink="">
      <xdr:nvSpPr>
        <xdr:cNvPr id="4412" name="PTObj_DBranchName_1_1105">
          <a:extLst>
            <a:ext uri="{FF2B5EF4-FFF2-40B4-BE49-F238E27FC236}">
              <a16:creationId xmlns:a16="http://schemas.microsoft.com/office/drawing/2014/main" id="{775FAEB6-0E83-4A67-985A-5DB6065077A3}"/>
            </a:ext>
          </a:extLst>
        </xdr:cNvPr>
        <xdr:cNvSpPr txBox="1"/>
      </xdr:nvSpPr>
      <xdr:spPr>
        <a:xfrm>
          <a:off x="14500670" y="404073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2224</xdr:row>
      <xdr:rowOff>116830</xdr:rowOff>
    </xdr:from>
    <xdr:to>
      <xdr:col>9</xdr:col>
      <xdr:colOff>154432</xdr:colOff>
      <xdr:row>2225</xdr:row>
      <xdr:rowOff>130170</xdr:rowOff>
    </xdr:to>
    <xdr:sp macro="_xll.PtreeEvent_ObjectClick" textlink="">
      <xdr:nvSpPr>
        <xdr:cNvPr id="4413" name="PTObj_DNode_1_1101">
          <a:extLst>
            <a:ext uri="{FF2B5EF4-FFF2-40B4-BE49-F238E27FC236}">
              <a16:creationId xmlns:a16="http://schemas.microsoft.com/office/drawing/2014/main" id="{E571C8EC-9D7D-404A-85D4-8303E8CCC582}"/>
            </a:ext>
          </a:extLst>
        </xdr:cNvPr>
        <xdr:cNvSpPr/>
      </xdr:nvSpPr>
      <xdr:spPr>
        <a:xfrm>
          <a:off x="17068927" y="402605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2224</xdr:row>
      <xdr:rowOff>117971</xdr:rowOff>
    </xdr:from>
    <xdr:ext cx="566519" cy="180627"/>
    <xdr:sp macro="_xll.PtreeEvent_ObjectClick" textlink="">
      <xdr:nvSpPr>
        <xdr:cNvPr id="4416" name="PTObj_DBranchName_1_1101">
          <a:extLst>
            <a:ext uri="{FF2B5EF4-FFF2-40B4-BE49-F238E27FC236}">
              <a16:creationId xmlns:a16="http://schemas.microsoft.com/office/drawing/2014/main" id="{A1521499-77CE-4B2E-8730-F76D67E6C818}"/>
            </a:ext>
          </a:extLst>
        </xdr:cNvPr>
        <xdr:cNvSpPr txBox="1"/>
      </xdr:nvSpPr>
      <xdr:spPr>
        <a:xfrm>
          <a:off x="15922752" y="4026063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2226</xdr:row>
      <xdr:rowOff>120650</xdr:rowOff>
    </xdr:from>
    <xdr:to>
      <xdr:col>10</xdr:col>
      <xdr:colOff>150622</xdr:colOff>
      <xdr:row>2227</xdr:row>
      <xdr:rowOff>133990</xdr:rowOff>
    </xdr:to>
    <xdr:sp macro="_xll.PtreeEvent_ObjectClick" textlink="">
      <xdr:nvSpPr>
        <xdr:cNvPr id="4417" name="PTObj_DNode_1_1102">
          <a:extLst>
            <a:ext uri="{FF2B5EF4-FFF2-40B4-BE49-F238E27FC236}">
              <a16:creationId xmlns:a16="http://schemas.microsoft.com/office/drawing/2014/main" id="{0CE4188B-1F86-4F8D-B331-E2FDF8DC2B4C}"/>
            </a:ext>
          </a:extLst>
        </xdr:cNvPr>
        <xdr:cNvSpPr/>
      </xdr:nvSpPr>
      <xdr:spPr>
        <a:xfrm>
          <a:off x="18493867" y="402971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2226</xdr:row>
      <xdr:rowOff>123671</xdr:rowOff>
    </xdr:from>
    <xdr:ext cx="514857" cy="180627"/>
    <xdr:sp macro="_xll.PtreeEvent_ObjectClick" textlink="">
      <xdr:nvSpPr>
        <xdr:cNvPr id="4420" name="PTObj_DBranchName_1_1102">
          <a:extLst>
            <a:ext uri="{FF2B5EF4-FFF2-40B4-BE49-F238E27FC236}">
              <a16:creationId xmlns:a16="http://schemas.microsoft.com/office/drawing/2014/main" id="{7E2DBF4D-DE06-4C70-A8E2-9000881343CF}"/>
            </a:ext>
          </a:extLst>
        </xdr:cNvPr>
        <xdr:cNvSpPr txBox="1"/>
      </xdr:nvSpPr>
      <xdr:spPr>
        <a:xfrm>
          <a:off x="17344834" y="4029740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2228</xdr:row>
      <xdr:rowOff>124470</xdr:rowOff>
    </xdr:from>
    <xdr:to>
      <xdr:col>11</xdr:col>
      <xdr:colOff>135383</xdr:colOff>
      <xdr:row>2229</xdr:row>
      <xdr:rowOff>130190</xdr:rowOff>
    </xdr:to>
    <xdr:sp macro="_xll.PtreeEvent_ObjectClick" textlink="">
      <xdr:nvSpPr>
        <xdr:cNvPr id="4421" name="PTObj_DNode_1_1103">
          <a:extLst>
            <a:ext uri="{FF2B5EF4-FFF2-40B4-BE49-F238E27FC236}">
              <a16:creationId xmlns:a16="http://schemas.microsoft.com/office/drawing/2014/main" id="{5E8B29D3-954A-4EA3-8459-84D0F0500286}"/>
            </a:ext>
          </a:extLst>
        </xdr:cNvPr>
        <xdr:cNvSpPr/>
      </xdr:nvSpPr>
      <xdr:spPr>
        <a:xfrm>
          <a:off x="19918807" y="403336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2228</xdr:row>
      <xdr:rowOff>127491</xdr:rowOff>
    </xdr:from>
    <xdr:ext cx="514858" cy="180627"/>
    <xdr:sp macro="_xll.PtreeEvent_ObjectClick" textlink="">
      <xdr:nvSpPr>
        <xdr:cNvPr id="4424" name="PTObj_DBranchName_1_1103">
          <a:extLst>
            <a:ext uri="{FF2B5EF4-FFF2-40B4-BE49-F238E27FC236}">
              <a16:creationId xmlns:a16="http://schemas.microsoft.com/office/drawing/2014/main" id="{A6613278-8F72-4BF2-8298-D279D5718B62}"/>
            </a:ext>
          </a:extLst>
        </xdr:cNvPr>
        <xdr:cNvSpPr txBox="1"/>
      </xdr:nvSpPr>
      <xdr:spPr>
        <a:xfrm>
          <a:off x="18768820" y="4033397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2230</xdr:row>
      <xdr:rowOff>134935</xdr:rowOff>
    </xdr:from>
    <xdr:to>
      <xdr:col>12</xdr:col>
      <xdr:colOff>132527</xdr:colOff>
      <xdr:row>2231</xdr:row>
      <xdr:rowOff>131125</xdr:rowOff>
    </xdr:to>
    <xdr:sp macro="_xll.PtreeEvent_ObjectClick" textlink="">
      <xdr:nvSpPr>
        <xdr:cNvPr id="4425" name="PTObj_DNode_1_1104">
          <a:extLst>
            <a:ext uri="{FF2B5EF4-FFF2-40B4-BE49-F238E27FC236}">
              <a16:creationId xmlns:a16="http://schemas.microsoft.com/office/drawing/2014/main" id="{87FF79EC-34DD-4D3D-9C87-2A242E7C1A73}"/>
            </a:ext>
          </a:extLst>
        </xdr:cNvPr>
        <xdr:cNvSpPr/>
      </xdr:nvSpPr>
      <xdr:spPr>
        <a:xfrm rot="-5400000">
          <a:off x="21347557" y="4037063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2230</xdr:row>
      <xdr:rowOff>133216</xdr:rowOff>
    </xdr:from>
    <xdr:ext cx="514858" cy="180627"/>
    <xdr:sp macro="_xll.PtreeEvent_ObjectClick" textlink="">
      <xdr:nvSpPr>
        <xdr:cNvPr id="4428" name="PTObj_DBranchName_1_1104">
          <a:extLst>
            <a:ext uri="{FF2B5EF4-FFF2-40B4-BE49-F238E27FC236}">
              <a16:creationId xmlns:a16="http://schemas.microsoft.com/office/drawing/2014/main" id="{C7DC505E-7C81-4F35-A967-6AFAA1335F64}"/>
            </a:ext>
          </a:extLst>
        </xdr:cNvPr>
        <xdr:cNvSpPr txBox="1"/>
      </xdr:nvSpPr>
      <xdr:spPr>
        <a:xfrm>
          <a:off x="20188045" y="4037074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2234</xdr:row>
      <xdr:rowOff>135880</xdr:rowOff>
    </xdr:from>
    <xdr:to>
      <xdr:col>9</xdr:col>
      <xdr:colOff>154432</xdr:colOff>
      <xdr:row>2235</xdr:row>
      <xdr:rowOff>133980</xdr:rowOff>
    </xdr:to>
    <xdr:sp macro="_xll.PtreeEvent_ObjectClick" textlink="">
      <xdr:nvSpPr>
        <xdr:cNvPr id="4429" name="PTObj_DNode_1_1106">
          <a:extLst>
            <a:ext uri="{FF2B5EF4-FFF2-40B4-BE49-F238E27FC236}">
              <a16:creationId xmlns:a16="http://schemas.microsoft.com/office/drawing/2014/main" id="{D70B8F1E-BA74-4099-B297-C35143098F0C}"/>
            </a:ext>
          </a:extLst>
        </xdr:cNvPr>
        <xdr:cNvSpPr/>
      </xdr:nvSpPr>
      <xdr:spPr>
        <a:xfrm>
          <a:off x="17068927" y="404434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2234</xdr:row>
      <xdr:rowOff>133211</xdr:rowOff>
    </xdr:from>
    <xdr:ext cx="566520" cy="180627"/>
    <xdr:sp macro="_xll.PtreeEvent_ObjectClick" textlink="">
      <xdr:nvSpPr>
        <xdr:cNvPr id="4432" name="PTObj_DBranchName_1_1106">
          <a:extLst>
            <a:ext uri="{FF2B5EF4-FFF2-40B4-BE49-F238E27FC236}">
              <a16:creationId xmlns:a16="http://schemas.microsoft.com/office/drawing/2014/main" id="{496A4519-8406-4912-BE15-51B7DE0CEAA7}"/>
            </a:ext>
          </a:extLst>
        </xdr:cNvPr>
        <xdr:cNvSpPr txBox="1"/>
      </xdr:nvSpPr>
      <xdr:spPr>
        <a:xfrm>
          <a:off x="15926563" y="4044313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2236</xdr:row>
      <xdr:rowOff>139700</xdr:rowOff>
    </xdr:from>
    <xdr:to>
      <xdr:col>10</xdr:col>
      <xdr:colOff>150622</xdr:colOff>
      <xdr:row>2237</xdr:row>
      <xdr:rowOff>135895</xdr:rowOff>
    </xdr:to>
    <xdr:sp macro="_xll.PtreeEvent_ObjectClick" textlink="">
      <xdr:nvSpPr>
        <xdr:cNvPr id="4433" name="PTObj_DNode_1_1107">
          <a:extLst>
            <a:ext uri="{FF2B5EF4-FFF2-40B4-BE49-F238E27FC236}">
              <a16:creationId xmlns:a16="http://schemas.microsoft.com/office/drawing/2014/main" id="{F9B521AD-F355-4BF0-89AC-074F668F9688}"/>
            </a:ext>
          </a:extLst>
        </xdr:cNvPr>
        <xdr:cNvSpPr/>
      </xdr:nvSpPr>
      <xdr:spPr>
        <a:xfrm>
          <a:off x="18493867" y="404799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2236</xdr:row>
      <xdr:rowOff>137006</xdr:rowOff>
    </xdr:from>
    <xdr:ext cx="514857" cy="180627"/>
    <xdr:sp macro="_xll.PtreeEvent_ObjectClick" textlink="">
      <xdr:nvSpPr>
        <xdr:cNvPr id="4436" name="PTObj_DBranchName_1_1107">
          <a:extLst>
            <a:ext uri="{FF2B5EF4-FFF2-40B4-BE49-F238E27FC236}">
              <a16:creationId xmlns:a16="http://schemas.microsoft.com/office/drawing/2014/main" id="{DA9E9244-D1C5-4177-AA97-71B8F17E1DA3}"/>
            </a:ext>
          </a:extLst>
        </xdr:cNvPr>
        <xdr:cNvSpPr txBox="1"/>
      </xdr:nvSpPr>
      <xdr:spPr>
        <a:xfrm>
          <a:off x="17344834" y="4047971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2238</xdr:row>
      <xdr:rowOff>143520</xdr:rowOff>
    </xdr:from>
    <xdr:to>
      <xdr:col>11</xdr:col>
      <xdr:colOff>135383</xdr:colOff>
      <xdr:row>2239</xdr:row>
      <xdr:rowOff>132095</xdr:rowOff>
    </xdr:to>
    <xdr:sp macro="_xll.PtreeEvent_ObjectClick" textlink="">
      <xdr:nvSpPr>
        <xdr:cNvPr id="4437" name="PTObj_DNode_1_1108">
          <a:extLst>
            <a:ext uri="{FF2B5EF4-FFF2-40B4-BE49-F238E27FC236}">
              <a16:creationId xmlns:a16="http://schemas.microsoft.com/office/drawing/2014/main" id="{3962B8FC-1466-4F08-B79F-0187D5B55040}"/>
            </a:ext>
          </a:extLst>
        </xdr:cNvPr>
        <xdr:cNvSpPr/>
      </xdr:nvSpPr>
      <xdr:spPr>
        <a:xfrm>
          <a:off x="19918807" y="405165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2238</xdr:row>
      <xdr:rowOff>142731</xdr:rowOff>
    </xdr:from>
    <xdr:ext cx="514858" cy="180627"/>
    <xdr:sp macro="_xll.PtreeEvent_ObjectClick" textlink="">
      <xdr:nvSpPr>
        <xdr:cNvPr id="4440" name="PTObj_DBranchName_1_1108">
          <a:extLst>
            <a:ext uri="{FF2B5EF4-FFF2-40B4-BE49-F238E27FC236}">
              <a16:creationId xmlns:a16="http://schemas.microsoft.com/office/drawing/2014/main" id="{7CEF9CB6-7826-4417-9C85-1489DF52CA3E}"/>
            </a:ext>
          </a:extLst>
        </xdr:cNvPr>
        <xdr:cNvSpPr txBox="1"/>
      </xdr:nvSpPr>
      <xdr:spPr>
        <a:xfrm>
          <a:off x="18768820" y="40516478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1388870</xdr:colOff>
      <xdr:row>2240</xdr:row>
      <xdr:rowOff>149222</xdr:rowOff>
    </xdr:from>
    <xdr:to>
      <xdr:col>12</xdr:col>
      <xdr:colOff>135385</xdr:colOff>
      <xdr:row>2241</xdr:row>
      <xdr:rowOff>135887</xdr:rowOff>
    </xdr:to>
    <xdr:sp macro="_xll.PtreeEvent_ObjectClick" textlink="">
      <xdr:nvSpPr>
        <xdr:cNvPr id="4441" name="PTObj_DNode_1_1109">
          <a:extLst>
            <a:ext uri="{FF2B5EF4-FFF2-40B4-BE49-F238E27FC236}">
              <a16:creationId xmlns:a16="http://schemas.microsoft.com/office/drawing/2014/main" id="{470410E9-D3EF-4CDA-BE3F-542FC755F6C5}"/>
            </a:ext>
          </a:extLst>
        </xdr:cNvPr>
        <xdr:cNvSpPr/>
      </xdr:nvSpPr>
      <xdr:spPr>
        <a:xfrm rot="-5400000">
          <a:off x="21347557" y="405529410"/>
          <a:ext cx="177165" cy="18479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2240</xdr:row>
      <xdr:rowOff>146551</xdr:rowOff>
    </xdr:from>
    <xdr:ext cx="514858" cy="180627"/>
    <xdr:sp macro="_xll.PtreeEvent_ObjectClick" textlink="">
      <xdr:nvSpPr>
        <xdr:cNvPr id="4444" name="PTObj_DBranchName_1_1109">
          <a:extLst>
            <a:ext uri="{FF2B5EF4-FFF2-40B4-BE49-F238E27FC236}">
              <a16:creationId xmlns:a16="http://schemas.microsoft.com/office/drawing/2014/main" id="{E8DC02A7-DFAD-453C-87C2-1A44C90A0714}"/>
            </a:ext>
          </a:extLst>
        </xdr:cNvPr>
        <xdr:cNvSpPr txBox="1"/>
      </xdr:nvSpPr>
      <xdr:spPr>
        <a:xfrm>
          <a:off x="20188045" y="40553055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2252</xdr:row>
      <xdr:rowOff>170185</xdr:rowOff>
    </xdr:from>
    <xdr:to>
      <xdr:col>8</xdr:col>
      <xdr:colOff>171578</xdr:colOff>
      <xdr:row>2253</xdr:row>
      <xdr:rowOff>168285</xdr:rowOff>
    </xdr:to>
    <xdr:sp macro="_xll.PtreeEvent_ObjectClick" textlink="">
      <xdr:nvSpPr>
        <xdr:cNvPr id="4445" name="PTObj_DNode_1_1115">
          <a:extLst>
            <a:ext uri="{FF2B5EF4-FFF2-40B4-BE49-F238E27FC236}">
              <a16:creationId xmlns:a16="http://schemas.microsoft.com/office/drawing/2014/main" id="{2E483811-0F01-4740-8388-9D64A3F3D509}"/>
            </a:ext>
          </a:extLst>
        </xdr:cNvPr>
        <xdr:cNvSpPr/>
      </xdr:nvSpPr>
      <xdr:spPr>
        <a:xfrm>
          <a:off x="15643988" y="4077258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2252</xdr:row>
      <xdr:rowOff>175111</xdr:rowOff>
    </xdr:from>
    <xdr:ext cx="566520" cy="180627"/>
    <xdr:sp macro="_xll.PtreeEvent_ObjectClick" textlink="">
      <xdr:nvSpPr>
        <xdr:cNvPr id="4448" name="PTObj_DBranchName_1_1115">
          <a:extLst>
            <a:ext uri="{FF2B5EF4-FFF2-40B4-BE49-F238E27FC236}">
              <a16:creationId xmlns:a16="http://schemas.microsoft.com/office/drawing/2014/main" id="{DE8A8957-821B-46E1-801B-914A8DEC2D38}"/>
            </a:ext>
          </a:extLst>
        </xdr:cNvPr>
        <xdr:cNvSpPr txBox="1"/>
      </xdr:nvSpPr>
      <xdr:spPr>
        <a:xfrm>
          <a:off x="14498765" y="407730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2244</xdr:row>
      <xdr:rowOff>154930</xdr:rowOff>
    </xdr:from>
    <xdr:to>
      <xdr:col>9</xdr:col>
      <xdr:colOff>154432</xdr:colOff>
      <xdr:row>2245</xdr:row>
      <xdr:rowOff>172080</xdr:rowOff>
    </xdr:to>
    <xdr:sp macro="_xll.PtreeEvent_ObjectClick" textlink="">
      <xdr:nvSpPr>
        <xdr:cNvPr id="4449" name="PTObj_DNode_1_1111">
          <a:extLst>
            <a:ext uri="{FF2B5EF4-FFF2-40B4-BE49-F238E27FC236}">
              <a16:creationId xmlns:a16="http://schemas.microsoft.com/office/drawing/2014/main" id="{82D88E71-574E-4922-A93A-CC02AF9B81FF}"/>
            </a:ext>
          </a:extLst>
        </xdr:cNvPr>
        <xdr:cNvSpPr/>
      </xdr:nvSpPr>
      <xdr:spPr>
        <a:xfrm>
          <a:off x="17068927" y="406262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2244</xdr:row>
      <xdr:rowOff>156071</xdr:rowOff>
    </xdr:from>
    <xdr:ext cx="566519" cy="180627"/>
    <xdr:sp macro="_xll.PtreeEvent_ObjectClick" textlink="">
      <xdr:nvSpPr>
        <xdr:cNvPr id="4452" name="PTObj_DBranchName_1_1111">
          <a:extLst>
            <a:ext uri="{FF2B5EF4-FFF2-40B4-BE49-F238E27FC236}">
              <a16:creationId xmlns:a16="http://schemas.microsoft.com/office/drawing/2014/main" id="{7DD5E913-2987-4B9F-83CA-E9291B319778}"/>
            </a:ext>
          </a:extLst>
        </xdr:cNvPr>
        <xdr:cNvSpPr txBox="1"/>
      </xdr:nvSpPr>
      <xdr:spPr>
        <a:xfrm>
          <a:off x="15922752" y="4062639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2246</xdr:row>
      <xdr:rowOff>158750</xdr:rowOff>
    </xdr:from>
    <xdr:to>
      <xdr:col>10</xdr:col>
      <xdr:colOff>150622</xdr:colOff>
      <xdr:row>2247</xdr:row>
      <xdr:rowOff>168280</xdr:rowOff>
    </xdr:to>
    <xdr:sp macro="_xll.PtreeEvent_ObjectClick" textlink="">
      <xdr:nvSpPr>
        <xdr:cNvPr id="4453" name="PTObj_DNode_1_1112">
          <a:extLst>
            <a:ext uri="{FF2B5EF4-FFF2-40B4-BE49-F238E27FC236}">
              <a16:creationId xmlns:a16="http://schemas.microsoft.com/office/drawing/2014/main" id="{F0A461BB-DE6C-46DD-A81A-DCE0FAE40319}"/>
            </a:ext>
          </a:extLst>
        </xdr:cNvPr>
        <xdr:cNvSpPr/>
      </xdr:nvSpPr>
      <xdr:spPr>
        <a:xfrm>
          <a:off x="18493867" y="406628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2246</xdr:row>
      <xdr:rowOff>161771</xdr:rowOff>
    </xdr:from>
    <xdr:ext cx="514857" cy="180627"/>
    <xdr:sp macro="_xll.PtreeEvent_ObjectClick" textlink="">
      <xdr:nvSpPr>
        <xdr:cNvPr id="4456" name="PTObj_DBranchName_1_1112">
          <a:extLst>
            <a:ext uri="{FF2B5EF4-FFF2-40B4-BE49-F238E27FC236}">
              <a16:creationId xmlns:a16="http://schemas.microsoft.com/office/drawing/2014/main" id="{EE5B6070-A8E6-4F48-AB18-376A486AC62B}"/>
            </a:ext>
          </a:extLst>
        </xdr:cNvPr>
        <xdr:cNvSpPr txBox="1"/>
      </xdr:nvSpPr>
      <xdr:spPr>
        <a:xfrm>
          <a:off x="17344834" y="40663162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2248</xdr:row>
      <xdr:rowOff>162570</xdr:rowOff>
    </xdr:from>
    <xdr:to>
      <xdr:col>11</xdr:col>
      <xdr:colOff>131573</xdr:colOff>
      <xdr:row>2249</xdr:row>
      <xdr:rowOff>172100</xdr:rowOff>
    </xdr:to>
    <xdr:sp macro="_xll.PtreeEvent_ObjectClick" textlink="">
      <xdr:nvSpPr>
        <xdr:cNvPr id="4457" name="PTObj_DNode_1_1113">
          <a:extLst>
            <a:ext uri="{FF2B5EF4-FFF2-40B4-BE49-F238E27FC236}">
              <a16:creationId xmlns:a16="http://schemas.microsoft.com/office/drawing/2014/main" id="{F720341D-4B9B-4F87-B6AF-4DBAFD6F782F}"/>
            </a:ext>
          </a:extLst>
        </xdr:cNvPr>
        <xdr:cNvSpPr/>
      </xdr:nvSpPr>
      <xdr:spPr>
        <a:xfrm>
          <a:off x="19918807" y="4069943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2248</xdr:row>
      <xdr:rowOff>165591</xdr:rowOff>
    </xdr:from>
    <xdr:ext cx="514858" cy="180627"/>
    <xdr:sp macro="_xll.PtreeEvent_ObjectClick" textlink="">
      <xdr:nvSpPr>
        <xdr:cNvPr id="4460" name="PTObj_DBranchName_1_1113">
          <a:extLst>
            <a:ext uri="{FF2B5EF4-FFF2-40B4-BE49-F238E27FC236}">
              <a16:creationId xmlns:a16="http://schemas.microsoft.com/office/drawing/2014/main" id="{367A9F54-180E-41D8-B7DF-881BF786B7CD}"/>
            </a:ext>
          </a:extLst>
        </xdr:cNvPr>
        <xdr:cNvSpPr txBox="1"/>
      </xdr:nvSpPr>
      <xdr:spPr>
        <a:xfrm>
          <a:off x="18768820" y="40699739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2250</xdr:row>
      <xdr:rowOff>173035</xdr:rowOff>
    </xdr:from>
    <xdr:to>
      <xdr:col>12</xdr:col>
      <xdr:colOff>136337</xdr:colOff>
      <xdr:row>2251</xdr:row>
      <xdr:rowOff>173035</xdr:rowOff>
    </xdr:to>
    <xdr:sp macro="_xll.PtreeEvent_ObjectClick" textlink="">
      <xdr:nvSpPr>
        <xdr:cNvPr id="4461" name="PTObj_DNode_1_1114">
          <a:extLst>
            <a:ext uri="{FF2B5EF4-FFF2-40B4-BE49-F238E27FC236}">
              <a16:creationId xmlns:a16="http://schemas.microsoft.com/office/drawing/2014/main" id="{902B6E6E-202F-4887-99A6-9800284C512B}"/>
            </a:ext>
          </a:extLst>
        </xdr:cNvPr>
        <xdr:cNvSpPr/>
      </xdr:nvSpPr>
      <xdr:spPr>
        <a:xfrm rot="-5400000">
          <a:off x="21347557" y="40736392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2250</xdr:row>
      <xdr:rowOff>171316</xdr:rowOff>
    </xdr:from>
    <xdr:ext cx="514858" cy="180627"/>
    <xdr:sp macro="_xll.PtreeEvent_ObjectClick" textlink="">
      <xdr:nvSpPr>
        <xdr:cNvPr id="4464" name="PTObj_DBranchName_1_1114">
          <a:extLst>
            <a:ext uri="{FF2B5EF4-FFF2-40B4-BE49-F238E27FC236}">
              <a16:creationId xmlns:a16="http://schemas.microsoft.com/office/drawing/2014/main" id="{FE781C77-9258-4160-B4EC-0F941D68641F}"/>
            </a:ext>
          </a:extLst>
        </xdr:cNvPr>
        <xdr:cNvSpPr txBox="1"/>
      </xdr:nvSpPr>
      <xdr:spPr>
        <a:xfrm>
          <a:off x="20188045" y="40736506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2254</xdr:row>
      <xdr:rowOff>173980</xdr:rowOff>
    </xdr:from>
    <xdr:to>
      <xdr:col>9</xdr:col>
      <xdr:colOff>154432</xdr:colOff>
      <xdr:row>2255</xdr:row>
      <xdr:rowOff>168270</xdr:rowOff>
    </xdr:to>
    <xdr:sp macro="_xll.PtreeEvent_ObjectClick" textlink="">
      <xdr:nvSpPr>
        <xdr:cNvPr id="4465" name="PTObj_DNode_1_1116">
          <a:extLst>
            <a:ext uri="{FF2B5EF4-FFF2-40B4-BE49-F238E27FC236}">
              <a16:creationId xmlns:a16="http://schemas.microsoft.com/office/drawing/2014/main" id="{68CEA082-4F85-4933-8A08-54E09B682E2F}"/>
            </a:ext>
          </a:extLst>
        </xdr:cNvPr>
        <xdr:cNvSpPr/>
      </xdr:nvSpPr>
      <xdr:spPr>
        <a:xfrm>
          <a:off x="17068927" y="4080916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2254</xdr:row>
      <xdr:rowOff>171311</xdr:rowOff>
    </xdr:from>
    <xdr:ext cx="566520" cy="180627"/>
    <xdr:sp macro="_xll.PtreeEvent_ObjectClick" textlink="">
      <xdr:nvSpPr>
        <xdr:cNvPr id="4468" name="PTObj_DBranchName_1_1116">
          <a:extLst>
            <a:ext uri="{FF2B5EF4-FFF2-40B4-BE49-F238E27FC236}">
              <a16:creationId xmlns:a16="http://schemas.microsoft.com/office/drawing/2014/main" id="{8DD7BD20-441D-4D90-93D5-8844FB6268E9}"/>
            </a:ext>
          </a:extLst>
        </xdr:cNvPr>
        <xdr:cNvSpPr txBox="1"/>
      </xdr:nvSpPr>
      <xdr:spPr>
        <a:xfrm>
          <a:off x="15926563" y="4080889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2256</xdr:row>
      <xdr:rowOff>177800</xdr:rowOff>
    </xdr:from>
    <xdr:to>
      <xdr:col>10</xdr:col>
      <xdr:colOff>150622</xdr:colOff>
      <xdr:row>2257</xdr:row>
      <xdr:rowOff>170185</xdr:rowOff>
    </xdr:to>
    <xdr:sp macro="_xll.PtreeEvent_ObjectClick" textlink="">
      <xdr:nvSpPr>
        <xdr:cNvPr id="4469" name="PTObj_DNode_1_1117">
          <a:extLst>
            <a:ext uri="{FF2B5EF4-FFF2-40B4-BE49-F238E27FC236}">
              <a16:creationId xmlns:a16="http://schemas.microsoft.com/office/drawing/2014/main" id="{B01213F0-770B-4505-9617-534F0ED2CE50}"/>
            </a:ext>
          </a:extLst>
        </xdr:cNvPr>
        <xdr:cNvSpPr/>
      </xdr:nvSpPr>
      <xdr:spPr>
        <a:xfrm>
          <a:off x="18493867" y="4084574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2256</xdr:row>
      <xdr:rowOff>175106</xdr:rowOff>
    </xdr:from>
    <xdr:ext cx="514857" cy="180627"/>
    <xdr:sp macro="_xll.PtreeEvent_ObjectClick" textlink="">
      <xdr:nvSpPr>
        <xdr:cNvPr id="4472" name="PTObj_DBranchName_1_1117">
          <a:extLst>
            <a:ext uri="{FF2B5EF4-FFF2-40B4-BE49-F238E27FC236}">
              <a16:creationId xmlns:a16="http://schemas.microsoft.com/office/drawing/2014/main" id="{16FA8F82-EA4F-4D0F-A50D-4B715853E813}"/>
            </a:ext>
          </a:extLst>
        </xdr:cNvPr>
        <xdr:cNvSpPr txBox="1"/>
      </xdr:nvSpPr>
      <xdr:spPr>
        <a:xfrm>
          <a:off x="17344834" y="40845470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2259</xdr:row>
      <xdr:rowOff>645</xdr:rowOff>
    </xdr:from>
    <xdr:to>
      <xdr:col>11</xdr:col>
      <xdr:colOff>131573</xdr:colOff>
      <xdr:row>2260</xdr:row>
      <xdr:rowOff>2555</xdr:rowOff>
    </xdr:to>
    <xdr:sp macro="_xll.PtreeEvent_ObjectClick" textlink="">
      <xdr:nvSpPr>
        <xdr:cNvPr id="4473" name="PTObj_DNode_1_1118">
          <a:extLst>
            <a:ext uri="{FF2B5EF4-FFF2-40B4-BE49-F238E27FC236}">
              <a16:creationId xmlns:a16="http://schemas.microsoft.com/office/drawing/2014/main" id="{1625483A-F4E1-4D1A-81FB-688E9FF8C38E}"/>
            </a:ext>
          </a:extLst>
        </xdr:cNvPr>
        <xdr:cNvSpPr/>
      </xdr:nvSpPr>
      <xdr:spPr>
        <a:xfrm>
          <a:off x="19918807" y="4088231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2259</xdr:row>
      <xdr:rowOff>1761</xdr:rowOff>
    </xdr:from>
    <xdr:ext cx="514858" cy="180627"/>
    <xdr:sp macro="_xll.PtreeEvent_ObjectClick" textlink="">
      <xdr:nvSpPr>
        <xdr:cNvPr id="4476" name="PTObj_DBranchName_1_1118">
          <a:extLst>
            <a:ext uri="{FF2B5EF4-FFF2-40B4-BE49-F238E27FC236}">
              <a16:creationId xmlns:a16="http://schemas.microsoft.com/office/drawing/2014/main" id="{9EAB1AD6-2C79-4FE2-BE2E-4A68F70FDD05}"/>
            </a:ext>
          </a:extLst>
        </xdr:cNvPr>
        <xdr:cNvSpPr txBox="1"/>
      </xdr:nvSpPr>
      <xdr:spPr>
        <a:xfrm>
          <a:off x="18768820" y="4088242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2261</xdr:row>
      <xdr:rowOff>9205</xdr:rowOff>
    </xdr:from>
    <xdr:to>
      <xdr:col>12</xdr:col>
      <xdr:colOff>136337</xdr:colOff>
      <xdr:row>2262</xdr:row>
      <xdr:rowOff>16825</xdr:rowOff>
    </xdr:to>
    <xdr:sp macro="_xll.PtreeEvent_ObjectClick" textlink="">
      <xdr:nvSpPr>
        <xdr:cNvPr id="4477" name="PTObj_DNode_1_1119">
          <a:extLst>
            <a:ext uri="{FF2B5EF4-FFF2-40B4-BE49-F238E27FC236}">
              <a16:creationId xmlns:a16="http://schemas.microsoft.com/office/drawing/2014/main" id="{15947778-5C2C-4535-9CEA-9AA5FB49A638}"/>
            </a:ext>
          </a:extLst>
        </xdr:cNvPr>
        <xdr:cNvSpPr/>
      </xdr:nvSpPr>
      <xdr:spPr>
        <a:xfrm rot="-5400000">
          <a:off x="21347557" y="4091908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2261</xdr:row>
      <xdr:rowOff>7486</xdr:rowOff>
    </xdr:from>
    <xdr:ext cx="514858" cy="180627"/>
    <xdr:sp macro="_xll.PtreeEvent_ObjectClick" textlink="">
      <xdr:nvSpPr>
        <xdr:cNvPr id="4480" name="PTObj_DBranchName_1_1119">
          <a:extLst>
            <a:ext uri="{FF2B5EF4-FFF2-40B4-BE49-F238E27FC236}">
              <a16:creationId xmlns:a16="http://schemas.microsoft.com/office/drawing/2014/main" id="{1928B7FA-250D-4217-82D9-7690C795336A}"/>
            </a:ext>
          </a:extLst>
        </xdr:cNvPr>
        <xdr:cNvSpPr txBox="1"/>
      </xdr:nvSpPr>
      <xdr:spPr>
        <a:xfrm>
          <a:off x="20188045" y="4091919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3</xdr:col>
      <xdr:colOff>1419352</xdr:colOff>
      <xdr:row>2424</xdr:row>
      <xdr:rowOff>132060</xdr:rowOff>
    </xdr:from>
    <xdr:to>
      <xdr:col>4</xdr:col>
      <xdr:colOff>173482</xdr:colOff>
      <xdr:row>2425</xdr:row>
      <xdr:rowOff>133945</xdr:rowOff>
    </xdr:to>
    <xdr:sp macro="_xll.PtreeEvent_ObjectClick" textlink="">
      <xdr:nvSpPr>
        <xdr:cNvPr id="4481" name="PTObj_DNode_1_1200">
          <a:extLst>
            <a:ext uri="{FF2B5EF4-FFF2-40B4-BE49-F238E27FC236}">
              <a16:creationId xmlns:a16="http://schemas.microsoft.com/office/drawing/2014/main" id="{6951ABC6-585C-4108-980F-BE025DD3858F}"/>
            </a:ext>
          </a:extLst>
        </xdr:cNvPr>
        <xdr:cNvSpPr/>
      </xdr:nvSpPr>
      <xdr:spPr>
        <a:xfrm>
          <a:off x="9944227" y="4388154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271272</xdr:colOff>
      <xdr:row>2424</xdr:row>
      <xdr:rowOff>137011</xdr:rowOff>
    </xdr:from>
    <xdr:ext cx="566520" cy="180627"/>
    <xdr:sp macro="_xll.PtreeEvent_ObjectClick" textlink="">
      <xdr:nvSpPr>
        <xdr:cNvPr id="4484" name="PTObj_DBranchName_1_1200">
          <a:extLst>
            <a:ext uri="{FF2B5EF4-FFF2-40B4-BE49-F238E27FC236}">
              <a16:creationId xmlns:a16="http://schemas.microsoft.com/office/drawing/2014/main" id="{988E4A28-453C-4CFA-AA98-F2199C501003}"/>
            </a:ext>
          </a:extLst>
        </xdr:cNvPr>
        <xdr:cNvSpPr txBox="1"/>
      </xdr:nvSpPr>
      <xdr:spPr>
        <a:xfrm>
          <a:off x="8796147" y="438820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4</xdr:col>
      <xdr:colOff>1415542</xdr:colOff>
      <xdr:row>2343</xdr:row>
      <xdr:rowOff>160635</xdr:rowOff>
    </xdr:from>
    <xdr:to>
      <xdr:col>5</xdr:col>
      <xdr:colOff>169673</xdr:colOff>
      <xdr:row>2344</xdr:row>
      <xdr:rowOff>168235</xdr:rowOff>
    </xdr:to>
    <xdr:sp macro="_xll.PtreeEvent_ObjectClick" textlink="">
      <xdr:nvSpPr>
        <xdr:cNvPr id="4485" name="PTObj_DNode_1_1160">
          <a:extLst>
            <a:ext uri="{FF2B5EF4-FFF2-40B4-BE49-F238E27FC236}">
              <a16:creationId xmlns:a16="http://schemas.microsoft.com/office/drawing/2014/main" id="{33901E16-7862-41BE-8776-09AD470D3EF0}"/>
            </a:ext>
          </a:extLst>
        </xdr:cNvPr>
        <xdr:cNvSpPr/>
      </xdr:nvSpPr>
      <xdr:spPr>
        <a:xfrm>
          <a:off x="11369167" y="42418506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268414</xdr:colOff>
      <xdr:row>2343</xdr:row>
      <xdr:rowOff>163681</xdr:rowOff>
    </xdr:from>
    <xdr:ext cx="568425" cy="180627"/>
    <xdr:sp macro="_xll.PtreeEvent_ObjectClick" textlink="">
      <xdr:nvSpPr>
        <xdr:cNvPr id="4488" name="PTObj_DBranchName_1_1160">
          <a:extLst>
            <a:ext uri="{FF2B5EF4-FFF2-40B4-BE49-F238E27FC236}">
              <a16:creationId xmlns:a16="http://schemas.microsoft.com/office/drawing/2014/main" id="{7CB5EEDA-64D7-4C8F-93A9-E197C9EC3A89}"/>
            </a:ext>
          </a:extLst>
        </xdr:cNvPr>
        <xdr:cNvSpPr txBox="1"/>
      </xdr:nvSpPr>
      <xdr:spPr>
        <a:xfrm>
          <a:off x="10222039" y="424188106"/>
          <a:ext cx="5684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5</xdr:col>
      <xdr:colOff>1411732</xdr:colOff>
      <xdr:row>2303</xdr:row>
      <xdr:rowOff>84435</xdr:rowOff>
    </xdr:from>
    <xdr:to>
      <xdr:col>6</xdr:col>
      <xdr:colOff>169672</xdr:colOff>
      <xdr:row>2304</xdr:row>
      <xdr:rowOff>95845</xdr:rowOff>
    </xdr:to>
    <xdr:sp macro="_xll.PtreeEvent_ObjectClick" textlink="">
      <xdr:nvSpPr>
        <xdr:cNvPr id="4489" name="PTObj_DNode_1_1140">
          <a:extLst>
            <a:ext uri="{FF2B5EF4-FFF2-40B4-BE49-F238E27FC236}">
              <a16:creationId xmlns:a16="http://schemas.microsoft.com/office/drawing/2014/main" id="{26BA4E6E-55DE-4177-B0AE-A26049968CE8}"/>
            </a:ext>
          </a:extLst>
        </xdr:cNvPr>
        <xdr:cNvSpPr/>
      </xdr:nvSpPr>
      <xdr:spPr>
        <a:xfrm>
          <a:off x="12794107" y="4168698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2303</xdr:row>
      <xdr:rowOff>87481</xdr:rowOff>
    </xdr:from>
    <xdr:ext cx="566520" cy="180627"/>
    <xdr:sp macro="_xll.PtreeEvent_ObjectClick" textlink="">
      <xdr:nvSpPr>
        <xdr:cNvPr id="4492" name="PTObj_DBranchName_1_1140">
          <a:extLst>
            <a:ext uri="{FF2B5EF4-FFF2-40B4-BE49-F238E27FC236}">
              <a16:creationId xmlns:a16="http://schemas.microsoft.com/office/drawing/2014/main" id="{2545E1D8-4D87-4F9C-A7D1-E444450F8EDF}"/>
            </a:ext>
          </a:extLst>
        </xdr:cNvPr>
        <xdr:cNvSpPr txBox="1"/>
      </xdr:nvSpPr>
      <xdr:spPr>
        <a:xfrm>
          <a:off x="11648885" y="416872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2283</xdr:row>
      <xdr:rowOff>46360</xdr:rowOff>
    </xdr:from>
    <xdr:to>
      <xdr:col>7</xdr:col>
      <xdr:colOff>167767</xdr:colOff>
      <xdr:row>2284</xdr:row>
      <xdr:rowOff>53985</xdr:rowOff>
    </xdr:to>
    <xdr:sp macro="_xll.PtreeEvent_ObjectClick" textlink="">
      <xdr:nvSpPr>
        <xdr:cNvPr id="4493" name="PTObj_DNode_1_1130">
          <a:extLst>
            <a:ext uri="{FF2B5EF4-FFF2-40B4-BE49-F238E27FC236}">
              <a16:creationId xmlns:a16="http://schemas.microsoft.com/office/drawing/2014/main" id="{1E994F1A-4F11-4FFB-961D-58F5871291D6}"/>
            </a:ext>
          </a:extLst>
        </xdr:cNvPr>
        <xdr:cNvSpPr/>
      </xdr:nvSpPr>
      <xdr:spPr>
        <a:xfrm>
          <a:off x="14219047" y="4132122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2283</xdr:row>
      <xdr:rowOff>49381</xdr:rowOff>
    </xdr:from>
    <xdr:ext cx="568424" cy="180627"/>
    <xdr:sp macro="_xll.PtreeEvent_ObjectClick" textlink="">
      <xdr:nvSpPr>
        <xdr:cNvPr id="4496" name="PTObj_DBranchName_1_1130">
          <a:extLst>
            <a:ext uri="{FF2B5EF4-FFF2-40B4-BE49-F238E27FC236}">
              <a16:creationId xmlns:a16="http://schemas.microsoft.com/office/drawing/2014/main" id="{312396AE-BB22-4E0D-B745-E0EA66915529}"/>
            </a:ext>
          </a:extLst>
        </xdr:cNvPr>
        <xdr:cNvSpPr txBox="1"/>
      </xdr:nvSpPr>
      <xdr:spPr>
        <a:xfrm>
          <a:off x="13072872" y="41321530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2273</xdr:row>
      <xdr:rowOff>27310</xdr:rowOff>
    </xdr:from>
    <xdr:to>
      <xdr:col>8</xdr:col>
      <xdr:colOff>171578</xdr:colOff>
      <xdr:row>2274</xdr:row>
      <xdr:rowOff>21600</xdr:rowOff>
    </xdr:to>
    <xdr:sp macro="_xll.PtreeEvent_ObjectClick" textlink="">
      <xdr:nvSpPr>
        <xdr:cNvPr id="4497" name="PTObj_DNode_1_1125">
          <a:extLst>
            <a:ext uri="{FF2B5EF4-FFF2-40B4-BE49-F238E27FC236}">
              <a16:creationId xmlns:a16="http://schemas.microsoft.com/office/drawing/2014/main" id="{3959998E-3247-4850-B966-55F8788247DE}"/>
            </a:ext>
          </a:extLst>
        </xdr:cNvPr>
        <xdr:cNvSpPr/>
      </xdr:nvSpPr>
      <xdr:spPr>
        <a:xfrm>
          <a:off x="15643988" y="4113834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2273</xdr:row>
      <xdr:rowOff>26521</xdr:rowOff>
    </xdr:from>
    <xdr:ext cx="566520" cy="180627"/>
    <xdr:sp macro="_xll.PtreeEvent_ObjectClick" textlink="">
      <xdr:nvSpPr>
        <xdr:cNvPr id="4500" name="PTObj_DBranchName_1_1125">
          <a:extLst>
            <a:ext uri="{FF2B5EF4-FFF2-40B4-BE49-F238E27FC236}">
              <a16:creationId xmlns:a16="http://schemas.microsoft.com/office/drawing/2014/main" id="{F974A285-E27B-4C7E-97FD-B3179FA14260}"/>
            </a:ext>
          </a:extLst>
        </xdr:cNvPr>
        <xdr:cNvSpPr txBox="1"/>
      </xdr:nvSpPr>
      <xdr:spPr>
        <a:xfrm>
          <a:off x="14500670" y="4113826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2265</xdr:row>
      <xdr:rowOff>12055</xdr:rowOff>
    </xdr:from>
    <xdr:to>
      <xdr:col>9</xdr:col>
      <xdr:colOff>154432</xdr:colOff>
      <xdr:row>2266</xdr:row>
      <xdr:rowOff>21585</xdr:rowOff>
    </xdr:to>
    <xdr:sp macro="_xll.PtreeEvent_ObjectClick" textlink="">
      <xdr:nvSpPr>
        <xdr:cNvPr id="4501" name="PTObj_DNode_1_1121">
          <a:extLst>
            <a:ext uri="{FF2B5EF4-FFF2-40B4-BE49-F238E27FC236}">
              <a16:creationId xmlns:a16="http://schemas.microsoft.com/office/drawing/2014/main" id="{1F4B6910-9009-4249-AD2B-64C06669B7E1}"/>
            </a:ext>
          </a:extLst>
        </xdr:cNvPr>
        <xdr:cNvSpPr/>
      </xdr:nvSpPr>
      <xdr:spPr>
        <a:xfrm>
          <a:off x="17068927" y="4099204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2265</xdr:row>
      <xdr:rowOff>17006</xdr:rowOff>
    </xdr:from>
    <xdr:ext cx="566519" cy="180627"/>
    <xdr:sp macro="_xll.PtreeEvent_ObjectClick" textlink="">
      <xdr:nvSpPr>
        <xdr:cNvPr id="4504" name="PTObj_DBranchName_1_1121">
          <a:extLst>
            <a:ext uri="{FF2B5EF4-FFF2-40B4-BE49-F238E27FC236}">
              <a16:creationId xmlns:a16="http://schemas.microsoft.com/office/drawing/2014/main" id="{AD096A6E-247E-4772-89A5-C8FF0947AD88}"/>
            </a:ext>
          </a:extLst>
        </xdr:cNvPr>
        <xdr:cNvSpPr txBox="1"/>
      </xdr:nvSpPr>
      <xdr:spPr>
        <a:xfrm>
          <a:off x="15922752" y="4099253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2267</xdr:row>
      <xdr:rowOff>15875</xdr:rowOff>
    </xdr:from>
    <xdr:to>
      <xdr:col>10</xdr:col>
      <xdr:colOff>150622</xdr:colOff>
      <xdr:row>2268</xdr:row>
      <xdr:rowOff>21595</xdr:rowOff>
    </xdr:to>
    <xdr:sp macro="_xll.PtreeEvent_ObjectClick" textlink="">
      <xdr:nvSpPr>
        <xdr:cNvPr id="4505" name="PTObj_DNode_1_1122">
          <a:extLst>
            <a:ext uri="{FF2B5EF4-FFF2-40B4-BE49-F238E27FC236}">
              <a16:creationId xmlns:a16="http://schemas.microsoft.com/office/drawing/2014/main" id="{7A54242D-C80F-4FC0-B3E6-C0FEF9419FD8}"/>
            </a:ext>
          </a:extLst>
        </xdr:cNvPr>
        <xdr:cNvSpPr/>
      </xdr:nvSpPr>
      <xdr:spPr>
        <a:xfrm>
          <a:off x="18493867" y="4102862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2267</xdr:row>
      <xdr:rowOff>20801</xdr:rowOff>
    </xdr:from>
    <xdr:ext cx="514857" cy="180627"/>
    <xdr:sp macro="_xll.PtreeEvent_ObjectClick" textlink="">
      <xdr:nvSpPr>
        <xdr:cNvPr id="4508" name="PTObj_DBranchName_1_1122">
          <a:extLst>
            <a:ext uri="{FF2B5EF4-FFF2-40B4-BE49-F238E27FC236}">
              <a16:creationId xmlns:a16="http://schemas.microsoft.com/office/drawing/2014/main" id="{630114DE-8639-403B-8BE7-EFDDD05AA8CF}"/>
            </a:ext>
          </a:extLst>
        </xdr:cNvPr>
        <xdr:cNvSpPr txBox="1"/>
      </xdr:nvSpPr>
      <xdr:spPr>
        <a:xfrm>
          <a:off x="17344834" y="4102911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2269</xdr:row>
      <xdr:rowOff>19695</xdr:rowOff>
    </xdr:from>
    <xdr:to>
      <xdr:col>11</xdr:col>
      <xdr:colOff>131573</xdr:colOff>
      <xdr:row>2270</xdr:row>
      <xdr:rowOff>21605</xdr:rowOff>
    </xdr:to>
    <xdr:sp macro="_xll.PtreeEvent_ObjectClick" textlink="">
      <xdr:nvSpPr>
        <xdr:cNvPr id="4509" name="PTObj_DNode_1_1123">
          <a:extLst>
            <a:ext uri="{FF2B5EF4-FFF2-40B4-BE49-F238E27FC236}">
              <a16:creationId xmlns:a16="http://schemas.microsoft.com/office/drawing/2014/main" id="{20E4D890-91D0-4B99-8597-6FC0BF37BBEB}"/>
            </a:ext>
          </a:extLst>
        </xdr:cNvPr>
        <xdr:cNvSpPr/>
      </xdr:nvSpPr>
      <xdr:spPr>
        <a:xfrm>
          <a:off x="19918807" y="4106519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2269</xdr:row>
      <xdr:rowOff>17001</xdr:rowOff>
    </xdr:from>
    <xdr:ext cx="514858" cy="180627"/>
    <xdr:sp macro="_xll.PtreeEvent_ObjectClick" textlink="">
      <xdr:nvSpPr>
        <xdr:cNvPr id="4512" name="PTObj_DBranchName_1_1123">
          <a:extLst>
            <a:ext uri="{FF2B5EF4-FFF2-40B4-BE49-F238E27FC236}">
              <a16:creationId xmlns:a16="http://schemas.microsoft.com/office/drawing/2014/main" id="{17606694-F02B-4D3A-8CD9-FB359EE315F6}"/>
            </a:ext>
          </a:extLst>
        </xdr:cNvPr>
        <xdr:cNvSpPr txBox="1"/>
      </xdr:nvSpPr>
      <xdr:spPr>
        <a:xfrm>
          <a:off x="18768820" y="4106492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2271</xdr:row>
      <xdr:rowOff>22540</xdr:rowOff>
    </xdr:from>
    <xdr:to>
      <xdr:col>12</xdr:col>
      <xdr:colOff>136337</xdr:colOff>
      <xdr:row>2272</xdr:row>
      <xdr:rowOff>22540</xdr:rowOff>
    </xdr:to>
    <xdr:sp macro="_xll.PtreeEvent_ObjectClick" textlink="">
      <xdr:nvSpPr>
        <xdr:cNvPr id="4513" name="PTObj_DNode_1_1124">
          <a:extLst>
            <a:ext uri="{FF2B5EF4-FFF2-40B4-BE49-F238E27FC236}">
              <a16:creationId xmlns:a16="http://schemas.microsoft.com/office/drawing/2014/main" id="{D12EE9DA-772D-4D89-881D-738084B1462D}"/>
            </a:ext>
          </a:extLst>
        </xdr:cNvPr>
        <xdr:cNvSpPr/>
      </xdr:nvSpPr>
      <xdr:spPr>
        <a:xfrm rot="-5400000">
          <a:off x="21347557" y="4110139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2271</xdr:row>
      <xdr:rowOff>20821</xdr:rowOff>
    </xdr:from>
    <xdr:ext cx="514858" cy="180627"/>
    <xdr:sp macro="_xll.PtreeEvent_ObjectClick" textlink="">
      <xdr:nvSpPr>
        <xdr:cNvPr id="4516" name="PTObj_DBranchName_1_1124">
          <a:extLst>
            <a:ext uri="{FF2B5EF4-FFF2-40B4-BE49-F238E27FC236}">
              <a16:creationId xmlns:a16="http://schemas.microsoft.com/office/drawing/2014/main" id="{50AF4FEB-F092-47FB-BC42-3F8013A0C697}"/>
            </a:ext>
          </a:extLst>
        </xdr:cNvPr>
        <xdr:cNvSpPr txBox="1"/>
      </xdr:nvSpPr>
      <xdr:spPr>
        <a:xfrm>
          <a:off x="20188045" y="4110150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2275</xdr:row>
      <xdr:rowOff>31105</xdr:rowOff>
    </xdr:from>
    <xdr:to>
      <xdr:col>9</xdr:col>
      <xdr:colOff>154432</xdr:colOff>
      <xdr:row>2276</xdr:row>
      <xdr:rowOff>17775</xdr:rowOff>
    </xdr:to>
    <xdr:sp macro="_xll.PtreeEvent_ObjectClick" textlink="">
      <xdr:nvSpPr>
        <xdr:cNvPr id="4517" name="PTObj_DNode_1_1126">
          <a:extLst>
            <a:ext uri="{FF2B5EF4-FFF2-40B4-BE49-F238E27FC236}">
              <a16:creationId xmlns:a16="http://schemas.microsoft.com/office/drawing/2014/main" id="{A20D4854-E19B-40CD-ACDD-E384CB9E2E16}"/>
            </a:ext>
          </a:extLst>
        </xdr:cNvPr>
        <xdr:cNvSpPr/>
      </xdr:nvSpPr>
      <xdr:spPr>
        <a:xfrm>
          <a:off x="17068927" y="4117492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2275</xdr:row>
      <xdr:rowOff>30341</xdr:rowOff>
    </xdr:from>
    <xdr:ext cx="566520" cy="180627"/>
    <xdr:sp macro="_xll.PtreeEvent_ObjectClick" textlink="">
      <xdr:nvSpPr>
        <xdr:cNvPr id="4520" name="PTObj_DBranchName_1_1126">
          <a:extLst>
            <a:ext uri="{FF2B5EF4-FFF2-40B4-BE49-F238E27FC236}">
              <a16:creationId xmlns:a16="http://schemas.microsoft.com/office/drawing/2014/main" id="{92330EE7-BA2B-46EE-B90A-721E50CDBDB6}"/>
            </a:ext>
          </a:extLst>
        </xdr:cNvPr>
        <xdr:cNvSpPr txBox="1"/>
      </xdr:nvSpPr>
      <xdr:spPr>
        <a:xfrm>
          <a:off x="15926563" y="4117484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2277</xdr:row>
      <xdr:rowOff>34925</xdr:rowOff>
    </xdr:from>
    <xdr:to>
      <xdr:col>10</xdr:col>
      <xdr:colOff>150622</xdr:colOff>
      <xdr:row>2278</xdr:row>
      <xdr:rowOff>36835</xdr:rowOff>
    </xdr:to>
    <xdr:sp macro="_xll.PtreeEvent_ObjectClick" textlink="">
      <xdr:nvSpPr>
        <xdr:cNvPr id="4521" name="PTObj_DNode_1_1127">
          <a:extLst>
            <a:ext uri="{FF2B5EF4-FFF2-40B4-BE49-F238E27FC236}">
              <a16:creationId xmlns:a16="http://schemas.microsoft.com/office/drawing/2014/main" id="{9392BF53-6C44-490F-A927-6B4A433AAE35}"/>
            </a:ext>
          </a:extLst>
        </xdr:cNvPr>
        <xdr:cNvSpPr/>
      </xdr:nvSpPr>
      <xdr:spPr>
        <a:xfrm>
          <a:off x="18493867" y="4121150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2277</xdr:row>
      <xdr:rowOff>36041</xdr:rowOff>
    </xdr:from>
    <xdr:ext cx="514857" cy="180627"/>
    <xdr:sp macro="_xll.PtreeEvent_ObjectClick" textlink="">
      <xdr:nvSpPr>
        <xdr:cNvPr id="4524" name="PTObj_DBranchName_1_1127">
          <a:extLst>
            <a:ext uri="{FF2B5EF4-FFF2-40B4-BE49-F238E27FC236}">
              <a16:creationId xmlns:a16="http://schemas.microsoft.com/office/drawing/2014/main" id="{EFE525E2-C1AA-42BB-99C1-4E4D06701869}"/>
            </a:ext>
          </a:extLst>
        </xdr:cNvPr>
        <xdr:cNvSpPr txBox="1"/>
      </xdr:nvSpPr>
      <xdr:spPr>
        <a:xfrm>
          <a:off x="17344834" y="4121161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2279</xdr:row>
      <xdr:rowOff>38745</xdr:rowOff>
    </xdr:from>
    <xdr:to>
      <xdr:col>11</xdr:col>
      <xdr:colOff>131573</xdr:colOff>
      <xdr:row>2280</xdr:row>
      <xdr:rowOff>40655</xdr:rowOff>
    </xdr:to>
    <xdr:sp macro="_xll.PtreeEvent_ObjectClick" textlink="">
      <xdr:nvSpPr>
        <xdr:cNvPr id="4525" name="PTObj_DNode_1_1128">
          <a:extLst>
            <a:ext uri="{FF2B5EF4-FFF2-40B4-BE49-F238E27FC236}">
              <a16:creationId xmlns:a16="http://schemas.microsoft.com/office/drawing/2014/main" id="{0C67C788-539C-4532-9E49-CA5CB4B40199}"/>
            </a:ext>
          </a:extLst>
        </xdr:cNvPr>
        <xdr:cNvSpPr/>
      </xdr:nvSpPr>
      <xdr:spPr>
        <a:xfrm>
          <a:off x="19918807" y="4124807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2279</xdr:row>
      <xdr:rowOff>39861</xdr:rowOff>
    </xdr:from>
    <xdr:ext cx="514858" cy="180627"/>
    <xdr:sp macro="_xll.PtreeEvent_ObjectClick" textlink="">
      <xdr:nvSpPr>
        <xdr:cNvPr id="4528" name="PTObj_DBranchName_1_1128">
          <a:extLst>
            <a:ext uri="{FF2B5EF4-FFF2-40B4-BE49-F238E27FC236}">
              <a16:creationId xmlns:a16="http://schemas.microsoft.com/office/drawing/2014/main" id="{62890D4B-0546-4F49-B0DA-207396F61EB2}"/>
            </a:ext>
          </a:extLst>
        </xdr:cNvPr>
        <xdr:cNvSpPr txBox="1"/>
      </xdr:nvSpPr>
      <xdr:spPr>
        <a:xfrm>
          <a:off x="18768820" y="4124818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2281</xdr:row>
      <xdr:rowOff>47305</xdr:rowOff>
    </xdr:from>
    <xdr:to>
      <xdr:col>12</xdr:col>
      <xdr:colOff>136337</xdr:colOff>
      <xdr:row>2282</xdr:row>
      <xdr:rowOff>54925</xdr:rowOff>
    </xdr:to>
    <xdr:sp macro="_xll.PtreeEvent_ObjectClick" textlink="">
      <xdr:nvSpPr>
        <xdr:cNvPr id="4529" name="PTObj_DNode_1_1129">
          <a:extLst>
            <a:ext uri="{FF2B5EF4-FFF2-40B4-BE49-F238E27FC236}">
              <a16:creationId xmlns:a16="http://schemas.microsoft.com/office/drawing/2014/main" id="{7735C8CA-085F-4700-929A-27E08F9D4731}"/>
            </a:ext>
          </a:extLst>
        </xdr:cNvPr>
        <xdr:cNvSpPr/>
      </xdr:nvSpPr>
      <xdr:spPr>
        <a:xfrm rot="-5400000">
          <a:off x="21347557" y="412848420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2281</xdr:row>
      <xdr:rowOff>45586</xdr:rowOff>
    </xdr:from>
    <xdr:ext cx="514858" cy="180627"/>
    <xdr:sp macro="_xll.PtreeEvent_ObjectClick" textlink="">
      <xdr:nvSpPr>
        <xdr:cNvPr id="4532" name="PTObj_DBranchName_1_1129">
          <a:extLst>
            <a:ext uri="{FF2B5EF4-FFF2-40B4-BE49-F238E27FC236}">
              <a16:creationId xmlns:a16="http://schemas.microsoft.com/office/drawing/2014/main" id="{4D6E7182-36EF-4BA8-BFB1-DF19A232638F}"/>
            </a:ext>
          </a:extLst>
        </xdr:cNvPr>
        <xdr:cNvSpPr txBox="1"/>
      </xdr:nvSpPr>
      <xdr:spPr>
        <a:xfrm>
          <a:off x="20188045" y="41284956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2293</xdr:row>
      <xdr:rowOff>65410</xdr:rowOff>
    </xdr:from>
    <xdr:to>
      <xdr:col>8</xdr:col>
      <xdr:colOff>167768</xdr:colOff>
      <xdr:row>2294</xdr:row>
      <xdr:rowOff>55890</xdr:rowOff>
    </xdr:to>
    <xdr:sp macro="_xll.PtreeEvent_ObjectClick" textlink="">
      <xdr:nvSpPr>
        <xdr:cNvPr id="4533" name="PTObj_DNode_1_1135">
          <a:extLst>
            <a:ext uri="{FF2B5EF4-FFF2-40B4-BE49-F238E27FC236}">
              <a16:creationId xmlns:a16="http://schemas.microsoft.com/office/drawing/2014/main" id="{0A960CE3-776B-45DC-9B6F-2DAF05CADA3F}"/>
            </a:ext>
          </a:extLst>
        </xdr:cNvPr>
        <xdr:cNvSpPr/>
      </xdr:nvSpPr>
      <xdr:spPr>
        <a:xfrm>
          <a:off x="15643988" y="415041085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2293</xdr:row>
      <xdr:rowOff>64621</xdr:rowOff>
    </xdr:from>
    <xdr:ext cx="566520" cy="180627"/>
    <xdr:sp macro="_xll.PtreeEvent_ObjectClick" textlink="">
      <xdr:nvSpPr>
        <xdr:cNvPr id="4536" name="PTObj_DBranchName_1_1135">
          <a:extLst>
            <a:ext uri="{FF2B5EF4-FFF2-40B4-BE49-F238E27FC236}">
              <a16:creationId xmlns:a16="http://schemas.microsoft.com/office/drawing/2014/main" id="{554A2FDF-60E4-4822-BD79-EF8D37E0A8A1}"/>
            </a:ext>
          </a:extLst>
        </xdr:cNvPr>
        <xdr:cNvSpPr txBox="1"/>
      </xdr:nvSpPr>
      <xdr:spPr>
        <a:xfrm>
          <a:off x="14498765" y="415040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2285</xdr:row>
      <xdr:rowOff>50155</xdr:rowOff>
    </xdr:from>
    <xdr:to>
      <xdr:col>9</xdr:col>
      <xdr:colOff>154432</xdr:colOff>
      <xdr:row>2286</xdr:row>
      <xdr:rowOff>55875</xdr:rowOff>
    </xdr:to>
    <xdr:sp macro="_xll.PtreeEvent_ObjectClick" textlink="">
      <xdr:nvSpPr>
        <xdr:cNvPr id="4537" name="PTObj_DNode_1_1131">
          <a:extLst>
            <a:ext uri="{FF2B5EF4-FFF2-40B4-BE49-F238E27FC236}">
              <a16:creationId xmlns:a16="http://schemas.microsoft.com/office/drawing/2014/main" id="{0070B272-2BE0-4F2F-A000-F68A6100FD07}"/>
            </a:ext>
          </a:extLst>
        </xdr:cNvPr>
        <xdr:cNvSpPr/>
      </xdr:nvSpPr>
      <xdr:spPr>
        <a:xfrm>
          <a:off x="17068927" y="4135780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2285</xdr:row>
      <xdr:rowOff>55106</xdr:rowOff>
    </xdr:from>
    <xdr:ext cx="566519" cy="180627"/>
    <xdr:sp macro="_xll.PtreeEvent_ObjectClick" textlink="">
      <xdr:nvSpPr>
        <xdr:cNvPr id="4540" name="PTObj_DBranchName_1_1131">
          <a:extLst>
            <a:ext uri="{FF2B5EF4-FFF2-40B4-BE49-F238E27FC236}">
              <a16:creationId xmlns:a16="http://schemas.microsoft.com/office/drawing/2014/main" id="{E7217694-8094-488A-9D57-BF6B7B20DD52}"/>
            </a:ext>
          </a:extLst>
        </xdr:cNvPr>
        <xdr:cNvSpPr txBox="1"/>
      </xdr:nvSpPr>
      <xdr:spPr>
        <a:xfrm>
          <a:off x="15922752" y="4135829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2287</xdr:row>
      <xdr:rowOff>53975</xdr:rowOff>
    </xdr:from>
    <xdr:to>
      <xdr:col>10</xdr:col>
      <xdr:colOff>150622</xdr:colOff>
      <xdr:row>2288</xdr:row>
      <xdr:rowOff>55885</xdr:rowOff>
    </xdr:to>
    <xdr:sp macro="_xll.PtreeEvent_ObjectClick" textlink="">
      <xdr:nvSpPr>
        <xdr:cNvPr id="4541" name="PTObj_DNode_1_1132">
          <a:extLst>
            <a:ext uri="{FF2B5EF4-FFF2-40B4-BE49-F238E27FC236}">
              <a16:creationId xmlns:a16="http://schemas.microsoft.com/office/drawing/2014/main" id="{CC2F9104-83D6-445A-A6D6-538E75F63DA6}"/>
            </a:ext>
          </a:extLst>
        </xdr:cNvPr>
        <xdr:cNvSpPr/>
      </xdr:nvSpPr>
      <xdr:spPr>
        <a:xfrm>
          <a:off x="18493867" y="4139438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2287</xdr:row>
      <xdr:rowOff>58901</xdr:rowOff>
    </xdr:from>
    <xdr:ext cx="514857" cy="180627"/>
    <xdr:sp macro="_xll.PtreeEvent_ObjectClick" textlink="">
      <xdr:nvSpPr>
        <xdr:cNvPr id="4544" name="PTObj_DBranchName_1_1132">
          <a:extLst>
            <a:ext uri="{FF2B5EF4-FFF2-40B4-BE49-F238E27FC236}">
              <a16:creationId xmlns:a16="http://schemas.microsoft.com/office/drawing/2014/main" id="{CDE46072-319A-420F-A2D3-B6E4D2812D54}"/>
            </a:ext>
          </a:extLst>
        </xdr:cNvPr>
        <xdr:cNvSpPr txBox="1"/>
      </xdr:nvSpPr>
      <xdr:spPr>
        <a:xfrm>
          <a:off x="17344834" y="41394872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2289</xdr:row>
      <xdr:rowOff>57795</xdr:rowOff>
    </xdr:from>
    <xdr:to>
      <xdr:col>11</xdr:col>
      <xdr:colOff>135383</xdr:colOff>
      <xdr:row>2290</xdr:row>
      <xdr:rowOff>55895</xdr:rowOff>
    </xdr:to>
    <xdr:sp macro="_xll.PtreeEvent_ObjectClick" textlink="">
      <xdr:nvSpPr>
        <xdr:cNvPr id="4545" name="PTObj_DNode_1_1133">
          <a:extLst>
            <a:ext uri="{FF2B5EF4-FFF2-40B4-BE49-F238E27FC236}">
              <a16:creationId xmlns:a16="http://schemas.microsoft.com/office/drawing/2014/main" id="{C6C70020-593A-4F2A-8389-C84D8B6678DD}"/>
            </a:ext>
          </a:extLst>
        </xdr:cNvPr>
        <xdr:cNvSpPr/>
      </xdr:nvSpPr>
      <xdr:spPr>
        <a:xfrm>
          <a:off x="19918807" y="414309570"/>
          <a:ext cx="182881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2289</xdr:row>
      <xdr:rowOff>55101</xdr:rowOff>
    </xdr:from>
    <xdr:ext cx="514858" cy="180627"/>
    <xdr:sp macro="_xll.PtreeEvent_ObjectClick" textlink="">
      <xdr:nvSpPr>
        <xdr:cNvPr id="4548" name="PTObj_DBranchName_1_1133">
          <a:extLst>
            <a:ext uri="{FF2B5EF4-FFF2-40B4-BE49-F238E27FC236}">
              <a16:creationId xmlns:a16="http://schemas.microsoft.com/office/drawing/2014/main" id="{73831A66-4C73-4770-8090-1DB3C5A01051}"/>
            </a:ext>
          </a:extLst>
        </xdr:cNvPr>
        <xdr:cNvSpPr txBox="1"/>
      </xdr:nvSpPr>
      <xdr:spPr>
        <a:xfrm>
          <a:off x="18768820" y="41430687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1389822</xdr:colOff>
      <xdr:row>2291</xdr:row>
      <xdr:rowOff>60640</xdr:rowOff>
    </xdr:from>
    <xdr:to>
      <xdr:col>12</xdr:col>
      <xdr:colOff>132527</xdr:colOff>
      <xdr:row>2292</xdr:row>
      <xdr:rowOff>56830</xdr:rowOff>
    </xdr:to>
    <xdr:sp macro="_xll.PtreeEvent_ObjectClick" textlink="">
      <xdr:nvSpPr>
        <xdr:cNvPr id="4549" name="PTObj_DNode_1_1134">
          <a:extLst>
            <a:ext uri="{FF2B5EF4-FFF2-40B4-BE49-F238E27FC236}">
              <a16:creationId xmlns:a16="http://schemas.microsoft.com/office/drawing/2014/main" id="{DE3FE364-EA1B-4776-AD87-92698CE624D7}"/>
            </a:ext>
          </a:extLst>
        </xdr:cNvPr>
        <xdr:cNvSpPr/>
      </xdr:nvSpPr>
      <xdr:spPr>
        <a:xfrm rot="-5400000">
          <a:off x="21347557" y="414671505"/>
          <a:ext cx="177165" cy="18288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2291</xdr:row>
      <xdr:rowOff>58921</xdr:rowOff>
    </xdr:from>
    <xdr:ext cx="514858" cy="180627"/>
    <xdr:sp macro="_xll.PtreeEvent_ObjectClick" textlink="">
      <xdr:nvSpPr>
        <xdr:cNvPr id="4552" name="PTObj_DBranchName_1_1134">
          <a:extLst>
            <a:ext uri="{FF2B5EF4-FFF2-40B4-BE49-F238E27FC236}">
              <a16:creationId xmlns:a16="http://schemas.microsoft.com/office/drawing/2014/main" id="{5CB300F8-C82E-4B1F-8860-D321DDF4125B}"/>
            </a:ext>
          </a:extLst>
        </xdr:cNvPr>
        <xdr:cNvSpPr txBox="1"/>
      </xdr:nvSpPr>
      <xdr:spPr>
        <a:xfrm>
          <a:off x="20188045" y="41467264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2295</xdr:row>
      <xdr:rowOff>69205</xdr:rowOff>
    </xdr:from>
    <xdr:to>
      <xdr:col>9</xdr:col>
      <xdr:colOff>154432</xdr:colOff>
      <xdr:row>2296</xdr:row>
      <xdr:rowOff>59685</xdr:rowOff>
    </xdr:to>
    <xdr:sp macro="_xll.PtreeEvent_ObjectClick" textlink="">
      <xdr:nvSpPr>
        <xdr:cNvPr id="4553" name="PTObj_DNode_1_1136">
          <a:extLst>
            <a:ext uri="{FF2B5EF4-FFF2-40B4-BE49-F238E27FC236}">
              <a16:creationId xmlns:a16="http://schemas.microsoft.com/office/drawing/2014/main" id="{D50E73A6-EE67-45AE-9883-3F2C3D75BC7C}"/>
            </a:ext>
          </a:extLst>
        </xdr:cNvPr>
        <xdr:cNvSpPr/>
      </xdr:nvSpPr>
      <xdr:spPr>
        <a:xfrm>
          <a:off x="17068927" y="41540683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2295</xdr:row>
      <xdr:rowOff>68441</xdr:rowOff>
    </xdr:from>
    <xdr:ext cx="566520" cy="180627"/>
    <xdr:sp macro="_xll.PtreeEvent_ObjectClick" textlink="">
      <xdr:nvSpPr>
        <xdr:cNvPr id="4556" name="PTObj_DBranchName_1_1136">
          <a:extLst>
            <a:ext uri="{FF2B5EF4-FFF2-40B4-BE49-F238E27FC236}">
              <a16:creationId xmlns:a16="http://schemas.microsoft.com/office/drawing/2014/main" id="{9E3C8243-B957-4496-B8D4-7A7A5B6D1B29}"/>
            </a:ext>
          </a:extLst>
        </xdr:cNvPr>
        <xdr:cNvSpPr txBox="1"/>
      </xdr:nvSpPr>
      <xdr:spPr>
        <a:xfrm>
          <a:off x="15926563" y="4154060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2297</xdr:row>
      <xdr:rowOff>73025</xdr:rowOff>
    </xdr:from>
    <xdr:to>
      <xdr:col>10</xdr:col>
      <xdr:colOff>150622</xdr:colOff>
      <xdr:row>2298</xdr:row>
      <xdr:rowOff>74935</xdr:rowOff>
    </xdr:to>
    <xdr:sp macro="_xll.PtreeEvent_ObjectClick" textlink="">
      <xdr:nvSpPr>
        <xdr:cNvPr id="4557" name="PTObj_DNode_1_1137">
          <a:extLst>
            <a:ext uri="{FF2B5EF4-FFF2-40B4-BE49-F238E27FC236}">
              <a16:creationId xmlns:a16="http://schemas.microsoft.com/office/drawing/2014/main" id="{6C7536C0-6EEC-48FF-AFF9-199E139F05FD}"/>
            </a:ext>
          </a:extLst>
        </xdr:cNvPr>
        <xdr:cNvSpPr/>
      </xdr:nvSpPr>
      <xdr:spPr>
        <a:xfrm>
          <a:off x="18493867" y="415772600"/>
          <a:ext cx="182880" cy="18288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2297</xdr:row>
      <xdr:rowOff>74141</xdr:rowOff>
    </xdr:from>
    <xdr:ext cx="514857" cy="180627"/>
    <xdr:sp macro="_xll.PtreeEvent_ObjectClick" textlink="">
      <xdr:nvSpPr>
        <xdr:cNvPr id="4560" name="PTObj_DBranchName_1_1137">
          <a:extLst>
            <a:ext uri="{FF2B5EF4-FFF2-40B4-BE49-F238E27FC236}">
              <a16:creationId xmlns:a16="http://schemas.microsoft.com/office/drawing/2014/main" id="{795D181A-A87A-4B3D-97B4-067190490098}"/>
            </a:ext>
          </a:extLst>
        </xdr:cNvPr>
        <xdr:cNvSpPr txBox="1"/>
      </xdr:nvSpPr>
      <xdr:spPr>
        <a:xfrm>
          <a:off x="17344834" y="41577371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2299</xdr:row>
      <xdr:rowOff>76845</xdr:rowOff>
    </xdr:from>
    <xdr:to>
      <xdr:col>11</xdr:col>
      <xdr:colOff>135383</xdr:colOff>
      <xdr:row>2300</xdr:row>
      <xdr:rowOff>78730</xdr:rowOff>
    </xdr:to>
    <xdr:sp macro="_xll.PtreeEvent_ObjectClick" textlink="">
      <xdr:nvSpPr>
        <xdr:cNvPr id="4561" name="PTObj_DNode_1_1138">
          <a:extLst>
            <a:ext uri="{FF2B5EF4-FFF2-40B4-BE49-F238E27FC236}">
              <a16:creationId xmlns:a16="http://schemas.microsoft.com/office/drawing/2014/main" id="{0119531C-AC1F-4414-82CC-B3F7E0EB449E}"/>
            </a:ext>
          </a:extLst>
        </xdr:cNvPr>
        <xdr:cNvSpPr/>
      </xdr:nvSpPr>
      <xdr:spPr>
        <a:xfrm>
          <a:off x="19918807" y="4161383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2299</xdr:row>
      <xdr:rowOff>77961</xdr:rowOff>
    </xdr:from>
    <xdr:ext cx="514858" cy="180627"/>
    <xdr:sp macro="_xll.PtreeEvent_ObjectClick" textlink="">
      <xdr:nvSpPr>
        <xdr:cNvPr id="4564" name="PTObj_DBranchName_1_1138">
          <a:extLst>
            <a:ext uri="{FF2B5EF4-FFF2-40B4-BE49-F238E27FC236}">
              <a16:creationId xmlns:a16="http://schemas.microsoft.com/office/drawing/2014/main" id="{D68C5977-58BF-4418-B84F-76DFFFCC03CF}"/>
            </a:ext>
          </a:extLst>
        </xdr:cNvPr>
        <xdr:cNvSpPr txBox="1"/>
      </xdr:nvSpPr>
      <xdr:spPr>
        <a:xfrm>
          <a:off x="18768820" y="41613948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2301</xdr:row>
      <xdr:rowOff>85417</xdr:rowOff>
    </xdr:from>
    <xdr:to>
      <xdr:col>12</xdr:col>
      <xdr:colOff>132515</xdr:colOff>
      <xdr:row>2302</xdr:row>
      <xdr:rowOff>96847</xdr:rowOff>
    </xdr:to>
    <xdr:sp macro="_xll.PtreeEvent_ObjectClick" textlink="">
      <xdr:nvSpPr>
        <xdr:cNvPr id="4565" name="PTObj_DNode_1_1139">
          <a:extLst>
            <a:ext uri="{FF2B5EF4-FFF2-40B4-BE49-F238E27FC236}">
              <a16:creationId xmlns:a16="http://schemas.microsoft.com/office/drawing/2014/main" id="{C5EEDD31-E149-45AA-B249-3F2DB5AAF0A7}"/>
            </a:ext>
          </a:extLst>
        </xdr:cNvPr>
        <xdr:cNvSpPr/>
      </xdr:nvSpPr>
      <xdr:spPr>
        <a:xfrm rot="-5400000">
          <a:off x="21347557" y="4165060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2301</xdr:row>
      <xdr:rowOff>83661</xdr:rowOff>
    </xdr:from>
    <xdr:ext cx="514858" cy="180627"/>
    <xdr:sp macro="_xll.PtreeEvent_ObjectClick" textlink="">
      <xdr:nvSpPr>
        <xdr:cNvPr id="4568" name="PTObj_DBranchName_1_1139">
          <a:extLst>
            <a:ext uri="{FF2B5EF4-FFF2-40B4-BE49-F238E27FC236}">
              <a16:creationId xmlns:a16="http://schemas.microsoft.com/office/drawing/2014/main" id="{58CF7620-3744-420E-891D-C219B3AA884F}"/>
            </a:ext>
          </a:extLst>
        </xdr:cNvPr>
        <xdr:cNvSpPr txBox="1"/>
      </xdr:nvSpPr>
      <xdr:spPr>
        <a:xfrm>
          <a:off x="20188045" y="4165071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2323</xdr:row>
      <xdr:rowOff>122535</xdr:rowOff>
    </xdr:from>
    <xdr:to>
      <xdr:col>7</xdr:col>
      <xdr:colOff>171577</xdr:colOff>
      <xdr:row>2324</xdr:row>
      <xdr:rowOff>133945</xdr:rowOff>
    </xdr:to>
    <xdr:sp macro="_xll.PtreeEvent_ObjectClick" textlink="">
      <xdr:nvSpPr>
        <xdr:cNvPr id="4569" name="PTObj_DNode_1_1150">
          <a:extLst>
            <a:ext uri="{FF2B5EF4-FFF2-40B4-BE49-F238E27FC236}">
              <a16:creationId xmlns:a16="http://schemas.microsoft.com/office/drawing/2014/main" id="{A7C67740-3DB6-4A4B-9A7A-C647F7E8B600}"/>
            </a:ext>
          </a:extLst>
        </xdr:cNvPr>
        <xdr:cNvSpPr/>
      </xdr:nvSpPr>
      <xdr:spPr>
        <a:xfrm>
          <a:off x="14219047" y="4205274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2323</xdr:row>
      <xdr:rowOff>125581</xdr:rowOff>
    </xdr:from>
    <xdr:ext cx="566520" cy="180627"/>
    <xdr:sp macro="_xll.PtreeEvent_ObjectClick" textlink="">
      <xdr:nvSpPr>
        <xdr:cNvPr id="4572" name="PTObj_DBranchName_1_1150">
          <a:extLst>
            <a:ext uri="{FF2B5EF4-FFF2-40B4-BE49-F238E27FC236}">
              <a16:creationId xmlns:a16="http://schemas.microsoft.com/office/drawing/2014/main" id="{457B21C3-AEED-4718-A549-50F312EAB5BD}"/>
            </a:ext>
          </a:extLst>
        </xdr:cNvPr>
        <xdr:cNvSpPr txBox="1"/>
      </xdr:nvSpPr>
      <xdr:spPr>
        <a:xfrm>
          <a:off x="13074777" y="420530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2313</xdr:row>
      <xdr:rowOff>103485</xdr:rowOff>
    </xdr:from>
    <xdr:to>
      <xdr:col>8</xdr:col>
      <xdr:colOff>167768</xdr:colOff>
      <xdr:row>2314</xdr:row>
      <xdr:rowOff>93940</xdr:rowOff>
    </xdr:to>
    <xdr:sp macro="_xll.PtreeEvent_ObjectClick" textlink="">
      <xdr:nvSpPr>
        <xdr:cNvPr id="4573" name="PTObj_DNode_1_1145">
          <a:extLst>
            <a:ext uri="{FF2B5EF4-FFF2-40B4-BE49-F238E27FC236}">
              <a16:creationId xmlns:a16="http://schemas.microsoft.com/office/drawing/2014/main" id="{6897D989-5385-43DC-8C19-5A1C1D3A2F15}"/>
            </a:ext>
          </a:extLst>
        </xdr:cNvPr>
        <xdr:cNvSpPr/>
      </xdr:nvSpPr>
      <xdr:spPr>
        <a:xfrm>
          <a:off x="15643988" y="4186986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2313</xdr:row>
      <xdr:rowOff>102721</xdr:rowOff>
    </xdr:from>
    <xdr:ext cx="566520" cy="180627"/>
    <xdr:sp macro="_xll.PtreeEvent_ObjectClick" textlink="">
      <xdr:nvSpPr>
        <xdr:cNvPr id="4576" name="PTObj_DBranchName_1_1145">
          <a:extLst>
            <a:ext uri="{FF2B5EF4-FFF2-40B4-BE49-F238E27FC236}">
              <a16:creationId xmlns:a16="http://schemas.microsoft.com/office/drawing/2014/main" id="{CCCA4E33-6C2F-4CB7-99D3-CCD658851F82}"/>
            </a:ext>
          </a:extLst>
        </xdr:cNvPr>
        <xdr:cNvSpPr txBox="1"/>
      </xdr:nvSpPr>
      <xdr:spPr>
        <a:xfrm>
          <a:off x="14500670" y="418697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2305</xdr:row>
      <xdr:rowOff>88255</xdr:rowOff>
    </xdr:from>
    <xdr:to>
      <xdr:col>9</xdr:col>
      <xdr:colOff>154432</xdr:colOff>
      <xdr:row>2306</xdr:row>
      <xdr:rowOff>93950</xdr:rowOff>
    </xdr:to>
    <xdr:sp macro="_xll.PtreeEvent_ObjectClick" textlink="">
      <xdr:nvSpPr>
        <xdr:cNvPr id="4577" name="PTObj_DNode_1_1141">
          <a:extLst>
            <a:ext uri="{FF2B5EF4-FFF2-40B4-BE49-F238E27FC236}">
              <a16:creationId xmlns:a16="http://schemas.microsoft.com/office/drawing/2014/main" id="{41151BCD-D0D0-4AE9-B5DD-D7B75045077A}"/>
            </a:ext>
          </a:extLst>
        </xdr:cNvPr>
        <xdr:cNvSpPr/>
      </xdr:nvSpPr>
      <xdr:spPr>
        <a:xfrm>
          <a:off x="17068927" y="4172356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2305</xdr:row>
      <xdr:rowOff>93206</xdr:rowOff>
    </xdr:from>
    <xdr:ext cx="566519" cy="180627"/>
    <xdr:sp macro="_xll.PtreeEvent_ObjectClick" textlink="">
      <xdr:nvSpPr>
        <xdr:cNvPr id="4580" name="PTObj_DBranchName_1_1141">
          <a:extLst>
            <a:ext uri="{FF2B5EF4-FFF2-40B4-BE49-F238E27FC236}">
              <a16:creationId xmlns:a16="http://schemas.microsoft.com/office/drawing/2014/main" id="{BA422A99-4022-4BDF-B0F0-CFA5F6BA03BA}"/>
            </a:ext>
          </a:extLst>
        </xdr:cNvPr>
        <xdr:cNvSpPr txBox="1"/>
      </xdr:nvSpPr>
      <xdr:spPr>
        <a:xfrm>
          <a:off x="15922752" y="4172405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2307</xdr:row>
      <xdr:rowOff>92075</xdr:rowOff>
    </xdr:from>
    <xdr:to>
      <xdr:col>10</xdr:col>
      <xdr:colOff>150622</xdr:colOff>
      <xdr:row>2308</xdr:row>
      <xdr:rowOff>93960</xdr:rowOff>
    </xdr:to>
    <xdr:sp macro="_xll.PtreeEvent_ObjectClick" textlink="">
      <xdr:nvSpPr>
        <xdr:cNvPr id="4581" name="PTObj_DNode_1_1142">
          <a:extLst>
            <a:ext uri="{FF2B5EF4-FFF2-40B4-BE49-F238E27FC236}">
              <a16:creationId xmlns:a16="http://schemas.microsoft.com/office/drawing/2014/main" id="{ABBA6DCE-643C-4FB4-87BE-DCCB092170AE}"/>
            </a:ext>
          </a:extLst>
        </xdr:cNvPr>
        <xdr:cNvSpPr/>
      </xdr:nvSpPr>
      <xdr:spPr>
        <a:xfrm>
          <a:off x="18493867" y="4176014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2307</xdr:row>
      <xdr:rowOff>97026</xdr:rowOff>
    </xdr:from>
    <xdr:ext cx="514857" cy="180627"/>
    <xdr:sp macro="_xll.PtreeEvent_ObjectClick" textlink="">
      <xdr:nvSpPr>
        <xdr:cNvPr id="4584" name="PTObj_DBranchName_1_1142">
          <a:extLst>
            <a:ext uri="{FF2B5EF4-FFF2-40B4-BE49-F238E27FC236}">
              <a16:creationId xmlns:a16="http://schemas.microsoft.com/office/drawing/2014/main" id="{97A956C2-71CC-4E4A-B4DD-CAA9AB6D1B61}"/>
            </a:ext>
          </a:extLst>
        </xdr:cNvPr>
        <xdr:cNvSpPr txBox="1"/>
      </xdr:nvSpPr>
      <xdr:spPr>
        <a:xfrm>
          <a:off x="17344834" y="4176063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2309</xdr:row>
      <xdr:rowOff>95895</xdr:rowOff>
    </xdr:from>
    <xdr:to>
      <xdr:col>11</xdr:col>
      <xdr:colOff>135383</xdr:colOff>
      <xdr:row>2310</xdr:row>
      <xdr:rowOff>93970</xdr:rowOff>
    </xdr:to>
    <xdr:sp macro="_xll.PtreeEvent_ObjectClick" textlink="">
      <xdr:nvSpPr>
        <xdr:cNvPr id="4585" name="PTObj_DNode_1_1143">
          <a:extLst>
            <a:ext uri="{FF2B5EF4-FFF2-40B4-BE49-F238E27FC236}">
              <a16:creationId xmlns:a16="http://schemas.microsoft.com/office/drawing/2014/main" id="{851D7AD7-E7D0-4764-AFEB-5111709BF85E}"/>
            </a:ext>
          </a:extLst>
        </xdr:cNvPr>
        <xdr:cNvSpPr/>
      </xdr:nvSpPr>
      <xdr:spPr>
        <a:xfrm>
          <a:off x="19918807" y="4179671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2309</xdr:row>
      <xdr:rowOff>93226</xdr:rowOff>
    </xdr:from>
    <xdr:ext cx="514858" cy="180627"/>
    <xdr:sp macro="_xll.PtreeEvent_ObjectClick" textlink="">
      <xdr:nvSpPr>
        <xdr:cNvPr id="4588" name="PTObj_DBranchName_1_1143">
          <a:extLst>
            <a:ext uri="{FF2B5EF4-FFF2-40B4-BE49-F238E27FC236}">
              <a16:creationId xmlns:a16="http://schemas.microsoft.com/office/drawing/2014/main" id="{ED11738C-24CA-4027-9D4B-4256C8EDBB44}"/>
            </a:ext>
          </a:extLst>
        </xdr:cNvPr>
        <xdr:cNvSpPr txBox="1"/>
      </xdr:nvSpPr>
      <xdr:spPr>
        <a:xfrm>
          <a:off x="18768820" y="4179645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2311</xdr:row>
      <xdr:rowOff>98752</xdr:rowOff>
    </xdr:from>
    <xdr:to>
      <xdr:col>12</xdr:col>
      <xdr:colOff>132515</xdr:colOff>
      <xdr:row>2312</xdr:row>
      <xdr:rowOff>94942</xdr:rowOff>
    </xdr:to>
    <xdr:sp macro="_xll.PtreeEvent_ObjectClick" textlink="">
      <xdr:nvSpPr>
        <xdr:cNvPr id="4589" name="PTObj_DNode_1_1144">
          <a:extLst>
            <a:ext uri="{FF2B5EF4-FFF2-40B4-BE49-F238E27FC236}">
              <a16:creationId xmlns:a16="http://schemas.microsoft.com/office/drawing/2014/main" id="{1DF64F92-0D1C-47A6-B0B3-5E447FC75ACF}"/>
            </a:ext>
          </a:extLst>
        </xdr:cNvPr>
        <xdr:cNvSpPr/>
      </xdr:nvSpPr>
      <xdr:spPr>
        <a:xfrm rot="-5400000">
          <a:off x="21347557" y="4183291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2311</xdr:row>
      <xdr:rowOff>96996</xdr:rowOff>
    </xdr:from>
    <xdr:ext cx="514858" cy="180627"/>
    <xdr:sp macro="_xll.PtreeEvent_ObjectClick" textlink="">
      <xdr:nvSpPr>
        <xdr:cNvPr id="4592" name="PTObj_DBranchName_1_1144">
          <a:extLst>
            <a:ext uri="{FF2B5EF4-FFF2-40B4-BE49-F238E27FC236}">
              <a16:creationId xmlns:a16="http://schemas.microsoft.com/office/drawing/2014/main" id="{96227954-F449-47B1-A191-FD5678CAEEC5}"/>
            </a:ext>
          </a:extLst>
        </xdr:cNvPr>
        <xdr:cNvSpPr txBox="1"/>
      </xdr:nvSpPr>
      <xdr:spPr>
        <a:xfrm>
          <a:off x="20188045" y="4183302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2315</xdr:row>
      <xdr:rowOff>107305</xdr:rowOff>
    </xdr:from>
    <xdr:to>
      <xdr:col>9</xdr:col>
      <xdr:colOff>154432</xdr:colOff>
      <xdr:row>2316</xdr:row>
      <xdr:rowOff>97760</xdr:rowOff>
    </xdr:to>
    <xdr:sp macro="_xll.PtreeEvent_ObjectClick" textlink="">
      <xdr:nvSpPr>
        <xdr:cNvPr id="4593" name="PTObj_DNode_1_1146">
          <a:extLst>
            <a:ext uri="{FF2B5EF4-FFF2-40B4-BE49-F238E27FC236}">
              <a16:creationId xmlns:a16="http://schemas.microsoft.com/office/drawing/2014/main" id="{7DA93DFC-6514-4766-B97D-4197BC239627}"/>
            </a:ext>
          </a:extLst>
        </xdr:cNvPr>
        <xdr:cNvSpPr/>
      </xdr:nvSpPr>
      <xdr:spPr>
        <a:xfrm>
          <a:off x="17068927" y="4190644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2315</xdr:row>
      <xdr:rowOff>106541</xdr:rowOff>
    </xdr:from>
    <xdr:ext cx="566520" cy="180627"/>
    <xdr:sp macro="_xll.PtreeEvent_ObjectClick" textlink="">
      <xdr:nvSpPr>
        <xdr:cNvPr id="4596" name="PTObj_DBranchName_1_1146">
          <a:extLst>
            <a:ext uri="{FF2B5EF4-FFF2-40B4-BE49-F238E27FC236}">
              <a16:creationId xmlns:a16="http://schemas.microsoft.com/office/drawing/2014/main" id="{F7A175F8-6E46-44FC-89C7-7F044AEA2D6C}"/>
            </a:ext>
          </a:extLst>
        </xdr:cNvPr>
        <xdr:cNvSpPr txBox="1"/>
      </xdr:nvSpPr>
      <xdr:spPr>
        <a:xfrm>
          <a:off x="15926563" y="4190636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2317</xdr:row>
      <xdr:rowOff>111125</xdr:rowOff>
    </xdr:from>
    <xdr:to>
      <xdr:col>10</xdr:col>
      <xdr:colOff>150622</xdr:colOff>
      <xdr:row>2318</xdr:row>
      <xdr:rowOff>113010</xdr:rowOff>
    </xdr:to>
    <xdr:sp macro="_xll.PtreeEvent_ObjectClick" textlink="">
      <xdr:nvSpPr>
        <xdr:cNvPr id="4597" name="PTObj_DNode_1_1147">
          <a:extLst>
            <a:ext uri="{FF2B5EF4-FFF2-40B4-BE49-F238E27FC236}">
              <a16:creationId xmlns:a16="http://schemas.microsoft.com/office/drawing/2014/main" id="{54D5EBE8-9BFF-43FF-A09A-42AF88D96689}"/>
            </a:ext>
          </a:extLst>
        </xdr:cNvPr>
        <xdr:cNvSpPr/>
      </xdr:nvSpPr>
      <xdr:spPr>
        <a:xfrm>
          <a:off x="18493867" y="4194302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2317</xdr:row>
      <xdr:rowOff>112266</xdr:rowOff>
    </xdr:from>
    <xdr:ext cx="514857" cy="180627"/>
    <xdr:sp macro="_xll.PtreeEvent_ObjectClick" textlink="">
      <xdr:nvSpPr>
        <xdr:cNvPr id="4600" name="PTObj_DBranchName_1_1147">
          <a:extLst>
            <a:ext uri="{FF2B5EF4-FFF2-40B4-BE49-F238E27FC236}">
              <a16:creationId xmlns:a16="http://schemas.microsoft.com/office/drawing/2014/main" id="{2CD2D885-7770-4438-8713-C507FA69BA74}"/>
            </a:ext>
          </a:extLst>
        </xdr:cNvPr>
        <xdr:cNvSpPr txBox="1"/>
      </xdr:nvSpPr>
      <xdr:spPr>
        <a:xfrm>
          <a:off x="17344834" y="41943134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2319</xdr:row>
      <xdr:rowOff>114945</xdr:rowOff>
    </xdr:from>
    <xdr:to>
      <xdr:col>11</xdr:col>
      <xdr:colOff>135383</xdr:colOff>
      <xdr:row>2320</xdr:row>
      <xdr:rowOff>116830</xdr:rowOff>
    </xdr:to>
    <xdr:sp macro="_xll.PtreeEvent_ObjectClick" textlink="">
      <xdr:nvSpPr>
        <xdr:cNvPr id="4601" name="PTObj_DNode_1_1148">
          <a:extLst>
            <a:ext uri="{FF2B5EF4-FFF2-40B4-BE49-F238E27FC236}">
              <a16:creationId xmlns:a16="http://schemas.microsoft.com/office/drawing/2014/main" id="{E10933A7-4681-4E27-B726-AF55E4B16ED0}"/>
            </a:ext>
          </a:extLst>
        </xdr:cNvPr>
        <xdr:cNvSpPr/>
      </xdr:nvSpPr>
      <xdr:spPr>
        <a:xfrm>
          <a:off x="19918807" y="4197959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2319</xdr:row>
      <xdr:rowOff>116086</xdr:rowOff>
    </xdr:from>
    <xdr:ext cx="514858" cy="180627"/>
    <xdr:sp macro="_xll.PtreeEvent_ObjectClick" textlink="">
      <xdr:nvSpPr>
        <xdr:cNvPr id="4604" name="PTObj_DBranchName_1_1148">
          <a:extLst>
            <a:ext uri="{FF2B5EF4-FFF2-40B4-BE49-F238E27FC236}">
              <a16:creationId xmlns:a16="http://schemas.microsoft.com/office/drawing/2014/main" id="{3A484A25-6723-4AF2-8D09-7111527A0F2E}"/>
            </a:ext>
          </a:extLst>
        </xdr:cNvPr>
        <xdr:cNvSpPr txBox="1"/>
      </xdr:nvSpPr>
      <xdr:spPr>
        <a:xfrm>
          <a:off x="18768820" y="4197971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2321</xdr:row>
      <xdr:rowOff>123517</xdr:rowOff>
    </xdr:from>
    <xdr:to>
      <xdr:col>12</xdr:col>
      <xdr:colOff>132515</xdr:colOff>
      <xdr:row>2322</xdr:row>
      <xdr:rowOff>134947</xdr:rowOff>
    </xdr:to>
    <xdr:sp macro="_xll.PtreeEvent_ObjectClick" textlink="">
      <xdr:nvSpPr>
        <xdr:cNvPr id="4605" name="PTObj_DNode_1_1149">
          <a:extLst>
            <a:ext uri="{FF2B5EF4-FFF2-40B4-BE49-F238E27FC236}">
              <a16:creationId xmlns:a16="http://schemas.microsoft.com/office/drawing/2014/main" id="{6216C425-299D-4B7C-A341-97F9A26ED159}"/>
            </a:ext>
          </a:extLst>
        </xdr:cNvPr>
        <xdr:cNvSpPr/>
      </xdr:nvSpPr>
      <xdr:spPr>
        <a:xfrm rot="-5400000">
          <a:off x="21347557" y="4201636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2321</xdr:row>
      <xdr:rowOff>121761</xdr:rowOff>
    </xdr:from>
    <xdr:ext cx="514858" cy="180627"/>
    <xdr:sp macro="_xll.PtreeEvent_ObjectClick" textlink="">
      <xdr:nvSpPr>
        <xdr:cNvPr id="4608" name="PTObj_DBranchName_1_1149">
          <a:extLst>
            <a:ext uri="{FF2B5EF4-FFF2-40B4-BE49-F238E27FC236}">
              <a16:creationId xmlns:a16="http://schemas.microsoft.com/office/drawing/2014/main" id="{C475FE29-EC0C-4EE8-AF21-8C701E4F5A8A}"/>
            </a:ext>
          </a:extLst>
        </xdr:cNvPr>
        <xdr:cNvSpPr txBox="1"/>
      </xdr:nvSpPr>
      <xdr:spPr>
        <a:xfrm>
          <a:off x="20188045" y="4201647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2333</xdr:row>
      <xdr:rowOff>141585</xdr:rowOff>
    </xdr:from>
    <xdr:to>
      <xdr:col>8</xdr:col>
      <xdr:colOff>171578</xdr:colOff>
      <xdr:row>2334</xdr:row>
      <xdr:rowOff>135850</xdr:rowOff>
    </xdr:to>
    <xdr:sp macro="_xll.PtreeEvent_ObjectClick" textlink="">
      <xdr:nvSpPr>
        <xdr:cNvPr id="4609" name="PTObj_DNode_1_1155">
          <a:extLst>
            <a:ext uri="{FF2B5EF4-FFF2-40B4-BE49-F238E27FC236}">
              <a16:creationId xmlns:a16="http://schemas.microsoft.com/office/drawing/2014/main" id="{90153ECF-38CB-4765-836E-AEF5486A65E3}"/>
            </a:ext>
          </a:extLst>
        </xdr:cNvPr>
        <xdr:cNvSpPr/>
      </xdr:nvSpPr>
      <xdr:spPr>
        <a:xfrm>
          <a:off x="15643988" y="4223562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2333</xdr:row>
      <xdr:rowOff>140821</xdr:rowOff>
    </xdr:from>
    <xdr:ext cx="566520" cy="180627"/>
    <xdr:sp macro="_xll.PtreeEvent_ObjectClick" textlink="">
      <xdr:nvSpPr>
        <xdr:cNvPr id="4612" name="PTObj_DBranchName_1_1155">
          <a:extLst>
            <a:ext uri="{FF2B5EF4-FFF2-40B4-BE49-F238E27FC236}">
              <a16:creationId xmlns:a16="http://schemas.microsoft.com/office/drawing/2014/main" id="{EEB3E8FA-0E46-47D4-B031-7F0754BC7FE6}"/>
            </a:ext>
          </a:extLst>
        </xdr:cNvPr>
        <xdr:cNvSpPr txBox="1"/>
      </xdr:nvSpPr>
      <xdr:spPr>
        <a:xfrm>
          <a:off x="14498765" y="422355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2325</xdr:row>
      <xdr:rowOff>126355</xdr:rowOff>
    </xdr:from>
    <xdr:to>
      <xdr:col>9</xdr:col>
      <xdr:colOff>154432</xdr:colOff>
      <xdr:row>2326</xdr:row>
      <xdr:rowOff>135860</xdr:rowOff>
    </xdr:to>
    <xdr:sp macro="_xll.PtreeEvent_ObjectClick" textlink="">
      <xdr:nvSpPr>
        <xdr:cNvPr id="4613" name="PTObj_DNode_1_1151">
          <a:extLst>
            <a:ext uri="{FF2B5EF4-FFF2-40B4-BE49-F238E27FC236}">
              <a16:creationId xmlns:a16="http://schemas.microsoft.com/office/drawing/2014/main" id="{F60FB5CF-335F-4FD8-8258-EDAF9528A7CE}"/>
            </a:ext>
          </a:extLst>
        </xdr:cNvPr>
        <xdr:cNvSpPr/>
      </xdr:nvSpPr>
      <xdr:spPr>
        <a:xfrm>
          <a:off x="17068927" y="4208932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2325</xdr:row>
      <xdr:rowOff>131306</xdr:rowOff>
    </xdr:from>
    <xdr:ext cx="566519" cy="180627"/>
    <xdr:sp macro="_xll.PtreeEvent_ObjectClick" textlink="">
      <xdr:nvSpPr>
        <xdr:cNvPr id="4616" name="PTObj_DBranchName_1_1151">
          <a:extLst>
            <a:ext uri="{FF2B5EF4-FFF2-40B4-BE49-F238E27FC236}">
              <a16:creationId xmlns:a16="http://schemas.microsoft.com/office/drawing/2014/main" id="{956447BA-791A-4DEC-8380-B842440D246F}"/>
            </a:ext>
          </a:extLst>
        </xdr:cNvPr>
        <xdr:cNvSpPr txBox="1"/>
      </xdr:nvSpPr>
      <xdr:spPr>
        <a:xfrm>
          <a:off x="15922752" y="4208981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2327</xdr:row>
      <xdr:rowOff>130175</xdr:rowOff>
    </xdr:from>
    <xdr:to>
      <xdr:col>10</xdr:col>
      <xdr:colOff>150622</xdr:colOff>
      <xdr:row>2328</xdr:row>
      <xdr:rowOff>135870</xdr:rowOff>
    </xdr:to>
    <xdr:sp macro="_xll.PtreeEvent_ObjectClick" textlink="">
      <xdr:nvSpPr>
        <xdr:cNvPr id="4617" name="PTObj_DNode_1_1152">
          <a:extLst>
            <a:ext uri="{FF2B5EF4-FFF2-40B4-BE49-F238E27FC236}">
              <a16:creationId xmlns:a16="http://schemas.microsoft.com/office/drawing/2014/main" id="{7F50EB81-7023-4B84-B2F6-6A3321087E13}"/>
            </a:ext>
          </a:extLst>
        </xdr:cNvPr>
        <xdr:cNvSpPr/>
      </xdr:nvSpPr>
      <xdr:spPr>
        <a:xfrm>
          <a:off x="18493867" y="4212590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2327</xdr:row>
      <xdr:rowOff>135126</xdr:rowOff>
    </xdr:from>
    <xdr:ext cx="514857" cy="180627"/>
    <xdr:sp macro="_xll.PtreeEvent_ObjectClick" textlink="">
      <xdr:nvSpPr>
        <xdr:cNvPr id="4620" name="PTObj_DBranchName_1_1152">
          <a:extLst>
            <a:ext uri="{FF2B5EF4-FFF2-40B4-BE49-F238E27FC236}">
              <a16:creationId xmlns:a16="http://schemas.microsoft.com/office/drawing/2014/main" id="{114F1C37-89F5-4069-A71D-4388F735FDB4}"/>
            </a:ext>
          </a:extLst>
        </xdr:cNvPr>
        <xdr:cNvSpPr txBox="1"/>
      </xdr:nvSpPr>
      <xdr:spPr>
        <a:xfrm>
          <a:off x="17344834" y="4212639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2329</xdr:row>
      <xdr:rowOff>133995</xdr:rowOff>
    </xdr:from>
    <xdr:to>
      <xdr:col>11</xdr:col>
      <xdr:colOff>131573</xdr:colOff>
      <xdr:row>2330</xdr:row>
      <xdr:rowOff>135880</xdr:rowOff>
    </xdr:to>
    <xdr:sp macro="_xll.PtreeEvent_ObjectClick" textlink="">
      <xdr:nvSpPr>
        <xdr:cNvPr id="4621" name="PTObj_DNode_1_1153">
          <a:extLst>
            <a:ext uri="{FF2B5EF4-FFF2-40B4-BE49-F238E27FC236}">
              <a16:creationId xmlns:a16="http://schemas.microsoft.com/office/drawing/2014/main" id="{75D6F4C7-AE26-4463-8818-EA0CF7A2F7D4}"/>
            </a:ext>
          </a:extLst>
        </xdr:cNvPr>
        <xdr:cNvSpPr/>
      </xdr:nvSpPr>
      <xdr:spPr>
        <a:xfrm>
          <a:off x="19918807" y="4216247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2329</xdr:row>
      <xdr:rowOff>131326</xdr:rowOff>
    </xdr:from>
    <xdr:ext cx="514858" cy="180627"/>
    <xdr:sp macro="_xll.PtreeEvent_ObjectClick" textlink="">
      <xdr:nvSpPr>
        <xdr:cNvPr id="4624" name="PTObj_DBranchName_1_1153">
          <a:extLst>
            <a:ext uri="{FF2B5EF4-FFF2-40B4-BE49-F238E27FC236}">
              <a16:creationId xmlns:a16="http://schemas.microsoft.com/office/drawing/2014/main" id="{8CF227BD-EFC7-40AC-AA37-FDF382E8A12F}"/>
            </a:ext>
          </a:extLst>
        </xdr:cNvPr>
        <xdr:cNvSpPr txBox="1"/>
      </xdr:nvSpPr>
      <xdr:spPr>
        <a:xfrm>
          <a:off x="18768820" y="4216221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2331</xdr:row>
      <xdr:rowOff>136852</xdr:rowOff>
    </xdr:from>
    <xdr:to>
      <xdr:col>12</xdr:col>
      <xdr:colOff>136325</xdr:colOff>
      <xdr:row>2332</xdr:row>
      <xdr:rowOff>136852</xdr:rowOff>
    </xdr:to>
    <xdr:sp macro="_xll.PtreeEvent_ObjectClick" textlink="">
      <xdr:nvSpPr>
        <xdr:cNvPr id="4625" name="PTObj_DNode_1_1154">
          <a:extLst>
            <a:ext uri="{FF2B5EF4-FFF2-40B4-BE49-F238E27FC236}">
              <a16:creationId xmlns:a16="http://schemas.microsoft.com/office/drawing/2014/main" id="{8B67230D-470D-416D-BEE9-BB9FF5F9BD4A}"/>
            </a:ext>
          </a:extLst>
        </xdr:cNvPr>
        <xdr:cNvSpPr/>
      </xdr:nvSpPr>
      <xdr:spPr>
        <a:xfrm rot="-5400000">
          <a:off x="21347557" y="4219867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2331</xdr:row>
      <xdr:rowOff>135096</xdr:rowOff>
    </xdr:from>
    <xdr:ext cx="514858" cy="180627"/>
    <xdr:sp macro="_xll.PtreeEvent_ObjectClick" textlink="">
      <xdr:nvSpPr>
        <xdr:cNvPr id="4628" name="PTObj_DBranchName_1_1154">
          <a:extLst>
            <a:ext uri="{FF2B5EF4-FFF2-40B4-BE49-F238E27FC236}">
              <a16:creationId xmlns:a16="http://schemas.microsoft.com/office/drawing/2014/main" id="{89DDCC6C-4C6A-4915-ADEE-809F89B1B965}"/>
            </a:ext>
          </a:extLst>
        </xdr:cNvPr>
        <xdr:cNvSpPr txBox="1"/>
      </xdr:nvSpPr>
      <xdr:spPr>
        <a:xfrm>
          <a:off x="20188045" y="4219878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2335</xdr:row>
      <xdr:rowOff>145405</xdr:rowOff>
    </xdr:from>
    <xdr:to>
      <xdr:col>9</xdr:col>
      <xdr:colOff>154432</xdr:colOff>
      <xdr:row>2336</xdr:row>
      <xdr:rowOff>132050</xdr:rowOff>
    </xdr:to>
    <xdr:sp macro="_xll.PtreeEvent_ObjectClick" textlink="">
      <xdr:nvSpPr>
        <xdr:cNvPr id="4629" name="PTObj_DNode_1_1156">
          <a:extLst>
            <a:ext uri="{FF2B5EF4-FFF2-40B4-BE49-F238E27FC236}">
              <a16:creationId xmlns:a16="http://schemas.microsoft.com/office/drawing/2014/main" id="{BD45164A-B1C6-440C-B88D-2A3F68462A72}"/>
            </a:ext>
          </a:extLst>
        </xdr:cNvPr>
        <xdr:cNvSpPr/>
      </xdr:nvSpPr>
      <xdr:spPr>
        <a:xfrm>
          <a:off x="17068927" y="4227220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2335</xdr:row>
      <xdr:rowOff>144641</xdr:rowOff>
    </xdr:from>
    <xdr:ext cx="566520" cy="180627"/>
    <xdr:sp macro="_xll.PtreeEvent_ObjectClick" textlink="">
      <xdr:nvSpPr>
        <xdr:cNvPr id="4632" name="PTObj_DBranchName_1_1156">
          <a:extLst>
            <a:ext uri="{FF2B5EF4-FFF2-40B4-BE49-F238E27FC236}">
              <a16:creationId xmlns:a16="http://schemas.microsoft.com/office/drawing/2014/main" id="{3712680C-BFC6-4859-9243-09C040EB9EC7}"/>
            </a:ext>
          </a:extLst>
        </xdr:cNvPr>
        <xdr:cNvSpPr txBox="1"/>
      </xdr:nvSpPr>
      <xdr:spPr>
        <a:xfrm>
          <a:off x="15926563" y="42272126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2337</xdr:row>
      <xdr:rowOff>149225</xdr:rowOff>
    </xdr:from>
    <xdr:to>
      <xdr:col>10</xdr:col>
      <xdr:colOff>150622</xdr:colOff>
      <xdr:row>2338</xdr:row>
      <xdr:rowOff>151110</xdr:rowOff>
    </xdr:to>
    <xdr:sp macro="_xll.PtreeEvent_ObjectClick" textlink="">
      <xdr:nvSpPr>
        <xdr:cNvPr id="4633" name="PTObj_DNode_1_1157">
          <a:extLst>
            <a:ext uri="{FF2B5EF4-FFF2-40B4-BE49-F238E27FC236}">
              <a16:creationId xmlns:a16="http://schemas.microsoft.com/office/drawing/2014/main" id="{AAC4E0FE-69B9-43BA-BD29-6B49C9611107}"/>
            </a:ext>
          </a:extLst>
        </xdr:cNvPr>
        <xdr:cNvSpPr/>
      </xdr:nvSpPr>
      <xdr:spPr>
        <a:xfrm>
          <a:off x="18493867" y="4230878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2337</xdr:row>
      <xdr:rowOff>150366</xdr:rowOff>
    </xdr:from>
    <xdr:ext cx="514857" cy="180627"/>
    <xdr:sp macro="_xll.PtreeEvent_ObjectClick" textlink="">
      <xdr:nvSpPr>
        <xdr:cNvPr id="4636" name="PTObj_DBranchName_1_1157">
          <a:extLst>
            <a:ext uri="{FF2B5EF4-FFF2-40B4-BE49-F238E27FC236}">
              <a16:creationId xmlns:a16="http://schemas.microsoft.com/office/drawing/2014/main" id="{C6DDCCF1-4321-4442-A1FB-98380649C889}"/>
            </a:ext>
          </a:extLst>
        </xdr:cNvPr>
        <xdr:cNvSpPr txBox="1"/>
      </xdr:nvSpPr>
      <xdr:spPr>
        <a:xfrm>
          <a:off x="17344834" y="42308894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2339</xdr:row>
      <xdr:rowOff>153045</xdr:rowOff>
    </xdr:from>
    <xdr:to>
      <xdr:col>11</xdr:col>
      <xdr:colOff>131573</xdr:colOff>
      <xdr:row>2340</xdr:row>
      <xdr:rowOff>154930</xdr:rowOff>
    </xdr:to>
    <xdr:sp macro="_xll.PtreeEvent_ObjectClick" textlink="">
      <xdr:nvSpPr>
        <xdr:cNvPr id="4637" name="PTObj_DNode_1_1158">
          <a:extLst>
            <a:ext uri="{FF2B5EF4-FFF2-40B4-BE49-F238E27FC236}">
              <a16:creationId xmlns:a16="http://schemas.microsoft.com/office/drawing/2014/main" id="{6384F98D-B61B-4703-977E-E908A941C448}"/>
            </a:ext>
          </a:extLst>
        </xdr:cNvPr>
        <xdr:cNvSpPr/>
      </xdr:nvSpPr>
      <xdr:spPr>
        <a:xfrm>
          <a:off x="19918807" y="4234535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2339</xdr:row>
      <xdr:rowOff>154186</xdr:rowOff>
    </xdr:from>
    <xdr:ext cx="514858" cy="180627"/>
    <xdr:sp macro="_xll.PtreeEvent_ObjectClick" textlink="">
      <xdr:nvSpPr>
        <xdr:cNvPr id="4640" name="PTObj_DBranchName_1_1158">
          <a:extLst>
            <a:ext uri="{FF2B5EF4-FFF2-40B4-BE49-F238E27FC236}">
              <a16:creationId xmlns:a16="http://schemas.microsoft.com/office/drawing/2014/main" id="{DB189A46-95FC-4F34-ABB7-9D74B3CD8E8E}"/>
            </a:ext>
          </a:extLst>
        </xdr:cNvPr>
        <xdr:cNvSpPr txBox="1"/>
      </xdr:nvSpPr>
      <xdr:spPr>
        <a:xfrm>
          <a:off x="18768820" y="4234547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2341</xdr:row>
      <xdr:rowOff>161617</xdr:rowOff>
    </xdr:from>
    <xdr:to>
      <xdr:col>12</xdr:col>
      <xdr:colOff>136325</xdr:colOff>
      <xdr:row>2342</xdr:row>
      <xdr:rowOff>169237</xdr:rowOff>
    </xdr:to>
    <xdr:sp macro="_xll.PtreeEvent_ObjectClick" textlink="">
      <xdr:nvSpPr>
        <xdr:cNvPr id="4641" name="PTObj_DNode_1_1159">
          <a:extLst>
            <a:ext uri="{FF2B5EF4-FFF2-40B4-BE49-F238E27FC236}">
              <a16:creationId xmlns:a16="http://schemas.microsoft.com/office/drawing/2014/main" id="{029C6EA4-163F-432C-A848-7C4C2CF0713B}"/>
            </a:ext>
          </a:extLst>
        </xdr:cNvPr>
        <xdr:cNvSpPr/>
      </xdr:nvSpPr>
      <xdr:spPr>
        <a:xfrm rot="-5400000">
          <a:off x="21347557" y="4238212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2341</xdr:row>
      <xdr:rowOff>159861</xdr:rowOff>
    </xdr:from>
    <xdr:ext cx="514858" cy="180627"/>
    <xdr:sp macro="_xll.PtreeEvent_ObjectClick" textlink="">
      <xdr:nvSpPr>
        <xdr:cNvPr id="4644" name="PTObj_DBranchName_1_1159">
          <a:extLst>
            <a:ext uri="{FF2B5EF4-FFF2-40B4-BE49-F238E27FC236}">
              <a16:creationId xmlns:a16="http://schemas.microsoft.com/office/drawing/2014/main" id="{BB768636-FF26-47EC-AE94-E36B188F4186}"/>
            </a:ext>
          </a:extLst>
        </xdr:cNvPr>
        <xdr:cNvSpPr txBox="1"/>
      </xdr:nvSpPr>
      <xdr:spPr>
        <a:xfrm>
          <a:off x="20188045" y="4238223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2384</xdr:row>
      <xdr:rowOff>55860</xdr:rowOff>
    </xdr:from>
    <xdr:to>
      <xdr:col>6</xdr:col>
      <xdr:colOff>173482</xdr:colOff>
      <xdr:row>2385</xdr:row>
      <xdr:rowOff>57745</xdr:rowOff>
    </xdr:to>
    <xdr:sp macro="_xll.PtreeEvent_ObjectClick" textlink="">
      <xdr:nvSpPr>
        <xdr:cNvPr id="4645" name="PTObj_DNode_1_1180">
          <a:extLst>
            <a:ext uri="{FF2B5EF4-FFF2-40B4-BE49-F238E27FC236}">
              <a16:creationId xmlns:a16="http://schemas.microsoft.com/office/drawing/2014/main" id="{FBD8DB5E-C299-42F0-9D9D-C76A72BC6609}"/>
            </a:ext>
          </a:extLst>
        </xdr:cNvPr>
        <xdr:cNvSpPr/>
      </xdr:nvSpPr>
      <xdr:spPr>
        <a:xfrm>
          <a:off x="12794107" y="4315002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2384</xdr:row>
      <xdr:rowOff>60811</xdr:rowOff>
    </xdr:from>
    <xdr:ext cx="566520" cy="180627"/>
    <xdr:sp macro="_xll.PtreeEvent_ObjectClick" textlink="">
      <xdr:nvSpPr>
        <xdr:cNvPr id="4648" name="PTObj_DBranchName_1_1180">
          <a:extLst>
            <a:ext uri="{FF2B5EF4-FFF2-40B4-BE49-F238E27FC236}">
              <a16:creationId xmlns:a16="http://schemas.microsoft.com/office/drawing/2014/main" id="{1C5788D5-37D1-4314-B367-D71B009DAC67}"/>
            </a:ext>
          </a:extLst>
        </xdr:cNvPr>
        <xdr:cNvSpPr txBox="1"/>
      </xdr:nvSpPr>
      <xdr:spPr>
        <a:xfrm>
          <a:off x="11646980" y="4315052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2364</xdr:row>
      <xdr:rowOff>17760</xdr:rowOff>
    </xdr:from>
    <xdr:to>
      <xdr:col>7</xdr:col>
      <xdr:colOff>171577</xdr:colOff>
      <xdr:row>2365</xdr:row>
      <xdr:rowOff>15835</xdr:rowOff>
    </xdr:to>
    <xdr:sp macro="_xll.PtreeEvent_ObjectClick" textlink="">
      <xdr:nvSpPr>
        <xdr:cNvPr id="4649" name="PTObj_DNode_1_1170">
          <a:extLst>
            <a:ext uri="{FF2B5EF4-FFF2-40B4-BE49-F238E27FC236}">
              <a16:creationId xmlns:a16="http://schemas.microsoft.com/office/drawing/2014/main" id="{51768FF4-9E5E-4D8C-BC24-D739F3AEACCD}"/>
            </a:ext>
          </a:extLst>
        </xdr:cNvPr>
        <xdr:cNvSpPr/>
      </xdr:nvSpPr>
      <xdr:spPr>
        <a:xfrm>
          <a:off x="14219047" y="4278426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2364</xdr:row>
      <xdr:rowOff>22711</xdr:rowOff>
    </xdr:from>
    <xdr:ext cx="568424" cy="180627"/>
    <xdr:sp macro="_xll.PtreeEvent_ObjectClick" textlink="">
      <xdr:nvSpPr>
        <xdr:cNvPr id="4652" name="PTObj_DBranchName_1_1170">
          <a:extLst>
            <a:ext uri="{FF2B5EF4-FFF2-40B4-BE49-F238E27FC236}">
              <a16:creationId xmlns:a16="http://schemas.microsoft.com/office/drawing/2014/main" id="{4B4CC3EB-A8AD-4486-9E80-512CA9659345}"/>
            </a:ext>
          </a:extLst>
        </xdr:cNvPr>
        <xdr:cNvSpPr txBox="1"/>
      </xdr:nvSpPr>
      <xdr:spPr>
        <a:xfrm>
          <a:off x="13072872" y="42784761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2353</xdr:row>
      <xdr:rowOff>179685</xdr:rowOff>
    </xdr:from>
    <xdr:to>
      <xdr:col>8</xdr:col>
      <xdr:colOff>167768</xdr:colOff>
      <xdr:row>2355</xdr:row>
      <xdr:rowOff>595</xdr:rowOff>
    </xdr:to>
    <xdr:sp macro="_xll.PtreeEvent_ObjectClick" textlink="">
      <xdr:nvSpPr>
        <xdr:cNvPr id="4653" name="PTObj_DNode_1_1165">
          <a:extLst>
            <a:ext uri="{FF2B5EF4-FFF2-40B4-BE49-F238E27FC236}">
              <a16:creationId xmlns:a16="http://schemas.microsoft.com/office/drawing/2014/main" id="{E899A8DD-A135-4262-B362-1E72C8EF0CDF}"/>
            </a:ext>
          </a:extLst>
        </xdr:cNvPr>
        <xdr:cNvSpPr/>
      </xdr:nvSpPr>
      <xdr:spPr>
        <a:xfrm>
          <a:off x="15643988" y="4260138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2353</xdr:row>
      <xdr:rowOff>178921</xdr:rowOff>
    </xdr:from>
    <xdr:ext cx="566520" cy="180627"/>
    <xdr:sp macro="_xll.PtreeEvent_ObjectClick" textlink="">
      <xdr:nvSpPr>
        <xdr:cNvPr id="4656" name="PTObj_DBranchName_1_1165">
          <a:extLst>
            <a:ext uri="{FF2B5EF4-FFF2-40B4-BE49-F238E27FC236}">
              <a16:creationId xmlns:a16="http://schemas.microsoft.com/office/drawing/2014/main" id="{2E79703C-3C4C-47C9-A44C-7827A8B8BA8F}"/>
            </a:ext>
          </a:extLst>
        </xdr:cNvPr>
        <xdr:cNvSpPr txBox="1"/>
      </xdr:nvSpPr>
      <xdr:spPr>
        <a:xfrm>
          <a:off x="14500670" y="426013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2345</xdr:row>
      <xdr:rowOff>164455</xdr:rowOff>
    </xdr:from>
    <xdr:to>
      <xdr:col>9</xdr:col>
      <xdr:colOff>154432</xdr:colOff>
      <xdr:row>2346</xdr:row>
      <xdr:rowOff>170150</xdr:rowOff>
    </xdr:to>
    <xdr:sp macro="_xll.PtreeEvent_ObjectClick" textlink="">
      <xdr:nvSpPr>
        <xdr:cNvPr id="4657" name="PTObj_DNode_1_1161">
          <a:extLst>
            <a:ext uri="{FF2B5EF4-FFF2-40B4-BE49-F238E27FC236}">
              <a16:creationId xmlns:a16="http://schemas.microsoft.com/office/drawing/2014/main" id="{07A9C9EF-03CD-4253-AB60-5A57909B3933}"/>
            </a:ext>
          </a:extLst>
        </xdr:cNvPr>
        <xdr:cNvSpPr/>
      </xdr:nvSpPr>
      <xdr:spPr>
        <a:xfrm>
          <a:off x="17068927" y="4245508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2345</xdr:row>
      <xdr:rowOff>169406</xdr:rowOff>
    </xdr:from>
    <xdr:ext cx="566519" cy="180627"/>
    <xdr:sp macro="_xll.PtreeEvent_ObjectClick" textlink="">
      <xdr:nvSpPr>
        <xdr:cNvPr id="4660" name="PTObj_DBranchName_1_1161">
          <a:extLst>
            <a:ext uri="{FF2B5EF4-FFF2-40B4-BE49-F238E27FC236}">
              <a16:creationId xmlns:a16="http://schemas.microsoft.com/office/drawing/2014/main" id="{2C9E1E5D-AF36-451E-882E-C5A882248547}"/>
            </a:ext>
          </a:extLst>
        </xdr:cNvPr>
        <xdr:cNvSpPr txBox="1"/>
      </xdr:nvSpPr>
      <xdr:spPr>
        <a:xfrm>
          <a:off x="15922752" y="42455578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2347</xdr:row>
      <xdr:rowOff>168275</xdr:rowOff>
    </xdr:from>
    <xdr:to>
      <xdr:col>10</xdr:col>
      <xdr:colOff>150622</xdr:colOff>
      <xdr:row>2348</xdr:row>
      <xdr:rowOff>170160</xdr:rowOff>
    </xdr:to>
    <xdr:sp macro="_xll.PtreeEvent_ObjectClick" textlink="">
      <xdr:nvSpPr>
        <xdr:cNvPr id="4661" name="PTObj_DNode_1_1162">
          <a:extLst>
            <a:ext uri="{FF2B5EF4-FFF2-40B4-BE49-F238E27FC236}">
              <a16:creationId xmlns:a16="http://schemas.microsoft.com/office/drawing/2014/main" id="{FBB5CB87-738C-48AD-BAF7-BA1E920FFFC2}"/>
            </a:ext>
          </a:extLst>
        </xdr:cNvPr>
        <xdr:cNvSpPr/>
      </xdr:nvSpPr>
      <xdr:spPr>
        <a:xfrm>
          <a:off x="18493867" y="4249166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2347</xdr:row>
      <xdr:rowOff>173226</xdr:rowOff>
    </xdr:from>
    <xdr:ext cx="514857" cy="180627"/>
    <xdr:sp macro="_xll.PtreeEvent_ObjectClick" textlink="">
      <xdr:nvSpPr>
        <xdr:cNvPr id="4664" name="PTObj_DBranchName_1_1162">
          <a:extLst>
            <a:ext uri="{FF2B5EF4-FFF2-40B4-BE49-F238E27FC236}">
              <a16:creationId xmlns:a16="http://schemas.microsoft.com/office/drawing/2014/main" id="{F064FB4F-B363-47BC-84B5-676AE7124C46}"/>
            </a:ext>
          </a:extLst>
        </xdr:cNvPr>
        <xdr:cNvSpPr txBox="1"/>
      </xdr:nvSpPr>
      <xdr:spPr>
        <a:xfrm>
          <a:off x="17344834" y="4249215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2349</xdr:row>
      <xdr:rowOff>172095</xdr:rowOff>
    </xdr:from>
    <xdr:to>
      <xdr:col>11</xdr:col>
      <xdr:colOff>135383</xdr:colOff>
      <xdr:row>2350</xdr:row>
      <xdr:rowOff>170170</xdr:rowOff>
    </xdr:to>
    <xdr:sp macro="_xll.PtreeEvent_ObjectClick" textlink="">
      <xdr:nvSpPr>
        <xdr:cNvPr id="4665" name="PTObj_DNode_1_1163">
          <a:extLst>
            <a:ext uri="{FF2B5EF4-FFF2-40B4-BE49-F238E27FC236}">
              <a16:creationId xmlns:a16="http://schemas.microsoft.com/office/drawing/2014/main" id="{B5CE9008-EF4A-4642-B4F9-F36F0C7195AC}"/>
            </a:ext>
          </a:extLst>
        </xdr:cNvPr>
        <xdr:cNvSpPr/>
      </xdr:nvSpPr>
      <xdr:spPr>
        <a:xfrm>
          <a:off x="19918807" y="4252823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2349</xdr:row>
      <xdr:rowOff>169426</xdr:rowOff>
    </xdr:from>
    <xdr:ext cx="514858" cy="180627"/>
    <xdr:sp macro="_xll.PtreeEvent_ObjectClick" textlink="">
      <xdr:nvSpPr>
        <xdr:cNvPr id="4668" name="PTObj_DBranchName_1_1163">
          <a:extLst>
            <a:ext uri="{FF2B5EF4-FFF2-40B4-BE49-F238E27FC236}">
              <a16:creationId xmlns:a16="http://schemas.microsoft.com/office/drawing/2014/main" id="{0054AE80-F9DD-437E-8601-1181E949FEDC}"/>
            </a:ext>
          </a:extLst>
        </xdr:cNvPr>
        <xdr:cNvSpPr txBox="1"/>
      </xdr:nvSpPr>
      <xdr:spPr>
        <a:xfrm>
          <a:off x="18768820" y="4252797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2351</xdr:row>
      <xdr:rowOff>174952</xdr:rowOff>
    </xdr:from>
    <xdr:to>
      <xdr:col>12</xdr:col>
      <xdr:colOff>132515</xdr:colOff>
      <xdr:row>2352</xdr:row>
      <xdr:rowOff>171142</xdr:rowOff>
    </xdr:to>
    <xdr:sp macro="_xll.PtreeEvent_ObjectClick" textlink="">
      <xdr:nvSpPr>
        <xdr:cNvPr id="4669" name="PTObj_DNode_1_1164">
          <a:extLst>
            <a:ext uri="{FF2B5EF4-FFF2-40B4-BE49-F238E27FC236}">
              <a16:creationId xmlns:a16="http://schemas.microsoft.com/office/drawing/2014/main" id="{EE70A38B-55F8-4187-8D1A-54F299E1F9B3}"/>
            </a:ext>
          </a:extLst>
        </xdr:cNvPr>
        <xdr:cNvSpPr/>
      </xdr:nvSpPr>
      <xdr:spPr>
        <a:xfrm rot="-5400000">
          <a:off x="21347557" y="4256443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2351</xdr:row>
      <xdr:rowOff>173196</xdr:rowOff>
    </xdr:from>
    <xdr:ext cx="514858" cy="180627"/>
    <xdr:sp macro="_xll.PtreeEvent_ObjectClick" textlink="">
      <xdr:nvSpPr>
        <xdr:cNvPr id="4672" name="PTObj_DBranchName_1_1164">
          <a:extLst>
            <a:ext uri="{FF2B5EF4-FFF2-40B4-BE49-F238E27FC236}">
              <a16:creationId xmlns:a16="http://schemas.microsoft.com/office/drawing/2014/main" id="{A9561201-B891-48BC-A18E-A1A61BCDB1AA}"/>
            </a:ext>
          </a:extLst>
        </xdr:cNvPr>
        <xdr:cNvSpPr txBox="1"/>
      </xdr:nvSpPr>
      <xdr:spPr>
        <a:xfrm>
          <a:off x="20188045" y="4256454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2356</xdr:row>
      <xdr:rowOff>2530</xdr:rowOff>
    </xdr:from>
    <xdr:to>
      <xdr:col>9</xdr:col>
      <xdr:colOff>154432</xdr:colOff>
      <xdr:row>2357</xdr:row>
      <xdr:rowOff>15845</xdr:rowOff>
    </xdr:to>
    <xdr:sp macro="_xll.PtreeEvent_ObjectClick" textlink="">
      <xdr:nvSpPr>
        <xdr:cNvPr id="4673" name="PTObj_DNode_1_1166">
          <a:extLst>
            <a:ext uri="{FF2B5EF4-FFF2-40B4-BE49-F238E27FC236}">
              <a16:creationId xmlns:a16="http://schemas.microsoft.com/office/drawing/2014/main" id="{EE55253E-DFD3-48FD-86A1-EFF7727B8ED7}"/>
            </a:ext>
          </a:extLst>
        </xdr:cNvPr>
        <xdr:cNvSpPr/>
      </xdr:nvSpPr>
      <xdr:spPr>
        <a:xfrm>
          <a:off x="17068927" y="4263796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2356</xdr:row>
      <xdr:rowOff>3671</xdr:rowOff>
    </xdr:from>
    <xdr:ext cx="566520" cy="180627"/>
    <xdr:sp macro="_xll.PtreeEvent_ObjectClick" textlink="">
      <xdr:nvSpPr>
        <xdr:cNvPr id="4676" name="PTObj_DBranchName_1_1166">
          <a:extLst>
            <a:ext uri="{FF2B5EF4-FFF2-40B4-BE49-F238E27FC236}">
              <a16:creationId xmlns:a16="http://schemas.microsoft.com/office/drawing/2014/main" id="{2EFF6598-0700-4DDD-A891-8C9DC16F4B1D}"/>
            </a:ext>
          </a:extLst>
        </xdr:cNvPr>
        <xdr:cNvSpPr txBox="1"/>
      </xdr:nvSpPr>
      <xdr:spPr>
        <a:xfrm>
          <a:off x="15926563" y="4263807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2358</xdr:row>
      <xdr:rowOff>6350</xdr:rowOff>
    </xdr:from>
    <xdr:to>
      <xdr:col>10</xdr:col>
      <xdr:colOff>150622</xdr:colOff>
      <xdr:row>2359</xdr:row>
      <xdr:rowOff>19665</xdr:rowOff>
    </xdr:to>
    <xdr:sp macro="_xll.PtreeEvent_ObjectClick" textlink="">
      <xdr:nvSpPr>
        <xdr:cNvPr id="4677" name="PTObj_DNode_1_1167">
          <a:extLst>
            <a:ext uri="{FF2B5EF4-FFF2-40B4-BE49-F238E27FC236}">
              <a16:creationId xmlns:a16="http://schemas.microsoft.com/office/drawing/2014/main" id="{25CE736C-8E64-40CC-9EBA-478CF690727D}"/>
            </a:ext>
          </a:extLst>
        </xdr:cNvPr>
        <xdr:cNvSpPr/>
      </xdr:nvSpPr>
      <xdr:spPr>
        <a:xfrm>
          <a:off x="18493867" y="4267454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2358</xdr:row>
      <xdr:rowOff>9396</xdr:rowOff>
    </xdr:from>
    <xdr:ext cx="514857" cy="180627"/>
    <xdr:sp macro="_xll.PtreeEvent_ObjectClick" textlink="">
      <xdr:nvSpPr>
        <xdr:cNvPr id="4680" name="PTObj_DBranchName_1_1167">
          <a:extLst>
            <a:ext uri="{FF2B5EF4-FFF2-40B4-BE49-F238E27FC236}">
              <a16:creationId xmlns:a16="http://schemas.microsoft.com/office/drawing/2014/main" id="{D24C7A61-6D54-4FCD-8CD3-F67F7D346041}"/>
            </a:ext>
          </a:extLst>
        </xdr:cNvPr>
        <xdr:cNvSpPr txBox="1"/>
      </xdr:nvSpPr>
      <xdr:spPr>
        <a:xfrm>
          <a:off x="17344834" y="4267484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2360</xdr:row>
      <xdr:rowOff>10170</xdr:rowOff>
    </xdr:from>
    <xdr:to>
      <xdr:col>11</xdr:col>
      <xdr:colOff>135383</xdr:colOff>
      <xdr:row>2361</xdr:row>
      <xdr:rowOff>15865</xdr:rowOff>
    </xdr:to>
    <xdr:sp macro="_xll.PtreeEvent_ObjectClick" textlink="">
      <xdr:nvSpPr>
        <xdr:cNvPr id="4681" name="PTObj_DNode_1_1168">
          <a:extLst>
            <a:ext uri="{FF2B5EF4-FFF2-40B4-BE49-F238E27FC236}">
              <a16:creationId xmlns:a16="http://schemas.microsoft.com/office/drawing/2014/main" id="{8F518189-5096-43C2-BBF3-68B775788AED}"/>
            </a:ext>
          </a:extLst>
        </xdr:cNvPr>
        <xdr:cNvSpPr/>
      </xdr:nvSpPr>
      <xdr:spPr>
        <a:xfrm>
          <a:off x="19918807" y="4271111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2360</xdr:row>
      <xdr:rowOff>13216</xdr:rowOff>
    </xdr:from>
    <xdr:ext cx="514858" cy="180627"/>
    <xdr:sp macro="_xll.PtreeEvent_ObjectClick" textlink="">
      <xdr:nvSpPr>
        <xdr:cNvPr id="4684" name="PTObj_DBranchName_1_1168">
          <a:extLst>
            <a:ext uri="{FF2B5EF4-FFF2-40B4-BE49-F238E27FC236}">
              <a16:creationId xmlns:a16="http://schemas.microsoft.com/office/drawing/2014/main" id="{A37DA7F2-E361-40C9-85B2-34CE082E1BB9}"/>
            </a:ext>
          </a:extLst>
        </xdr:cNvPr>
        <xdr:cNvSpPr txBox="1"/>
      </xdr:nvSpPr>
      <xdr:spPr>
        <a:xfrm>
          <a:off x="18768820" y="4271142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2362</xdr:row>
      <xdr:rowOff>20647</xdr:rowOff>
    </xdr:from>
    <xdr:to>
      <xdr:col>12</xdr:col>
      <xdr:colOff>132515</xdr:colOff>
      <xdr:row>2363</xdr:row>
      <xdr:rowOff>16837</xdr:rowOff>
    </xdr:to>
    <xdr:sp macro="_xll.PtreeEvent_ObjectClick" textlink="">
      <xdr:nvSpPr>
        <xdr:cNvPr id="4685" name="PTObj_DNode_1_1169">
          <a:extLst>
            <a:ext uri="{FF2B5EF4-FFF2-40B4-BE49-F238E27FC236}">
              <a16:creationId xmlns:a16="http://schemas.microsoft.com/office/drawing/2014/main" id="{9AD26BA0-38BE-45C5-8E35-A2AFC2ADA0AD}"/>
            </a:ext>
          </a:extLst>
        </xdr:cNvPr>
        <xdr:cNvSpPr/>
      </xdr:nvSpPr>
      <xdr:spPr>
        <a:xfrm rot="-5400000">
          <a:off x="21347557" y="4274807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2362</xdr:row>
      <xdr:rowOff>18891</xdr:rowOff>
    </xdr:from>
    <xdr:ext cx="514858" cy="180627"/>
    <xdr:sp macro="_xll.PtreeEvent_ObjectClick" textlink="">
      <xdr:nvSpPr>
        <xdr:cNvPr id="4688" name="PTObj_DBranchName_1_1169">
          <a:extLst>
            <a:ext uri="{FF2B5EF4-FFF2-40B4-BE49-F238E27FC236}">
              <a16:creationId xmlns:a16="http://schemas.microsoft.com/office/drawing/2014/main" id="{3C0E4784-DA1C-4665-8ABE-8CBA8D3438AF}"/>
            </a:ext>
          </a:extLst>
        </xdr:cNvPr>
        <xdr:cNvSpPr txBox="1"/>
      </xdr:nvSpPr>
      <xdr:spPr>
        <a:xfrm>
          <a:off x="20188045" y="4274818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2374</xdr:row>
      <xdr:rowOff>36810</xdr:rowOff>
    </xdr:from>
    <xdr:to>
      <xdr:col>8</xdr:col>
      <xdr:colOff>171578</xdr:colOff>
      <xdr:row>2375</xdr:row>
      <xdr:rowOff>38695</xdr:rowOff>
    </xdr:to>
    <xdr:sp macro="_xll.PtreeEvent_ObjectClick" textlink="">
      <xdr:nvSpPr>
        <xdr:cNvPr id="4689" name="PTObj_DNode_1_1175">
          <a:extLst>
            <a:ext uri="{FF2B5EF4-FFF2-40B4-BE49-F238E27FC236}">
              <a16:creationId xmlns:a16="http://schemas.microsoft.com/office/drawing/2014/main" id="{A3827FB0-8060-40C1-B6EB-7CFDD701D777}"/>
            </a:ext>
          </a:extLst>
        </xdr:cNvPr>
        <xdr:cNvSpPr/>
      </xdr:nvSpPr>
      <xdr:spPr>
        <a:xfrm>
          <a:off x="15643988" y="4296714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2374</xdr:row>
      <xdr:rowOff>37951</xdr:rowOff>
    </xdr:from>
    <xdr:ext cx="566520" cy="180627"/>
    <xdr:sp macro="_xll.PtreeEvent_ObjectClick" textlink="">
      <xdr:nvSpPr>
        <xdr:cNvPr id="4692" name="PTObj_DBranchName_1_1175">
          <a:extLst>
            <a:ext uri="{FF2B5EF4-FFF2-40B4-BE49-F238E27FC236}">
              <a16:creationId xmlns:a16="http://schemas.microsoft.com/office/drawing/2014/main" id="{1B2BBEB2-E252-4B53-816D-FE76DE23C164}"/>
            </a:ext>
          </a:extLst>
        </xdr:cNvPr>
        <xdr:cNvSpPr txBox="1"/>
      </xdr:nvSpPr>
      <xdr:spPr>
        <a:xfrm>
          <a:off x="14498765" y="4296726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2366</xdr:row>
      <xdr:rowOff>21580</xdr:rowOff>
    </xdr:from>
    <xdr:to>
      <xdr:col>9</xdr:col>
      <xdr:colOff>154432</xdr:colOff>
      <xdr:row>2367</xdr:row>
      <xdr:rowOff>15845</xdr:rowOff>
    </xdr:to>
    <xdr:sp macro="_xll.PtreeEvent_ObjectClick" textlink="">
      <xdr:nvSpPr>
        <xdr:cNvPr id="4693" name="PTObj_DNode_1_1171">
          <a:extLst>
            <a:ext uri="{FF2B5EF4-FFF2-40B4-BE49-F238E27FC236}">
              <a16:creationId xmlns:a16="http://schemas.microsoft.com/office/drawing/2014/main" id="{6500AE22-6E94-4EEC-AC70-C84845C504E1}"/>
            </a:ext>
          </a:extLst>
        </xdr:cNvPr>
        <xdr:cNvSpPr/>
      </xdr:nvSpPr>
      <xdr:spPr>
        <a:xfrm>
          <a:off x="17068927" y="4282084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2366</xdr:row>
      <xdr:rowOff>18911</xdr:rowOff>
    </xdr:from>
    <xdr:ext cx="566519" cy="180627"/>
    <xdr:sp macro="_xll.PtreeEvent_ObjectClick" textlink="">
      <xdr:nvSpPr>
        <xdr:cNvPr id="4696" name="PTObj_DBranchName_1_1171">
          <a:extLst>
            <a:ext uri="{FF2B5EF4-FFF2-40B4-BE49-F238E27FC236}">
              <a16:creationId xmlns:a16="http://schemas.microsoft.com/office/drawing/2014/main" id="{8EE5A7AB-8C7C-44FB-9B81-38623015456C}"/>
            </a:ext>
          </a:extLst>
        </xdr:cNvPr>
        <xdr:cNvSpPr txBox="1"/>
      </xdr:nvSpPr>
      <xdr:spPr>
        <a:xfrm>
          <a:off x="15922752" y="4282057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2368</xdr:row>
      <xdr:rowOff>25400</xdr:rowOff>
    </xdr:from>
    <xdr:to>
      <xdr:col>10</xdr:col>
      <xdr:colOff>150622</xdr:colOff>
      <xdr:row>2369</xdr:row>
      <xdr:rowOff>17760</xdr:rowOff>
    </xdr:to>
    <xdr:sp macro="_xll.PtreeEvent_ObjectClick" textlink="">
      <xdr:nvSpPr>
        <xdr:cNvPr id="4697" name="PTObj_DNode_1_1172">
          <a:extLst>
            <a:ext uri="{FF2B5EF4-FFF2-40B4-BE49-F238E27FC236}">
              <a16:creationId xmlns:a16="http://schemas.microsoft.com/office/drawing/2014/main" id="{45C56638-6173-4216-8212-50280A42F9B5}"/>
            </a:ext>
          </a:extLst>
        </xdr:cNvPr>
        <xdr:cNvSpPr/>
      </xdr:nvSpPr>
      <xdr:spPr>
        <a:xfrm>
          <a:off x="18493867" y="4285742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2368</xdr:row>
      <xdr:rowOff>22731</xdr:rowOff>
    </xdr:from>
    <xdr:ext cx="514857" cy="180627"/>
    <xdr:sp macro="_xll.PtreeEvent_ObjectClick" textlink="">
      <xdr:nvSpPr>
        <xdr:cNvPr id="4700" name="PTObj_DBranchName_1_1172">
          <a:extLst>
            <a:ext uri="{FF2B5EF4-FFF2-40B4-BE49-F238E27FC236}">
              <a16:creationId xmlns:a16="http://schemas.microsoft.com/office/drawing/2014/main" id="{9CF8AF1C-A27F-44BC-A50F-EF2B97DEF964}"/>
            </a:ext>
          </a:extLst>
        </xdr:cNvPr>
        <xdr:cNvSpPr txBox="1"/>
      </xdr:nvSpPr>
      <xdr:spPr>
        <a:xfrm>
          <a:off x="17344834" y="4285715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2370</xdr:row>
      <xdr:rowOff>29220</xdr:rowOff>
    </xdr:from>
    <xdr:to>
      <xdr:col>11</xdr:col>
      <xdr:colOff>131573</xdr:colOff>
      <xdr:row>2371</xdr:row>
      <xdr:rowOff>21580</xdr:rowOff>
    </xdr:to>
    <xdr:sp macro="_xll.PtreeEvent_ObjectClick" textlink="">
      <xdr:nvSpPr>
        <xdr:cNvPr id="4701" name="PTObj_DNode_1_1173">
          <a:extLst>
            <a:ext uri="{FF2B5EF4-FFF2-40B4-BE49-F238E27FC236}">
              <a16:creationId xmlns:a16="http://schemas.microsoft.com/office/drawing/2014/main" id="{08B908CF-1F31-4894-81AF-961A4F44BFBE}"/>
            </a:ext>
          </a:extLst>
        </xdr:cNvPr>
        <xdr:cNvSpPr/>
      </xdr:nvSpPr>
      <xdr:spPr>
        <a:xfrm>
          <a:off x="19918807" y="4289399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2370</xdr:row>
      <xdr:rowOff>28456</xdr:rowOff>
    </xdr:from>
    <xdr:ext cx="514858" cy="180627"/>
    <xdr:sp macro="_xll.PtreeEvent_ObjectClick" textlink="">
      <xdr:nvSpPr>
        <xdr:cNvPr id="4704" name="PTObj_DBranchName_1_1173">
          <a:extLst>
            <a:ext uri="{FF2B5EF4-FFF2-40B4-BE49-F238E27FC236}">
              <a16:creationId xmlns:a16="http://schemas.microsoft.com/office/drawing/2014/main" id="{48EADD8D-2114-438C-B6E8-426DD7BAD501}"/>
            </a:ext>
          </a:extLst>
        </xdr:cNvPr>
        <xdr:cNvSpPr txBox="1"/>
      </xdr:nvSpPr>
      <xdr:spPr>
        <a:xfrm>
          <a:off x="18768820" y="4289392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1388882</xdr:colOff>
      <xdr:row>2372</xdr:row>
      <xdr:rowOff>34935</xdr:rowOff>
    </xdr:from>
    <xdr:to>
      <xdr:col>12</xdr:col>
      <xdr:colOff>131562</xdr:colOff>
      <xdr:row>2373</xdr:row>
      <xdr:rowOff>17790</xdr:rowOff>
    </xdr:to>
    <xdr:sp macro="_xll.PtreeEvent_ObjectClick" textlink="">
      <xdr:nvSpPr>
        <xdr:cNvPr id="4705" name="PTObj_DNode_1_1174">
          <a:extLst>
            <a:ext uri="{FF2B5EF4-FFF2-40B4-BE49-F238E27FC236}">
              <a16:creationId xmlns:a16="http://schemas.microsoft.com/office/drawing/2014/main" id="{95FFD320-B8C9-4976-9D2B-5DAA55EC5E2A}"/>
            </a:ext>
          </a:extLst>
        </xdr:cNvPr>
        <xdr:cNvSpPr/>
      </xdr:nvSpPr>
      <xdr:spPr>
        <a:xfrm rot="-5400000">
          <a:off x="21347557" y="429303835"/>
          <a:ext cx="177165" cy="18476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2372</xdr:row>
      <xdr:rowOff>32226</xdr:rowOff>
    </xdr:from>
    <xdr:ext cx="514858" cy="180627"/>
    <xdr:sp macro="_xll.PtreeEvent_ObjectClick" textlink="">
      <xdr:nvSpPr>
        <xdr:cNvPr id="4708" name="PTObj_DBranchName_1_1174">
          <a:extLst>
            <a:ext uri="{FF2B5EF4-FFF2-40B4-BE49-F238E27FC236}">
              <a16:creationId xmlns:a16="http://schemas.microsoft.com/office/drawing/2014/main" id="{0D1B480C-2269-4723-B96B-E80A0FD51B6B}"/>
            </a:ext>
          </a:extLst>
        </xdr:cNvPr>
        <xdr:cNvSpPr txBox="1"/>
      </xdr:nvSpPr>
      <xdr:spPr>
        <a:xfrm>
          <a:off x="20188045" y="4293049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2376</xdr:row>
      <xdr:rowOff>40630</xdr:rowOff>
    </xdr:from>
    <xdr:to>
      <xdr:col>9</xdr:col>
      <xdr:colOff>154432</xdr:colOff>
      <xdr:row>2377</xdr:row>
      <xdr:rowOff>57755</xdr:rowOff>
    </xdr:to>
    <xdr:sp macro="_xll.PtreeEvent_ObjectClick" textlink="">
      <xdr:nvSpPr>
        <xdr:cNvPr id="4709" name="PTObj_DNode_1_1176">
          <a:extLst>
            <a:ext uri="{FF2B5EF4-FFF2-40B4-BE49-F238E27FC236}">
              <a16:creationId xmlns:a16="http://schemas.microsoft.com/office/drawing/2014/main" id="{712545BC-3643-40D1-8B87-968F6EF00004}"/>
            </a:ext>
          </a:extLst>
        </xdr:cNvPr>
        <xdr:cNvSpPr/>
      </xdr:nvSpPr>
      <xdr:spPr>
        <a:xfrm>
          <a:off x="17068927" y="4300372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2376</xdr:row>
      <xdr:rowOff>41771</xdr:rowOff>
    </xdr:from>
    <xdr:ext cx="566520" cy="180627"/>
    <xdr:sp macro="_xll.PtreeEvent_ObjectClick" textlink="">
      <xdr:nvSpPr>
        <xdr:cNvPr id="4712" name="PTObj_DBranchName_1_1176">
          <a:extLst>
            <a:ext uri="{FF2B5EF4-FFF2-40B4-BE49-F238E27FC236}">
              <a16:creationId xmlns:a16="http://schemas.microsoft.com/office/drawing/2014/main" id="{893B182B-4C66-45B1-81E5-F478D38A285B}"/>
            </a:ext>
          </a:extLst>
        </xdr:cNvPr>
        <xdr:cNvSpPr txBox="1"/>
      </xdr:nvSpPr>
      <xdr:spPr>
        <a:xfrm>
          <a:off x="15926563" y="4300383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2378</xdr:row>
      <xdr:rowOff>44450</xdr:rowOff>
    </xdr:from>
    <xdr:to>
      <xdr:col>10</xdr:col>
      <xdr:colOff>150622</xdr:colOff>
      <xdr:row>2379</xdr:row>
      <xdr:rowOff>53955</xdr:rowOff>
    </xdr:to>
    <xdr:sp macro="_xll.PtreeEvent_ObjectClick" textlink="">
      <xdr:nvSpPr>
        <xdr:cNvPr id="4713" name="PTObj_DNode_1_1177">
          <a:extLst>
            <a:ext uri="{FF2B5EF4-FFF2-40B4-BE49-F238E27FC236}">
              <a16:creationId xmlns:a16="http://schemas.microsoft.com/office/drawing/2014/main" id="{87084434-1331-432C-8015-984B16AEF66D}"/>
            </a:ext>
          </a:extLst>
        </xdr:cNvPr>
        <xdr:cNvSpPr/>
      </xdr:nvSpPr>
      <xdr:spPr>
        <a:xfrm>
          <a:off x="18493867" y="4304030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2378</xdr:row>
      <xdr:rowOff>47496</xdr:rowOff>
    </xdr:from>
    <xdr:ext cx="514857" cy="180627"/>
    <xdr:sp macro="_xll.PtreeEvent_ObjectClick" textlink="">
      <xdr:nvSpPr>
        <xdr:cNvPr id="4716" name="PTObj_DBranchName_1_1177">
          <a:extLst>
            <a:ext uri="{FF2B5EF4-FFF2-40B4-BE49-F238E27FC236}">
              <a16:creationId xmlns:a16="http://schemas.microsoft.com/office/drawing/2014/main" id="{30970C85-903F-4C54-8B4B-2E00E93845AD}"/>
            </a:ext>
          </a:extLst>
        </xdr:cNvPr>
        <xdr:cNvSpPr txBox="1"/>
      </xdr:nvSpPr>
      <xdr:spPr>
        <a:xfrm>
          <a:off x="17344834" y="4304060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2380</xdr:row>
      <xdr:rowOff>48270</xdr:rowOff>
    </xdr:from>
    <xdr:to>
      <xdr:col>11</xdr:col>
      <xdr:colOff>131573</xdr:colOff>
      <xdr:row>2381</xdr:row>
      <xdr:rowOff>57775</xdr:rowOff>
    </xdr:to>
    <xdr:sp macro="_xll.PtreeEvent_ObjectClick" textlink="">
      <xdr:nvSpPr>
        <xdr:cNvPr id="4717" name="PTObj_DNode_1_1178">
          <a:extLst>
            <a:ext uri="{FF2B5EF4-FFF2-40B4-BE49-F238E27FC236}">
              <a16:creationId xmlns:a16="http://schemas.microsoft.com/office/drawing/2014/main" id="{5C0A353A-261F-44AC-886A-29A5539C7FAA}"/>
            </a:ext>
          </a:extLst>
        </xdr:cNvPr>
        <xdr:cNvSpPr/>
      </xdr:nvSpPr>
      <xdr:spPr>
        <a:xfrm>
          <a:off x="19918807" y="4307687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2380</xdr:row>
      <xdr:rowOff>51316</xdr:rowOff>
    </xdr:from>
    <xdr:ext cx="514858" cy="180627"/>
    <xdr:sp macro="_xll.PtreeEvent_ObjectClick" textlink="">
      <xdr:nvSpPr>
        <xdr:cNvPr id="4720" name="PTObj_DBranchName_1_1178">
          <a:extLst>
            <a:ext uri="{FF2B5EF4-FFF2-40B4-BE49-F238E27FC236}">
              <a16:creationId xmlns:a16="http://schemas.microsoft.com/office/drawing/2014/main" id="{B39AFCEC-1B7C-40D9-9729-1D10A45C19FD}"/>
            </a:ext>
          </a:extLst>
        </xdr:cNvPr>
        <xdr:cNvSpPr txBox="1"/>
      </xdr:nvSpPr>
      <xdr:spPr>
        <a:xfrm>
          <a:off x="18768820" y="4307718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2382</xdr:row>
      <xdr:rowOff>58747</xdr:rowOff>
    </xdr:from>
    <xdr:to>
      <xdr:col>12</xdr:col>
      <xdr:colOff>136325</xdr:colOff>
      <xdr:row>2383</xdr:row>
      <xdr:rowOff>58747</xdr:rowOff>
    </xdr:to>
    <xdr:sp macro="_xll.PtreeEvent_ObjectClick" textlink="">
      <xdr:nvSpPr>
        <xdr:cNvPr id="4721" name="PTObj_DNode_1_1179">
          <a:extLst>
            <a:ext uri="{FF2B5EF4-FFF2-40B4-BE49-F238E27FC236}">
              <a16:creationId xmlns:a16="http://schemas.microsoft.com/office/drawing/2014/main" id="{F46BF53A-0FF4-4681-AF66-73852E923763}"/>
            </a:ext>
          </a:extLst>
        </xdr:cNvPr>
        <xdr:cNvSpPr/>
      </xdr:nvSpPr>
      <xdr:spPr>
        <a:xfrm rot="-5400000">
          <a:off x="21347557" y="4311383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2382</xdr:row>
      <xdr:rowOff>56991</xdr:rowOff>
    </xdr:from>
    <xdr:ext cx="514858" cy="180627"/>
    <xdr:sp macro="_xll.PtreeEvent_ObjectClick" textlink="">
      <xdr:nvSpPr>
        <xdr:cNvPr id="4724" name="PTObj_DBranchName_1_1179">
          <a:extLst>
            <a:ext uri="{FF2B5EF4-FFF2-40B4-BE49-F238E27FC236}">
              <a16:creationId xmlns:a16="http://schemas.microsoft.com/office/drawing/2014/main" id="{67F3DF8F-E36C-4E7F-AD8B-E63FDF52A5B9}"/>
            </a:ext>
          </a:extLst>
        </xdr:cNvPr>
        <xdr:cNvSpPr txBox="1"/>
      </xdr:nvSpPr>
      <xdr:spPr>
        <a:xfrm>
          <a:off x="20188045" y="4311394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2404</xdr:row>
      <xdr:rowOff>93960</xdr:rowOff>
    </xdr:from>
    <xdr:to>
      <xdr:col>7</xdr:col>
      <xdr:colOff>167767</xdr:colOff>
      <xdr:row>2405</xdr:row>
      <xdr:rowOff>95845</xdr:rowOff>
    </xdr:to>
    <xdr:sp macro="_xll.PtreeEvent_ObjectClick" textlink="">
      <xdr:nvSpPr>
        <xdr:cNvPr id="4725" name="PTObj_DNode_1_1190">
          <a:extLst>
            <a:ext uri="{FF2B5EF4-FFF2-40B4-BE49-F238E27FC236}">
              <a16:creationId xmlns:a16="http://schemas.microsoft.com/office/drawing/2014/main" id="{DB4940A5-C706-465A-8FA1-7E8AC1AF4DD4}"/>
            </a:ext>
          </a:extLst>
        </xdr:cNvPr>
        <xdr:cNvSpPr/>
      </xdr:nvSpPr>
      <xdr:spPr>
        <a:xfrm>
          <a:off x="14219047" y="4351578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2404</xdr:row>
      <xdr:rowOff>98911</xdr:rowOff>
    </xdr:from>
    <xdr:ext cx="566520" cy="180627"/>
    <xdr:sp macro="_xll.PtreeEvent_ObjectClick" textlink="">
      <xdr:nvSpPr>
        <xdr:cNvPr id="4728" name="PTObj_DBranchName_1_1190">
          <a:extLst>
            <a:ext uri="{FF2B5EF4-FFF2-40B4-BE49-F238E27FC236}">
              <a16:creationId xmlns:a16="http://schemas.microsoft.com/office/drawing/2014/main" id="{BC5BDD04-D70F-4818-9D82-9EED22BAC571}"/>
            </a:ext>
          </a:extLst>
        </xdr:cNvPr>
        <xdr:cNvSpPr txBox="1"/>
      </xdr:nvSpPr>
      <xdr:spPr>
        <a:xfrm>
          <a:off x="13074777" y="435162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2394</xdr:row>
      <xdr:rowOff>74910</xdr:rowOff>
    </xdr:from>
    <xdr:to>
      <xdr:col>8</xdr:col>
      <xdr:colOff>171578</xdr:colOff>
      <xdr:row>2395</xdr:row>
      <xdr:rowOff>76795</xdr:rowOff>
    </xdr:to>
    <xdr:sp macro="_xll.PtreeEvent_ObjectClick" textlink="">
      <xdr:nvSpPr>
        <xdr:cNvPr id="4729" name="PTObj_DNode_1_1185">
          <a:extLst>
            <a:ext uri="{FF2B5EF4-FFF2-40B4-BE49-F238E27FC236}">
              <a16:creationId xmlns:a16="http://schemas.microsoft.com/office/drawing/2014/main" id="{0E1B910F-7EB6-416B-BE10-D9962EB0B6B4}"/>
            </a:ext>
          </a:extLst>
        </xdr:cNvPr>
        <xdr:cNvSpPr/>
      </xdr:nvSpPr>
      <xdr:spPr>
        <a:xfrm>
          <a:off x="15643988" y="4333290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2394</xdr:row>
      <xdr:rowOff>76051</xdr:rowOff>
    </xdr:from>
    <xdr:ext cx="566520" cy="180627"/>
    <xdr:sp macro="_xll.PtreeEvent_ObjectClick" textlink="">
      <xdr:nvSpPr>
        <xdr:cNvPr id="4732" name="PTObj_DBranchName_1_1185">
          <a:extLst>
            <a:ext uri="{FF2B5EF4-FFF2-40B4-BE49-F238E27FC236}">
              <a16:creationId xmlns:a16="http://schemas.microsoft.com/office/drawing/2014/main" id="{4AD5E0FD-4E87-4BA7-8E45-4B1E3C50FC97}"/>
            </a:ext>
          </a:extLst>
        </xdr:cNvPr>
        <xdr:cNvSpPr txBox="1"/>
      </xdr:nvSpPr>
      <xdr:spPr>
        <a:xfrm>
          <a:off x="14500670" y="4333302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2386</xdr:row>
      <xdr:rowOff>59680</xdr:rowOff>
    </xdr:from>
    <xdr:to>
      <xdr:col>9</xdr:col>
      <xdr:colOff>154432</xdr:colOff>
      <xdr:row>2387</xdr:row>
      <xdr:rowOff>53945</xdr:rowOff>
    </xdr:to>
    <xdr:sp macro="_xll.PtreeEvent_ObjectClick" textlink="">
      <xdr:nvSpPr>
        <xdr:cNvPr id="4733" name="PTObj_DNode_1_1181">
          <a:extLst>
            <a:ext uri="{FF2B5EF4-FFF2-40B4-BE49-F238E27FC236}">
              <a16:creationId xmlns:a16="http://schemas.microsoft.com/office/drawing/2014/main" id="{26F6DD01-A2FF-44E3-A4AC-35C531CC0EA1}"/>
            </a:ext>
          </a:extLst>
        </xdr:cNvPr>
        <xdr:cNvSpPr/>
      </xdr:nvSpPr>
      <xdr:spPr>
        <a:xfrm>
          <a:off x="17068927" y="4318660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2386</xdr:row>
      <xdr:rowOff>57011</xdr:rowOff>
    </xdr:from>
    <xdr:ext cx="566519" cy="180627"/>
    <xdr:sp macro="_xll.PtreeEvent_ObjectClick" textlink="">
      <xdr:nvSpPr>
        <xdr:cNvPr id="4736" name="PTObj_DBranchName_1_1181">
          <a:extLst>
            <a:ext uri="{FF2B5EF4-FFF2-40B4-BE49-F238E27FC236}">
              <a16:creationId xmlns:a16="http://schemas.microsoft.com/office/drawing/2014/main" id="{31D0CC0E-B3D8-48E9-99F8-91F5516588F0}"/>
            </a:ext>
          </a:extLst>
        </xdr:cNvPr>
        <xdr:cNvSpPr txBox="1"/>
      </xdr:nvSpPr>
      <xdr:spPr>
        <a:xfrm>
          <a:off x="15922752" y="4318633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2388</xdr:row>
      <xdr:rowOff>63500</xdr:rowOff>
    </xdr:from>
    <xdr:to>
      <xdr:col>10</xdr:col>
      <xdr:colOff>150622</xdr:colOff>
      <xdr:row>2389</xdr:row>
      <xdr:rowOff>55860</xdr:rowOff>
    </xdr:to>
    <xdr:sp macro="_xll.PtreeEvent_ObjectClick" textlink="">
      <xdr:nvSpPr>
        <xdr:cNvPr id="4737" name="PTObj_DNode_1_1182">
          <a:extLst>
            <a:ext uri="{FF2B5EF4-FFF2-40B4-BE49-F238E27FC236}">
              <a16:creationId xmlns:a16="http://schemas.microsoft.com/office/drawing/2014/main" id="{93A1305C-66A6-4BF7-9CB0-76B830481D01}"/>
            </a:ext>
          </a:extLst>
        </xdr:cNvPr>
        <xdr:cNvSpPr/>
      </xdr:nvSpPr>
      <xdr:spPr>
        <a:xfrm>
          <a:off x="18493867" y="4322318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2388</xdr:row>
      <xdr:rowOff>60831</xdr:rowOff>
    </xdr:from>
    <xdr:ext cx="514857" cy="180627"/>
    <xdr:sp macro="_xll.PtreeEvent_ObjectClick" textlink="">
      <xdr:nvSpPr>
        <xdr:cNvPr id="4740" name="PTObj_DBranchName_1_1182">
          <a:extLst>
            <a:ext uri="{FF2B5EF4-FFF2-40B4-BE49-F238E27FC236}">
              <a16:creationId xmlns:a16="http://schemas.microsoft.com/office/drawing/2014/main" id="{B28AFD13-0C98-4AB0-A3F9-4A778518C6AD}"/>
            </a:ext>
          </a:extLst>
        </xdr:cNvPr>
        <xdr:cNvSpPr txBox="1"/>
      </xdr:nvSpPr>
      <xdr:spPr>
        <a:xfrm>
          <a:off x="17344834" y="4322291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2390</xdr:row>
      <xdr:rowOff>67320</xdr:rowOff>
    </xdr:from>
    <xdr:to>
      <xdr:col>11</xdr:col>
      <xdr:colOff>131573</xdr:colOff>
      <xdr:row>2391</xdr:row>
      <xdr:rowOff>59680</xdr:rowOff>
    </xdr:to>
    <xdr:sp macro="_xll.PtreeEvent_ObjectClick" textlink="">
      <xdr:nvSpPr>
        <xdr:cNvPr id="4741" name="PTObj_DNode_1_1183">
          <a:extLst>
            <a:ext uri="{FF2B5EF4-FFF2-40B4-BE49-F238E27FC236}">
              <a16:creationId xmlns:a16="http://schemas.microsoft.com/office/drawing/2014/main" id="{89E501C8-594F-4528-B36A-7E0041A3D3D1}"/>
            </a:ext>
          </a:extLst>
        </xdr:cNvPr>
        <xdr:cNvSpPr/>
      </xdr:nvSpPr>
      <xdr:spPr>
        <a:xfrm>
          <a:off x="19918807" y="4325975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2390</xdr:row>
      <xdr:rowOff>66556</xdr:rowOff>
    </xdr:from>
    <xdr:ext cx="514858" cy="180627"/>
    <xdr:sp macro="_xll.PtreeEvent_ObjectClick" textlink="">
      <xdr:nvSpPr>
        <xdr:cNvPr id="4744" name="PTObj_DBranchName_1_1183">
          <a:extLst>
            <a:ext uri="{FF2B5EF4-FFF2-40B4-BE49-F238E27FC236}">
              <a16:creationId xmlns:a16="http://schemas.microsoft.com/office/drawing/2014/main" id="{C2FD934F-782A-43BF-BB17-B74DB7F10BD9}"/>
            </a:ext>
          </a:extLst>
        </xdr:cNvPr>
        <xdr:cNvSpPr txBox="1"/>
      </xdr:nvSpPr>
      <xdr:spPr>
        <a:xfrm>
          <a:off x="18768820" y="4325968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1388882</xdr:colOff>
      <xdr:row>2392</xdr:row>
      <xdr:rowOff>73035</xdr:rowOff>
    </xdr:from>
    <xdr:to>
      <xdr:col>12</xdr:col>
      <xdr:colOff>131562</xdr:colOff>
      <xdr:row>2393</xdr:row>
      <xdr:rowOff>55890</xdr:rowOff>
    </xdr:to>
    <xdr:sp macro="_xll.PtreeEvent_ObjectClick" textlink="">
      <xdr:nvSpPr>
        <xdr:cNvPr id="4745" name="PTObj_DNode_1_1184">
          <a:extLst>
            <a:ext uri="{FF2B5EF4-FFF2-40B4-BE49-F238E27FC236}">
              <a16:creationId xmlns:a16="http://schemas.microsoft.com/office/drawing/2014/main" id="{4E974C80-7109-4960-87D2-715DB3433568}"/>
            </a:ext>
          </a:extLst>
        </xdr:cNvPr>
        <xdr:cNvSpPr/>
      </xdr:nvSpPr>
      <xdr:spPr>
        <a:xfrm rot="-5400000">
          <a:off x="21347557" y="432961435"/>
          <a:ext cx="177165" cy="18476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2392</xdr:row>
      <xdr:rowOff>70326</xdr:rowOff>
    </xdr:from>
    <xdr:ext cx="514858" cy="180627"/>
    <xdr:sp macro="_xll.PtreeEvent_ObjectClick" textlink="">
      <xdr:nvSpPr>
        <xdr:cNvPr id="4748" name="PTObj_DBranchName_1_1184">
          <a:extLst>
            <a:ext uri="{FF2B5EF4-FFF2-40B4-BE49-F238E27FC236}">
              <a16:creationId xmlns:a16="http://schemas.microsoft.com/office/drawing/2014/main" id="{B1833D47-0DAC-42E0-A9F7-166E7DC0BF13}"/>
            </a:ext>
          </a:extLst>
        </xdr:cNvPr>
        <xdr:cNvSpPr txBox="1"/>
      </xdr:nvSpPr>
      <xdr:spPr>
        <a:xfrm>
          <a:off x="20188045" y="4329625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2396</xdr:row>
      <xdr:rowOff>78730</xdr:rowOff>
    </xdr:from>
    <xdr:to>
      <xdr:col>9</xdr:col>
      <xdr:colOff>154432</xdr:colOff>
      <xdr:row>2397</xdr:row>
      <xdr:rowOff>95855</xdr:rowOff>
    </xdr:to>
    <xdr:sp macro="_xll.PtreeEvent_ObjectClick" textlink="">
      <xdr:nvSpPr>
        <xdr:cNvPr id="4749" name="PTObj_DNode_1_1186">
          <a:extLst>
            <a:ext uri="{FF2B5EF4-FFF2-40B4-BE49-F238E27FC236}">
              <a16:creationId xmlns:a16="http://schemas.microsoft.com/office/drawing/2014/main" id="{34F39317-AC8C-42B7-BC3D-ECA4BF7F0C4D}"/>
            </a:ext>
          </a:extLst>
        </xdr:cNvPr>
        <xdr:cNvSpPr/>
      </xdr:nvSpPr>
      <xdr:spPr>
        <a:xfrm>
          <a:off x="17068927" y="4336948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2396</xdr:row>
      <xdr:rowOff>79871</xdr:rowOff>
    </xdr:from>
    <xdr:ext cx="566520" cy="180627"/>
    <xdr:sp macro="_xll.PtreeEvent_ObjectClick" textlink="">
      <xdr:nvSpPr>
        <xdr:cNvPr id="4752" name="PTObj_DBranchName_1_1186">
          <a:extLst>
            <a:ext uri="{FF2B5EF4-FFF2-40B4-BE49-F238E27FC236}">
              <a16:creationId xmlns:a16="http://schemas.microsoft.com/office/drawing/2014/main" id="{7F91F7B5-2CD9-4C3E-A73D-C843C7F6C64F}"/>
            </a:ext>
          </a:extLst>
        </xdr:cNvPr>
        <xdr:cNvSpPr txBox="1"/>
      </xdr:nvSpPr>
      <xdr:spPr>
        <a:xfrm>
          <a:off x="15926563" y="4336959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2398</xdr:row>
      <xdr:rowOff>82550</xdr:rowOff>
    </xdr:from>
    <xdr:to>
      <xdr:col>10</xdr:col>
      <xdr:colOff>150622</xdr:colOff>
      <xdr:row>2399</xdr:row>
      <xdr:rowOff>92055</xdr:rowOff>
    </xdr:to>
    <xdr:sp macro="_xll.PtreeEvent_ObjectClick" textlink="">
      <xdr:nvSpPr>
        <xdr:cNvPr id="4753" name="PTObj_DNode_1_1187">
          <a:extLst>
            <a:ext uri="{FF2B5EF4-FFF2-40B4-BE49-F238E27FC236}">
              <a16:creationId xmlns:a16="http://schemas.microsoft.com/office/drawing/2014/main" id="{DFA8FCBB-9453-4B57-ACCD-5F617DA7DD83}"/>
            </a:ext>
          </a:extLst>
        </xdr:cNvPr>
        <xdr:cNvSpPr/>
      </xdr:nvSpPr>
      <xdr:spPr>
        <a:xfrm>
          <a:off x="18493867" y="4340606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2398</xdr:row>
      <xdr:rowOff>85596</xdr:rowOff>
    </xdr:from>
    <xdr:ext cx="514857" cy="180627"/>
    <xdr:sp macro="_xll.PtreeEvent_ObjectClick" textlink="">
      <xdr:nvSpPr>
        <xdr:cNvPr id="4756" name="PTObj_DBranchName_1_1187">
          <a:extLst>
            <a:ext uri="{FF2B5EF4-FFF2-40B4-BE49-F238E27FC236}">
              <a16:creationId xmlns:a16="http://schemas.microsoft.com/office/drawing/2014/main" id="{6BBFEB20-3ADA-4C13-B3F5-981FBB137C14}"/>
            </a:ext>
          </a:extLst>
        </xdr:cNvPr>
        <xdr:cNvSpPr txBox="1"/>
      </xdr:nvSpPr>
      <xdr:spPr>
        <a:xfrm>
          <a:off x="17344834" y="4340636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2400</xdr:row>
      <xdr:rowOff>86370</xdr:rowOff>
    </xdr:from>
    <xdr:to>
      <xdr:col>11</xdr:col>
      <xdr:colOff>131573</xdr:colOff>
      <xdr:row>2401</xdr:row>
      <xdr:rowOff>95875</xdr:rowOff>
    </xdr:to>
    <xdr:sp macro="_xll.PtreeEvent_ObjectClick" textlink="">
      <xdr:nvSpPr>
        <xdr:cNvPr id="4757" name="PTObj_DNode_1_1188">
          <a:extLst>
            <a:ext uri="{FF2B5EF4-FFF2-40B4-BE49-F238E27FC236}">
              <a16:creationId xmlns:a16="http://schemas.microsoft.com/office/drawing/2014/main" id="{2A986898-0D1B-4240-9F7C-52414F2DF47B}"/>
            </a:ext>
          </a:extLst>
        </xdr:cNvPr>
        <xdr:cNvSpPr/>
      </xdr:nvSpPr>
      <xdr:spPr>
        <a:xfrm>
          <a:off x="19918807" y="4344263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2400</xdr:row>
      <xdr:rowOff>89416</xdr:rowOff>
    </xdr:from>
    <xdr:ext cx="514858" cy="180627"/>
    <xdr:sp macro="_xll.PtreeEvent_ObjectClick" textlink="">
      <xdr:nvSpPr>
        <xdr:cNvPr id="4760" name="PTObj_DBranchName_1_1188">
          <a:extLst>
            <a:ext uri="{FF2B5EF4-FFF2-40B4-BE49-F238E27FC236}">
              <a16:creationId xmlns:a16="http://schemas.microsoft.com/office/drawing/2014/main" id="{ED116DC6-6E8C-40BC-A605-F20485CAA287}"/>
            </a:ext>
          </a:extLst>
        </xdr:cNvPr>
        <xdr:cNvSpPr txBox="1"/>
      </xdr:nvSpPr>
      <xdr:spPr>
        <a:xfrm>
          <a:off x="18768820" y="4344294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2402</xdr:row>
      <xdr:rowOff>96847</xdr:rowOff>
    </xdr:from>
    <xdr:to>
      <xdr:col>12</xdr:col>
      <xdr:colOff>136325</xdr:colOff>
      <xdr:row>2403</xdr:row>
      <xdr:rowOff>96847</xdr:rowOff>
    </xdr:to>
    <xdr:sp macro="_xll.PtreeEvent_ObjectClick" textlink="">
      <xdr:nvSpPr>
        <xdr:cNvPr id="4761" name="PTObj_DNode_1_1189">
          <a:extLst>
            <a:ext uri="{FF2B5EF4-FFF2-40B4-BE49-F238E27FC236}">
              <a16:creationId xmlns:a16="http://schemas.microsoft.com/office/drawing/2014/main" id="{39479BCF-857C-453B-A40E-04730A366A71}"/>
            </a:ext>
          </a:extLst>
        </xdr:cNvPr>
        <xdr:cNvSpPr/>
      </xdr:nvSpPr>
      <xdr:spPr>
        <a:xfrm rot="-5400000">
          <a:off x="21347557" y="4347959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2402</xdr:row>
      <xdr:rowOff>95091</xdr:rowOff>
    </xdr:from>
    <xdr:ext cx="514858" cy="180627"/>
    <xdr:sp macro="_xll.PtreeEvent_ObjectClick" textlink="">
      <xdr:nvSpPr>
        <xdr:cNvPr id="4764" name="PTObj_DBranchName_1_1189">
          <a:extLst>
            <a:ext uri="{FF2B5EF4-FFF2-40B4-BE49-F238E27FC236}">
              <a16:creationId xmlns:a16="http://schemas.microsoft.com/office/drawing/2014/main" id="{BD77ABCA-07E0-4866-AA4F-4536DF4F53D2}"/>
            </a:ext>
          </a:extLst>
        </xdr:cNvPr>
        <xdr:cNvSpPr txBox="1"/>
      </xdr:nvSpPr>
      <xdr:spPr>
        <a:xfrm>
          <a:off x="20188045" y="4347970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2414</xdr:row>
      <xdr:rowOff>113010</xdr:rowOff>
    </xdr:from>
    <xdr:to>
      <xdr:col>8</xdr:col>
      <xdr:colOff>167768</xdr:colOff>
      <xdr:row>2415</xdr:row>
      <xdr:rowOff>114895</xdr:rowOff>
    </xdr:to>
    <xdr:sp macro="_xll.PtreeEvent_ObjectClick" textlink="">
      <xdr:nvSpPr>
        <xdr:cNvPr id="4765" name="PTObj_DNode_1_1195">
          <a:extLst>
            <a:ext uri="{FF2B5EF4-FFF2-40B4-BE49-F238E27FC236}">
              <a16:creationId xmlns:a16="http://schemas.microsoft.com/office/drawing/2014/main" id="{EDD37205-2C68-4BAA-AEF9-034F7CD9C5AB}"/>
            </a:ext>
          </a:extLst>
        </xdr:cNvPr>
        <xdr:cNvSpPr/>
      </xdr:nvSpPr>
      <xdr:spPr>
        <a:xfrm>
          <a:off x="15643988" y="4369866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2414</xdr:row>
      <xdr:rowOff>114151</xdr:rowOff>
    </xdr:from>
    <xdr:ext cx="566520" cy="180627"/>
    <xdr:sp macro="_xll.PtreeEvent_ObjectClick" textlink="">
      <xdr:nvSpPr>
        <xdr:cNvPr id="4768" name="PTObj_DBranchName_1_1195">
          <a:extLst>
            <a:ext uri="{FF2B5EF4-FFF2-40B4-BE49-F238E27FC236}">
              <a16:creationId xmlns:a16="http://schemas.microsoft.com/office/drawing/2014/main" id="{EA128FB3-1D6F-4762-9E87-66BF66C2BD8C}"/>
            </a:ext>
          </a:extLst>
        </xdr:cNvPr>
        <xdr:cNvSpPr txBox="1"/>
      </xdr:nvSpPr>
      <xdr:spPr>
        <a:xfrm>
          <a:off x="14498765" y="436987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2406</xdr:row>
      <xdr:rowOff>97780</xdr:rowOff>
    </xdr:from>
    <xdr:to>
      <xdr:col>9</xdr:col>
      <xdr:colOff>154432</xdr:colOff>
      <xdr:row>2407</xdr:row>
      <xdr:rowOff>95855</xdr:rowOff>
    </xdr:to>
    <xdr:sp macro="_xll.PtreeEvent_ObjectClick" textlink="">
      <xdr:nvSpPr>
        <xdr:cNvPr id="4769" name="PTObj_DNode_1_1191">
          <a:extLst>
            <a:ext uri="{FF2B5EF4-FFF2-40B4-BE49-F238E27FC236}">
              <a16:creationId xmlns:a16="http://schemas.microsoft.com/office/drawing/2014/main" id="{F2370F5C-371B-47FA-976E-46A2E6216FBA}"/>
            </a:ext>
          </a:extLst>
        </xdr:cNvPr>
        <xdr:cNvSpPr/>
      </xdr:nvSpPr>
      <xdr:spPr>
        <a:xfrm>
          <a:off x="17068927" y="4355236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2406</xdr:row>
      <xdr:rowOff>95111</xdr:rowOff>
    </xdr:from>
    <xdr:ext cx="566519" cy="180627"/>
    <xdr:sp macro="_xll.PtreeEvent_ObjectClick" textlink="">
      <xdr:nvSpPr>
        <xdr:cNvPr id="4772" name="PTObj_DBranchName_1_1191">
          <a:extLst>
            <a:ext uri="{FF2B5EF4-FFF2-40B4-BE49-F238E27FC236}">
              <a16:creationId xmlns:a16="http://schemas.microsoft.com/office/drawing/2014/main" id="{3B640DA3-47B9-4EDF-A4AA-E21587AF3FFA}"/>
            </a:ext>
          </a:extLst>
        </xdr:cNvPr>
        <xdr:cNvSpPr txBox="1"/>
      </xdr:nvSpPr>
      <xdr:spPr>
        <a:xfrm>
          <a:off x="15922752" y="4355209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2408</xdr:row>
      <xdr:rowOff>101600</xdr:rowOff>
    </xdr:from>
    <xdr:to>
      <xdr:col>10</xdr:col>
      <xdr:colOff>150622</xdr:colOff>
      <xdr:row>2409</xdr:row>
      <xdr:rowOff>97770</xdr:rowOff>
    </xdr:to>
    <xdr:sp macro="_xll.PtreeEvent_ObjectClick" textlink="">
      <xdr:nvSpPr>
        <xdr:cNvPr id="4773" name="PTObj_DNode_1_1192">
          <a:extLst>
            <a:ext uri="{FF2B5EF4-FFF2-40B4-BE49-F238E27FC236}">
              <a16:creationId xmlns:a16="http://schemas.microsoft.com/office/drawing/2014/main" id="{EDF31702-80B4-4346-A089-DF9D8CBEFE3F}"/>
            </a:ext>
          </a:extLst>
        </xdr:cNvPr>
        <xdr:cNvSpPr/>
      </xdr:nvSpPr>
      <xdr:spPr>
        <a:xfrm>
          <a:off x="18493867" y="4358894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2408</xdr:row>
      <xdr:rowOff>98931</xdr:rowOff>
    </xdr:from>
    <xdr:ext cx="514857" cy="180627"/>
    <xdr:sp macro="_xll.PtreeEvent_ObjectClick" textlink="">
      <xdr:nvSpPr>
        <xdr:cNvPr id="4776" name="PTObj_DBranchName_1_1192">
          <a:extLst>
            <a:ext uri="{FF2B5EF4-FFF2-40B4-BE49-F238E27FC236}">
              <a16:creationId xmlns:a16="http://schemas.microsoft.com/office/drawing/2014/main" id="{E541FDC5-97F0-4FC8-8F9A-4A27B6DEAA0F}"/>
            </a:ext>
          </a:extLst>
        </xdr:cNvPr>
        <xdr:cNvSpPr txBox="1"/>
      </xdr:nvSpPr>
      <xdr:spPr>
        <a:xfrm>
          <a:off x="17344834" y="4358867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2410</xdr:row>
      <xdr:rowOff>105420</xdr:rowOff>
    </xdr:from>
    <xdr:to>
      <xdr:col>11</xdr:col>
      <xdr:colOff>135383</xdr:colOff>
      <xdr:row>2411</xdr:row>
      <xdr:rowOff>93970</xdr:rowOff>
    </xdr:to>
    <xdr:sp macro="_xll.PtreeEvent_ObjectClick" textlink="">
      <xdr:nvSpPr>
        <xdr:cNvPr id="4777" name="PTObj_DNode_1_1193">
          <a:extLst>
            <a:ext uri="{FF2B5EF4-FFF2-40B4-BE49-F238E27FC236}">
              <a16:creationId xmlns:a16="http://schemas.microsoft.com/office/drawing/2014/main" id="{17B4442C-35C6-4035-A8D6-4838D57C609F}"/>
            </a:ext>
          </a:extLst>
        </xdr:cNvPr>
        <xdr:cNvSpPr/>
      </xdr:nvSpPr>
      <xdr:spPr>
        <a:xfrm>
          <a:off x="19918807" y="4362551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2410</xdr:row>
      <xdr:rowOff>104656</xdr:rowOff>
    </xdr:from>
    <xdr:ext cx="514858" cy="180627"/>
    <xdr:sp macro="_xll.PtreeEvent_ObjectClick" textlink="">
      <xdr:nvSpPr>
        <xdr:cNvPr id="4780" name="PTObj_DBranchName_1_1193">
          <a:extLst>
            <a:ext uri="{FF2B5EF4-FFF2-40B4-BE49-F238E27FC236}">
              <a16:creationId xmlns:a16="http://schemas.microsoft.com/office/drawing/2014/main" id="{39708D07-598E-4D75-838A-3CD3172B2016}"/>
            </a:ext>
          </a:extLst>
        </xdr:cNvPr>
        <xdr:cNvSpPr txBox="1"/>
      </xdr:nvSpPr>
      <xdr:spPr>
        <a:xfrm>
          <a:off x="18768820" y="4362544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1388882</xdr:colOff>
      <xdr:row>2412</xdr:row>
      <xdr:rowOff>111135</xdr:rowOff>
    </xdr:from>
    <xdr:to>
      <xdr:col>12</xdr:col>
      <xdr:colOff>135372</xdr:colOff>
      <xdr:row>2413</xdr:row>
      <xdr:rowOff>97800</xdr:rowOff>
    </xdr:to>
    <xdr:sp macro="_xll.PtreeEvent_ObjectClick" textlink="">
      <xdr:nvSpPr>
        <xdr:cNvPr id="4781" name="PTObj_DNode_1_1194">
          <a:extLst>
            <a:ext uri="{FF2B5EF4-FFF2-40B4-BE49-F238E27FC236}">
              <a16:creationId xmlns:a16="http://schemas.microsoft.com/office/drawing/2014/main" id="{6EF4B4AD-7304-4A27-B684-D16DA077EC8A}"/>
            </a:ext>
          </a:extLst>
        </xdr:cNvPr>
        <xdr:cNvSpPr/>
      </xdr:nvSpPr>
      <xdr:spPr>
        <a:xfrm rot="-5400000">
          <a:off x="21347557" y="436619035"/>
          <a:ext cx="177165" cy="18476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2412</xdr:row>
      <xdr:rowOff>108426</xdr:rowOff>
    </xdr:from>
    <xdr:ext cx="514858" cy="180627"/>
    <xdr:sp macro="_xll.PtreeEvent_ObjectClick" textlink="">
      <xdr:nvSpPr>
        <xdr:cNvPr id="4784" name="PTObj_DBranchName_1_1194">
          <a:extLst>
            <a:ext uri="{FF2B5EF4-FFF2-40B4-BE49-F238E27FC236}">
              <a16:creationId xmlns:a16="http://schemas.microsoft.com/office/drawing/2014/main" id="{3ED0A89D-B5A4-45EA-A8CA-AF15DE580333}"/>
            </a:ext>
          </a:extLst>
        </xdr:cNvPr>
        <xdr:cNvSpPr txBox="1"/>
      </xdr:nvSpPr>
      <xdr:spPr>
        <a:xfrm>
          <a:off x="20188045" y="4366201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2416</xdr:row>
      <xdr:rowOff>116830</xdr:rowOff>
    </xdr:from>
    <xdr:to>
      <xdr:col>9</xdr:col>
      <xdr:colOff>154432</xdr:colOff>
      <xdr:row>2417</xdr:row>
      <xdr:rowOff>130145</xdr:rowOff>
    </xdr:to>
    <xdr:sp macro="_xll.PtreeEvent_ObjectClick" textlink="">
      <xdr:nvSpPr>
        <xdr:cNvPr id="4785" name="PTObj_DNode_1_1196">
          <a:extLst>
            <a:ext uri="{FF2B5EF4-FFF2-40B4-BE49-F238E27FC236}">
              <a16:creationId xmlns:a16="http://schemas.microsoft.com/office/drawing/2014/main" id="{C15CA6D1-0E21-440F-9673-4A11A172451B}"/>
            </a:ext>
          </a:extLst>
        </xdr:cNvPr>
        <xdr:cNvSpPr/>
      </xdr:nvSpPr>
      <xdr:spPr>
        <a:xfrm>
          <a:off x="17068927" y="4373524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2416</xdr:row>
      <xdr:rowOff>117971</xdr:rowOff>
    </xdr:from>
    <xdr:ext cx="566520" cy="180627"/>
    <xdr:sp macro="_xll.PtreeEvent_ObjectClick" textlink="">
      <xdr:nvSpPr>
        <xdr:cNvPr id="4788" name="PTObj_DBranchName_1_1196">
          <a:extLst>
            <a:ext uri="{FF2B5EF4-FFF2-40B4-BE49-F238E27FC236}">
              <a16:creationId xmlns:a16="http://schemas.microsoft.com/office/drawing/2014/main" id="{DFFA2FAA-3F95-41BC-A8B8-F032C46A60CF}"/>
            </a:ext>
          </a:extLst>
        </xdr:cNvPr>
        <xdr:cNvSpPr txBox="1"/>
      </xdr:nvSpPr>
      <xdr:spPr>
        <a:xfrm>
          <a:off x="15926563" y="4373535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2418</xdr:row>
      <xdr:rowOff>120650</xdr:rowOff>
    </xdr:from>
    <xdr:to>
      <xdr:col>10</xdr:col>
      <xdr:colOff>150622</xdr:colOff>
      <xdr:row>2419</xdr:row>
      <xdr:rowOff>133965</xdr:rowOff>
    </xdr:to>
    <xdr:sp macro="_xll.PtreeEvent_ObjectClick" textlink="">
      <xdr:nvSpPr>
        <xdr:cNvPr id="4789" name="PTObj_DNode_1_1197">
          <a:extLst>
            <a:ext uri="{FF2B5EF4-FFF2-40B4-BE49-F238E27FC236}">
              <a16:creationId xmlns:a16="http://schemas.microsoft.com/office/drawing/2014/main" id="{EA24539B-DC4E-4DF1-9255-E8A7E6FA9974}"/>
            </a:ext>
          </a:extLst>
        </xdr:cNvPr>
        <xdr:cNvSpPr/>
      </xdr:nvSpPr>
      <xdr:spPr>
        <a:xfrm>
          <a:off x="18493867" y="4377182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2418</xdr:row>
      <xdr:rowOff>123696</xdr:rowOff>
    </xdr:from>
    <xdr:ext cx="514857" cy="180627"/>
    <xdr:sp macro="_xll.PtreeEvent_ObjectClick" textlink="">
      <xdr:nvSpPr>
        <xdr:cNvPr id="4792" name="PTObj_DBranchName_1_1197">
          <a:extLst>
            <a:ext uri="{FF2B5EF4-FFF2-40B4-BE49-F238E27FC236}">
              <a16:creationId xmlns:a16="http://schemas.microsoft.com/office/drawing/2014/main" id="{C3B22B19-C2DE-40A8-B287-411BA2EF2EAF}"/>
            </a:ext>
          </a:extLst>
        </xdr:cNvPr>
        <xdr:cNvSpPr txBox="1"/>
      </xdr:nvSpPr>
      <xdr:spPr>
        <a:xfrm>
          <a:off x="17344834" y="4377212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2420</xdr:row>
      <xdr:rowOff>124470</xdr:rowOff>
    </xdr:from>
    <xdr:to>
      <xdr:col>11</xdr:col>
      <xdr:colOff>135383</xdr:colOff>
      <xdr:row>2421</xdr:row>
      <xdr:rowOff>130165</xdr:rowOff>
    </xdr:to>
    <xdr:sp macro="_xll.PtreeEvent_ObjectClick" textlink="">
      <xdr:nvSpPr>
        <xdr:cNvPr id="4793" name="PTObj_DNode_1_1198">
          <a:extLst>
            <a:ext uri="{FF2B5EF4-FFF2-40B4-BE49-F238E27FC236}">
              <a16:creationId xmlns:a16="http://schemas.microsoft.com/office/drawing/2014/main" id="{15D56EEA-E749-4384-83FE-6DB044CF38E3}"/>
            </a:ext>
          </a:extLst>
        </xdr:cNvPr>
        <xdr:cNvSpPr/>
      </xdr:nvSpPr>
      <xdr:spPr>
        <a:xfrm>
          <a:off x="19918807" y="4380839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2420</xdr:row>
      <xdr:rowOff>127516</xdr:rowOff>
    </xdr:from>
    <xdr:ext cx="514858" cy="180627"/>
    <xdr:sp macro="_xll.PtreeEvent_ObjectClick" textlink="">
      <xdr:nvSpPr>
        <xdr:cNvPr id="4796" name="PTObj_DBranchName_1_1198">
          <a:extLst>
            <a:ext uri="{FF2B5EF4-FFF2-40B4-BE49-F238E27FC236}">
              <a16:creationId xmlns:a16="http://schemas.microsoft.com/office/drawing/2014/main" id="{10D67C11-C349-42E3-89A4-3FB0AB922609}"/>
            </a:ext>
          </a:extLst>
        </xdr:cNvPr>
        <xdr:cNvSpPr txBox="1"/>
      </xdr:nvSpPr>
      <xdr:spPr>
        <a:xfrm>
          <a:off x="18768820" y="4380870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2422</xdr:row>
      <xdr:rowOff>134947</xdr:rowOff>
    </xdr:from>
    <xdr:to>
      <xdr:col>12</xdr:col>
      <xdr:colOff>132515</xdr:colOff>
      <xdr:row>2423</xdr:row>
      <xdr:rowOff>131137</xdr:rowOff>
    </xdr:to>
    <xdr:sp macro="_xll.PtreeEvent_ObjectClick" textlink="">
      <xdr:nvSpPr>
        <xdr:cNvPr id="4797" name="PTObj_DNode_1_1199">
          <a:extLst>
            <a:ext uri="{FF2B5EF4-FFF2-40B4-BE49-F238E27FC236}">
              <a16:creationId xmlns:a16="http://schemas.microsoft.com/office/drawing/2014/main" id="{795E74FD-6FFF-4B5C-AA9E-D6BA76488F8B}"/>
            </a:ext>
          </a:extLst>
        </xdr:cNvPr>
        <xdr:cNvSpPr/>
      </xdr:nvSpPr>
      <xdr:spPr>
        <a:xfrm rot="-5400000">
          <a:off x="21347557" y="4384535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2422</xdr:row>
      <xdr:rowOff>133191</xdr:rowOff>
    </xdr:from>
    <xdr:ext cx="514858" cy="180627"/>
    <xdr:sp macro="_xll.PtreeEvent_ObjectClick" textlink="">
      <xdr:nvSpPr>
        <xdr:cNvPr id="4800" name="PTObj_DBranchName_1_1199">
          <a:extLst>
            <a:ext uri="{FF2B5EF4-FFF2-40B4-BE49-F238E27FC236}">
              <a16:creationId xmlns:a16="http://schemas.microsoft.com/office/drawing/2014/main" id="{7B51DBCC-9815-4D77-9F2E-2947DEE52C89}"/>
            </a:ext>
          </a:extLst>
        </xdr:cNvPr>
        <xdr:cNvSpPr txBox="1"/>
      </xdr:nvSpPr>
      <xdr:spPr>
        <a:xfrm>
          <a:off x="20188045" y="4384546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4</xdr:col>
      <xdr:colOff>1415542</xdr:colOff>
      <xdr:row>2505</xdr:row>
      <xdr:rowOff>103485</xdr:rowOff>
    </xdr:from>
    <xdr:to>
      <xdr:col>5</xdr:col>
      <xdr:colOff>173483</xdr:colOff>
      <xdr:row>2506</xdr:row>
      <xdr:rowOff>97750</xdr:rowOff>
    </xdr:to>
    <xdr:sp macro="_xll.PtreeEvent_ObjectClick" textlink="">
      <xdr:nvSpPr>
        <xdr:cNvPr id="4801" name="PTObj_DNode_1_1240">
          <a:extLst>
            <a:ext uri="{FF2B5EF4-FFF2-40B4-BE49-F238E27FC236}">
              <a16:creationId xmlns:a16="http://schemas.microsoft.com/office/drawing/2014/main" id="{36CB1686-1AA7-48CD-AE7B-E4738E6B88CA}"/>
            </a:ext>
          </a:extLst>
        </xdr:cNvPr>
        <xdr:cNvSpPr/>
      </xdr:nvSpPr>
      <xdr:spPr>
        <a:xfrm>
          <a:off x="11369167" y="45344586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266509</xdr:colOff>
      <xdr:row>2505</xdr:row>
      <xdr:rowOff>102721</xdr:rowOff>
    </xdr:from>
    <xdr:ext cx="566520" cy="180627"/>
    <xdr:sp macro="_xll.PtreeEvent_ObjectClick" textlink="">
      <xdr:nvSpPr>
        <xdr:cNvPr id="4804" name="PTObj_DBranchName_1_1240">
          <a:extLst>
            <a:ext uri="{FF2B5EF4-FFF2-40B4-BE49-F238E27FC236}">
              <a16:creationId xmlns:a16="http://schemas.microsoft.com/office/drawing/2014/main" id="{D3185624-214C-4093-9ADB-96475F0C40B3}"/>
            </a:ext>
          </a:extLst>
        </xdr:cNvPr>
        <xdr:cNvSpPr txBox="1"/>
      </xdr:nvSpPr>
      <xdr:spPr>
        <a:xfrm>
          <a:off x="10220134" y="4534450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5</xdr:col>
      <xdr:colOff>1411732</xdr:colOff>
      <xdr:row>2465</xdr:row>
      <xdr:rowOff>27285</xdr:rowOff>
    </xdr:from>
    <xdr:to>
      <xdr:col>6</xdr:col>
      <xdr:colOff>173482</xdr:colOff>
      <xdr:row>2466</xdr:row>
      <xdr:rowOff>17740</xdr:rowOff>
    </xdr:to>
    <xdr:sp macro="_xll.PtreeEvent_ObjectClick" textlink="">
      <xdr:nvSpPr>
        <xdr:cNvPr id="4805" name="PTObj_DNode_1_1220">
          <a:extLst>
            <a:ext uri="{FF2B5EF4-FFF2-40B4-BE49-F238E27FC236}">
              <a16:creationId xmlns:a16="http://schemas.microsoft.com/office/drawing/2014/main" id="{705F8550-00B6-4459-9808-77408F2D7337}"/>
            </a:ext>
          </a:extLst>
        </xdr:cNvPr>
        <xdr:cNvSpPr/>
      </xdr:nvSpPr>
      <xdr:spPr>
        <a:xfrm>
          <a:off x="12794107" y="4461306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266510</xdr:colOff>
      <xdr:row>2465</xdr:row>
      <xdr:rowOff>26521</xdr:rowOff>
    </xdr:from>
    <xdr:ext cx="566520" cy="180627"/>
    <xdr:sp macro="_xll.PtreeEvent_ObjectClick" textlink="">
      <xdr:nvSpPr>
        <xdr:cNvPr id="4808" name="PTObj_DBranchName_1_1220">
          <a:extLst>
            <a:ext uri="{FF2B5EF4-FFF2-40B4-BE49-F238E27FC236}">
              <a16:creationId xmlns:a16="http://schemas.microsoft.com/office/drawing/2014/main" id="{98D9BB87-AE16-474D-BD3E-1E6E26EF149D}"/>
            </a:ext>
          </a:extLst>
        </xdr:cNvPr>
        <xdr:cNvSpPr txBox="1"/>
      </xdr:nvSpPr>
      <xdr:spPr>
        <a:xfrm>
          <a:off x="11648885" y="4461298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6</xdr:col>
      <xdr:colOff>1407922</xdr:colOff>
      <xdr:row>2444</xdr:row>
      <xdr:rowOff>170160</xdr:rowOff>
    </xdr:from>
    <xdr:to>
      <xdr:col>7</xdr:col>
      <xdr:colOff>171577</xdr:colOff>
      <xdr:row>2445</xdr:row>
      <xdr:rowOff>168235</xdr:rowOff>
    </xdr:to>
    <xdr:sp macro="_xll.PtreeEvent_ObjectClick" textlink="">
      <xdr:nvSpPr>
        <xdr:cNvPr id="4809" name="PTObj_DNode_1_1210">
          <a:extLst>
            <a:ext uri="{FF2B5EF4-FFF2-40B4-BE49-F238E27FC236}">
              <a16:creationId xmlns:a16="http://schemas.microsoft.com/office/drawing/2014/main" id="{2641F5AC-CE6B-4EE1-8C30-FCB9BA029464}"/>
            </a:ext>
          </a:extLst>
        </xdr:cNvPr>
        <xdr:cNvSpPr/>
      </xdr:nvSpPr>
      <xdr:spPr>
        <a:xfrm>
          <a:off x="14219047" y="4424730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2444</xdr:row>
      <xdr:rowOff>175111</xdr:rowOff>
    </xdr:from>
    <xdr:ext cx="568424" cy="180627"/>
    <xdr:sp macro="_xll.PtreeEvent_ObjectClick" textlink="">
      <xdr:nvSpPr>
        <xdr:cNvPr id="4812" name="PTObj_DBranchName_1_1210">
          <a:extLst>
            <a:ext uri="{FF2B5EF4-FFF2-40B4-BE49-F238E27FC236}">
              <a16:creationId xmlns:a16="http://schemas.microsoft.com/office/drawing/2014/main" id="{D5D1FD0D-CFD4-424F-A53E-FDAB38D2F58D}"/>
            </a:ext>
          </a:extLst>
        </xdr:cNvPr>
        <xdr:cNvSpPr txBox="1"/>
      </xdr:nvSpPr>
      <xdr:spPr>
        <a:xfrm>
          <a:off x="13072872" y="442478011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2434</xdr:row>
      <xdr:rowOff>151110</xdr:rowOff>
    </xdr:from>
    <xdr:to>
      <xdr:col>8</xdr:col>
      <xdr:colOff>167768</xdr:colOff>
      <xdr:row>2435</xdr:row>
      <xdr:rowOff>152995</xdr:rowOff>
    </xdr:to>
    <xdr:sp macro="_xll.PtreeEvent_ObjectClick" textlink="">
      <xdr:nvSpPr>
        <xdr:cNvPr id="4813" name="PTObj_DNode_1_1205">
          <a:extLst>
            <a:ext uri="{FF2B5EF4-FFF2-40B4-BE49-F238E27FC236}">
              <a16:creationId xmlns:a16="http://schemas.microsoft.com/office/drawing/2014/main" id="{C6D8ACEF-E6EE-4732-8045-4B8FE217AA01}"/>
            </a:ext>
          </a:extLst>
        </xdr:cNvPr>
        <xdr:cNvSpPr/>
      </xdr:nvSpPr>
      <xdr:spPr>
        <a:xfrm>
          <a:off x="15643988" y="4406442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2434</xdr:row>
      <xdr:rowOff>152251</xdr:rowOff>
    </xdr:from>
    <xdr:ext cx="566520" cy="180627"/>
    <xdr:sp macro="_xll.PtreeEvent_ObjectClick" textlink="">
      <xdr:nvSpPr>
        <xdr:cNvPr id="4816" name="PTObj_DBranchName_1_1205">
          <a:extLst>
            <a:ext uri="{FF2B5EF4-FFF2-40B4-BE49-F238E27FC236}">
              <a16:creationId xmlns:a16="http://schemas.microsoft.com/office/drawing/2014/main" id="{1351BD0E-915A-4B34-8C81-9CD5AAEDFBC6}"/>
            </a:ext>
          </a:extLst>
        </xdr:cNvPr>
        <xdr:cNvSpPr txBox="1"/>
      </xdr:nvSpPr>
      <xdr:spPr>
        <a:xfrm>
          <a:off x="14500670" y="4406454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2426</xdr:row>
      <xdr:rowOff>135880</xdr:rowOff>
    </xdr:from>
    <xdr:to>
      <xdr:col>9</xdr:col>
      <xdr:colOff>154432</xdr:colOff>
      <xdr:row>2427</xdr:row>
      <xdr:rowOff>133955</xdr:rowOff>
    </xdr:to>
    <xdr:sp macro="_xll.PtreeEvent_ObjectClick" textlink="">
      <xdr:nvSpPr>
        <xdr:cNvPr id="4817" name="PTObj_DNode_1_1201">
          <a:extLst>
            <a:ext uri="{FF2B5EF4-FFF2-40B4-BE49-F238E27FC236}">
              <a16:creationId xmlns:a16="http://schemas.microsoft.com/office/drawing/2014/main" id="{48843A13-CB9A-4EFB-ABDF-E628BE23EF21}"/>
            </a:ext>
          </a:extLst>
        </xdr:cNvPr>
        <xdr:cNvSpPr/>
      </xdr:nvSpPr>
      <xdr:spPr>
        <a:xfrm>
          <a:off x="17068927" y="4391812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2426</xdr:row>
      <xdr:rowOff>133211</xdr:rowOff>
    </xdr:from>
    <xdr:ext cx="566519" cy="180627"/>
    <xdr:sp macro="_xll.PtreeEvent_ObjectClick" textlink="">
      <xdr:nvSpPr>
        <xdr:cNvPr id="4820" name="PTObj_DBranchName_1_1201">
          <a:extLst>
            <a:ext uri="{FF2B5EF4-FFF2-40B4-BE49-F238E27FC236}">
              <a16:creationId xmlns:a16="http://schemas.microsoft.com/office/drawing/2014/main" id="{D1368BCD-C9EF-4EF0-87ED-D09AAEDD9C13}"/>
            </a:ext>
          </a:extLst>
        </xdr:cNvPr>
        <xdr:cNvSpPr txBox="1"/>
      </xdr:nvSpPr>
      <xdr:spPr>
        <a:xfrm>
          <a:off x="15922752" y="4391785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2428</xdr:row>
      <xdr:rowOff>139700</xdr:rowOff>
    </xdr:from>
    <xdr:to>
      <xdr:col>10</xdr:col>
      <xdr:colOff>150622</xdr:colOff>
      <xdr:row>2429</xdr:row>
      <xdr:rowOff>135870</xdr:rowOff>
    </xdr:to>
    <xdr:sp macro="_xll.PtreeEvent_ObjectClick" textlink="">
      <xdr:nvSpPr>
        <xdr:cNvPr id="4821" name="PTObj_DNode_1_1202">
          <a:extLst>
            <a:ext uri="{FF2B5EF4-FFF2-40B4-BE49-F238E27FC236}">
              <a16:creationId xmlns:a16="http://schemas.microsoft.com/office/drawing/2014/main" id="{5BDC8A63-2B92-4929-96F8-7A06B8D7EC18}"/>
            </a:ext>
          </a:extLst>
        </xdr:cNvPr>
        <xdr:cNvSpPr/>
      </xdr:nvSpPr>
      <xdr:spPr>
        <a:xfrm>
          <a:off x="18493867" y="4395470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2428</xdr:row>
      <xdr:rowOff>137031</xdr:rowOff>
    </xdr:from>
    <xdr:ext cx="514857" cy="180627"/>
    <xdr:sp macro="_xll.PtreeEvent_ObjectClick" textlink="">
      <xdr:nvSpPr>
        <xdr:cNvPr id="4824" name="PTObj_DBranchName_1_1202">
          <a:extLst>
            <a:ext uri="{FF2B5EF4-FFF2-40B4-BE49-F238E27FC236}">
              <a16:creationId xmlns:a16="http://schemas.microsoft.com/office/drawing/2014/main" id="{9C6A8097-BF79-4B9C-9F42-7EBCDA76206F}"/>
            </a:ext>
          </a:extLst>
        </xdr:cNvPr>
        <xdr:cNvSpPr txBox="1"/>
      </xdr:nvSpPr>
      <xdr:spPr>
        <a:xfrm>
          <a:off x="17344834" y="4395443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2430</xdr:row>
      <xdr:rowOff>143520</xdr:rowOff>
    </xdr:from>
    <xdr:to>
      <xdr:col>11</xdr:col>
      <xdr:colOff>135383</xdr:colOff>
      <xdr:row>2431</xdr:row>
      <xdr:rowOff>132070</xdr:rowOff>
    </xdr:to>
    <xdr:sp macro="_xll.PtreeEvent_ObjectClick" textlink="">
      <xdr:nvSpPr>
        <xdr:cNvPr id="4825" name="PTObj_DNode_1_1203">
          <a:extLst>
            <a:ext uri="{FF2B5EF4-FFF2-40B4-BE49-F238E27FC236}">
              <a16:creationId xmlns:a16="http://schemas.microsoft.com/office/drawing/2014/main" id="{601B1E6E-470A-4163-BAAE-5F8AB4FFE653}"/>
            </a:ext>
          </a:extLst>
        </xdr:cNvPr>
        <xdr:cNvSpPr/>
      </xdr:nvSpPr>
      <xdr:spPr>
        <a:xfrm>
          <a:off x="19918807" y="4399127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2430</xdr:row>
      <xdr:rowOff>142756</xdr:rowOff>
    </xdr:from>
    <xdr:ext cx="514858" cy="180627"/>
    <xdr:sp macro="_xll.PtreeEvent_ObjectClick" textlink="">
      <xdr:nvSpPr>
        <xdr:cNvPr id="4828" name="PTObj_DBranchName_1_1203">
          <a:extLst>
            <a:ext uri="{FF2B5EF4-FFF2-40B4-BE49-F238E27FC236}">
              <a16:creationId xmlns:a16="http://schemas.microsoft.com/office/drawing/2014/main" id="{89E89DDC-55E6-4DE4-80D6-B284B269D9EF}"/>
            </a:ext>
          </a:extLst>
        </xdr:cNvPr>
        <xdr:cNvSpPr txBox="1"/>
      </xdr:nvSpPr>
      <xdr:spPr>
        <a:xfrm>
          <a:off x="18768820" y="4399120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1388882</xdr:colOff>
      <xdr:row>2432</xdr:row>
      <xdr:rowOff>149235</xdr:rowOff>
    </xdr:from>
    <xdr:to>
      <xdr:col>12</xdr:col>
      <xdr:colOff>135372</xdr:colOff>
      <xdr:row>2433</xdr:row>
      <xdr:rowOff>135900</xdr:rowOff>
    </xdr:to>
    <xdr:sp macro="_xll.PtreeEvent_ObjectClick" textlink="">
      <xdr:nvSpPr>
        <xdr:cNvPr id="4829" name="PTObj_DNode_1_1204">
          <a:extLst>
            <a:ext uri="{FF2B5EF4-FFF2-40B4-BE49-F238E27FC236}">
              <a16:creationId xmlns:a16="http://schemas.microsoft.com/office/drawing/2014/main" id="{64B7E904-41F5-4A99-B28D-C958A1B803A7}"/>
            </a:ext>
          </a:extLst>
        </xdr:cNvPr>
        <xdr:cNvSpPr/>
      </xdr:nvSpPr>
      <xdr:spPr>
        <a:xfrm rot="-5400000">
          <a:off x="21347557" y="440276635"/>
          <a:ext cx="177165" cy="18476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2432</xdr:row>
      <xdr:rowOff>146526</xdr:rowOff>
    </xdr:from>
    <xdr:ext cx="514858" cy="180627"/>
    <xdr:sp macro="_xll.PtreeEvent_ObjectClick" textlink="">
      <xdr:nvSpPr>
        <xdr:cNvPr id="4832" name="PTObj_DBranchName_1_1204">
          <a:extLst>
            <a:ext uri="{FF2B5EF4-FFF2-40B4-BE49-F238E27FC236}">
              <a16:creationId xmlns:a16="http://schemas.microsoft.com/office/drawing/2014/main" id="{AFA9FDF6-C100-4EFD-A89C-5037F8841E86}"/>
            </a:ext>
          </a:extLst>
        </xdr:cNvPr>
        <xdr:cNvSpPr txBox="1"/>
      </xdr:nvSpPr>
      <xdr:spPr>
        <a:xfrm>
          <a:off x="20188045" y="4402777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2436</xdr:row>
      <xdr:rowOff>154930</xdr:rowOff>
    </xdr:from>
    <xdr:to>
      <xdr:col>9</xdr:col>
      <xdr:colOff>154432</xdr:colOff>
      <xdr:row>2437</xdr:row>
      <xdr:rowOff>168245</xdr:rowOff>
    </xdr:to>
    <xdr:sp macro="_xll.PtreeEvent_ObjectClick" textlink="">
      <xdr:nvSpPr>
        <xdr:cNvPr id="4833" name="PTObj_DNode_1_1206">
          <a:extLst>
            <a:ext uri="{FF2B5EF4-FFF2-40B4-BE49-F238E27FC236}">
              <a16:creationId xmlns:a16="http://schemas.microsoft.com/office/drawing/2014/main" id="{6D2A41EE-42FD-48DA-AAFC-174E63570383}"/>
            </a:ext>
          </a:extLst>
        </xdr:cNvPr>
        <xdr:cNvSpPr/>
      </xdr:nvSpPr>
      <xdr:spPr>
        <a:xfrm>
          <a:off x="17068927" y="4410100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2436</xdr:row>
      <xdr:rowOff>156071</xdr:rowOff>
    </xdr:from>
    <xdr:ext cx="566520" cy="180627"/>
    <xdr:sp macro="_xll.PtreeEvent_ObjectClick" textlink="">
      <xdr:nvSpPr>
        <xdr:cNvPr id="4836" name="PTObj_DBranchName_1_1206">
          <a:extLst>
            <a:ext uri="{FF2B5EF4-FFF2-40B4-BE49-F238E27FC236}">
              <a16:creationId xmlns:a16="http://schemas.microsoft.com/office/drawing/2014/main" id="{F552D8C4-B026-46F4-857C-5E8B39F1D0DC}"/>
            </a:ext>
          </a:extLst>
        </xdr:cNvPr>
        <xdr:cNvSpPr txBox="1"/>
      </xdr:nvSpPr>
      <xdr:spPr>
        <a:xfrm>
          <a:off x="15926563" y="44101117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2438</xdr:row>
      <xdr:rowOff>158750</xdr:rowOff>
    </xdr:from>
    <xdr:to>
      <xdr:col>10</xdr:col>
      <xdr:colOff>150622</xdr:colOff>
      <xdr:row>2439</xdr:row>
      <xdr:rowOff>172065</xdr:rowOff>
    </xdr:to>
    <xdr:sp macro="_xll.PtreeEvent_ObjectClick" textlink="">
      <xdr:nvSpPr>
        <xdr:cNvPr id="4837" name="PTObj_DNode_1_1207">
          <a:extLst>
            <a:ext uri="{FF2B5EF4-FFF2-40B4-BE49-F238E27FC236}">
              <a16:creationId xmlns:a16="http://schemas.microsoft.com/office/drawing/2014/main" id="{C0C5FD94-E4E8-46BD-9F9C-233FBD49DFC0}"/>
            </a:ext>
          </a:extLst>
        </xdr:cNvPr>
        <xdr:cNvSpPr/>
      </xdr:nvSpPr>
      <xdr:spPr>
        <a:xfrm>
          <a:off x="18493867" y="4413758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2438</xdr:row>
      <xdr:rowOff>161796</xdr:rowOff>
    </xdr:from>
    <xdr:ext cx="514857" cy="180627"/>
    <xdr:sp macro="_xll.PtreeEvent_ObjectClick" textlink="">
      <xdr:nvSpPr>
        <xdr:cNvPr id="4840" name="PTObj_DBranchName_1_1207">
          <a:extLst>
            <a:ext uri="{FF2B5EF4-FFF2-40B4-BE49-F238E27FC236}">
              <a16:creationId xmlns:a16="http://schemas.microsoft.com/office/drawing/2014/main" id="{832ABB74-5B48-4F45-99B1-1BAE3FBE944E}"/>
            </a:ext>
          </a:extLst>
        </xdr:cNvPr>
        <xdr:cNvSpPr txBox="1"/>
      </xdr:nvSpPr>
      <xdr:spPr>
        <a:xfrm>
          <a:off x="17344834" y="4413788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2440</xdr:row>
      <xdr:rowOff>162570</xdr:rowOff>
    </xdr:from>
    <xdr:to>
      <xdr:col>11</xdr:col>
      <xdr:colOff>135383</xdr:colOff>
      <xdr:row>2441</xdr:row>
      <xdr:rowOff>168265</xdr:rowOff>
    </xdr:to>
    <xdr:sp macro="_xll.PtreeEvent_ObjectClick" textlink="">
      <xdr:nvSpPr>
        <xdr:cNvPr id="4841" name="PTObj_DNode_1_1208">
          <a:extLst>
            <a:ext uri="{FF2B5EF4-FFF2-40B4-BE49-F238E27FC236}">
              <a16:creationId xmlns:a16="http://schemas.microsoft.com/office/drawing/2014/main" id="{E2A9F0CA-734E-4A87-AD44-47D108627AE8}"/>
            </a:ext>
          </a:extLst>
        </xdr:cNvPr>
        <xdr:cNvSpPr/>
      </xdr:nvSpPr>
      <xdr:spPr>
        <a:xfrm>
          <a:off x="19918807" y="4417415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2440</xdr:row>
      <xdr:rowOff>165616</xdr:rowOff>
    </xdr:from>
    <xdr:ext cx="514858" cy="180627"/>
    <xdr:sp macro="_xll.PtreeEvent_ObjectClick" textlink="">
      <xdr:nvSpPr>
        <xdr:cNvPr id="4844" name="PTObj_DBranchName_1_1208">
          <a:extLst>
            <a:ext uri="{FF2B5EF4-FFF2-40B4-BE49-F238E27FC236}">
              <a16:creationId xmlns:a16="http://schemas.microsoft.com/office/drawing/2014/main" id="{74FE686D-CC45-42EC-A79A-18F5EB9C9B7B}"/>
            </a:ext>
          </a:extLst>
        </xdr:cNvPr>
        <xdr:cNvSpPr txBox="1"/>
      </xdr:nvSpPr>
      <xdr:spPr>
        <a:xfrm>
          <a:off x="18768820" y="4417446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2442</xdr:row>
      <xdr:rowOff>173047</xdr:rowOff>
    </xdr:from>
    <xdr:to>
      <xdr:col>12</xdr:col>
      <xdr:colOff>132515</xdr:colOff>
      <xdr:row>2443</xdr:row>
      <xdr:rowOff>169237</xdr:rowOff>
    </xdr:to>
    <xdr:sp macro="_xll.PtreeEvent_ObjectClick" textlink="">
      <xdr:nvSpPr>
        <xdr:cNvPr id="4845" name="PTObj_DNode_1_1209">
          <a:extLst>
            <a:ext uri="{FF2B5EF4-FFF2-40B4-BE49-F238E27FC236}">
              <a16:creationId xmlns:a16="http://schemas.microsoft.com/office/drawing/2014/main" id="{90D7FDB8-BB54-4F00-8D9A-B4B2DC6F5543}"/>
            </a:ext>
          </a:extLst>
        </xdr:cNvPr>
        <xdr:cNvSpPr/>
      </xdr:nvSpPr>
      <xdr:spPr>
        <a:xfrm rot="-5400000">
          <a:off x="21347557" y="4421111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2442</xdr:row>
      <xdr:rowOff>171291</xdr:rowOff>
    </xdr:from>
    <xdr:ext cx="514858" cy="180627"/>
    <xdr:sp macro="_xll.PtreeEvent_ObjectClick" textlink="">
      <xdr:nvSpPr>
        <xdr:cNvPr id="4848" name="PTObj_DBranchName_1_1209">
          <a:extLst>
            <a:ext uri="{FF2B5EF4-FFF2-40B4-BE49-F238E27FC236}">
              <a16:creationId xmlns:a16="http://schemas.microsoft.com/office/drawing/2014/main" id="{75CC7FBA-F4D1-4FB9-A320-B26237665F71}"/>
            </a:ext>
          </a:extLst>
        </xdr:cNvPr>
        <xdr:cNvSpPr txBox="1"/>
      </xdr:nvSpPr>
      <xdr:spPr>
        <a:xfrm>
          <a:off x="20188045" y="4421122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2455</xdr:row>
      <xdr:rowOff>8235</xdr:rowOff>
    </xdr:from>
    <xdr:to>
      <xdr:col>8</xdr:col>
      <xdr:colOff>171578</xdr:colOff>
      <xdr:row>2456</xdr:row>
      <xdr:rowOff>19645</xdr:rowOff>
    </xdr:to>
    <xdr:sp macro="_xll.PtreeEvent_ObjectClick" textlink="">
      <xdr:nvSpPr>
        <xdr:cNvPr id="4849" name="PTObj_DNode_1_1215">
          <a:extLst>
            <a:ext uri="{FF2B5EF4-FFF2-40B4-BE49-F238E27FC236}">
              <a16:creationId xmlns:a16="http://schemas.microsoft.com/office/drawing/2014/main" id="{CFE4BC9D-561A-4ABC-9426-D3C8C910FDFA}"/>
            </a:ext>
          </a:extLst>
        </xdr:cNvPr>
        <xdr:cNvSpPr/>
      </xdr:nvSpPr>
      <xdr:spPr>
        <a:xfrm>
          <a:off x="15643988" y="4443018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2455</xdr:row>
      <xdr:rowOff>11281</xdr:rowOff>
    </xdr:from>
    <xdr:ext cx="566520" cy="180627"/>
    <xdr:sp macro="_xll.PtreeEvent_ObjectClick" textlink="">
      <xdr:nvSpPr>
        <xdr:cNvPr id="4852" name="PTObj_DBranchName_1_1215">
          <a:extLst>
            <a:ext uri="{FF2B5EF4-FFF2-40B4-BE49-F238E27FC236}">
              <a16:creationId xmlns:a16="http://schemas.microsoft.com/office/drawing/2014/main" id="{B48280B7-05E6-43E2-9971-FF94A887F7C0}"/>
            </a:ext>
          </a:extLst>
        </xdr:cNvPr>
        <xdr:cNvSpPr txBox="1"/>
      </xdr:nvSpPr>
      <xdr:spPr>
        <a:xfrm>
          <a:off x="14498765" y="4443049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2446</xdr:row>
      <xdr:rowOff>173980</xdr:rowOff>
    </xdr:from>
    <xdr:to>
      <xdr:col>9</xdr:col>
      <xdr:colOff>154432</xdr:colOff>
      <xdr:row>2447</xdr:row>
      <xdr:rowOff>168245</xdr:rowOff>
    </xdr:to>
    <xdr:sp macro="_xll.PtreeEvent_ObjectClick" textlink="">
      <xdr:nvSpPr>
        <xdr:cNvPr id="4853" name="PTObj_DNode_1_1211">
          <a:extLst>
            <a:ext uri="{FF2B5EF4-FFF2-40B4-BE49-F238E27FC236}">
              <a16:creationId xmlns:a16="http://schemas.microsoft.com/office/drawing/2014/main" id="{5E44FE3C-9F98-49F7-B40A-4DFF053F3292}"/>
            </a:ext>
          </a:extLst>
        </xdr:cNvPr>
        <xdr:cNvSpPr/>
      </xdr:nvSpPr>
      <xdr:spPr>
        <a:xfrm>
          <a:off x="17068927" y="4428388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2446</xdr:row>
      <xdr:rowOff>171311</xdr:rowOff>
    </xdr:from>
    <xdr:ext cx="566519" cy="180627"/>
    <xdr:sp macro="_xll.PtreeEvent_ObjectClick" textlink="">
      <xdr:nvSpPr>
        <xdr:cNvPr id="4856" name="PTObj_DBranchName_1_1211">
          <a:extLst>
            <a:ext uri="{FF2B5EF4-FFF2-40B4-BE49-F238E27FC236}">
              <a16:creationId xmlns:a16="http://schemas.microsoft.com/office/drawing/2014/main" id="{B9B22E4C-ED3B-4CB3-93D1-EB87BD0A5270}"/>
            </a:ext>
          </a:extLst>
        </xdr:cNvPr>
        <xdr:cNvSpPr txBox="1"/>
      </xdr:nvSpPr>
      <xdr:spPr>
        <a:xfrm>
          <a:off x="15922752" y="44283616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2448</xdr:row>
      <xdr:rowOff>177800</xdr:rowOff>
    </xdr:from>
    <xdr:to>
      <xdr:col>10</xdr:col>
      <xdr:colOff>150622</xdr:colOff>
      <xdr:row>2449</xdr:row>
      <xdr:rowOff>170160</xdr:rowOff>
    </xdr:to>
    <xdr:sp macro="_xll.PtreeEvent_ObjectClick" textlink="">
      <xdr:nvSpPr>
        <xdr:cNvPr id="4857" name="PTObj_DNode_1_1212">
          <a:extLst>
            <a:ext uri="{FF2B5EF4-FFF2-40B4-BE49-F238E27FC236}">
              <a16:creationId xmlns:a16="http://schemas.microsoft.com/office/drawing/2014/main" id="{3AAD0832-2C7B-47AD-9C53-3267FD7F5CD2}"/>
            </a:ext>
          </a:extLst>
        </xdr:cNvPr>
        <xdr:cNvSpPr/>
      </xdr:nvSpPr>
      <xdr:spPr>
        <a:xfrm>
          <a:off x="18493867" y="4432046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2448</xdr:row>
      <xdr:rowOff>175131</xdr:rowOff>
    </xdr:from>
    <xdr:ext cx="514857" cy="180627"/>
    <xdr:sp macro="_xll.PtreeEvent_ObjectClick" textlink="">
      <xdr:nvSpPr>
        <xdr:cNvPr id="4860" name="PTObj_DBranchName_1_1212">
          <a:extLst>
            <a:ext uri="{FF2B5EF4-FFF2-40B4-BE49-F238E27FC236}">
              <a16:creationId xmlns:a16="http://schemas.microsoft.com/office/drawing/2014/main" id="{7AC46BFB-C919-4297-A5E5-4C78DD027768}"/>
            </a:ext>
          </a:extLst>
        </xdr:cNvPr>
        <xdr:cNvSpPr txBox="1"/>
      </xdr:nvSpPr>
      <xdr:spPr>
        <a:xfrm>
          <a:off x="17344834" y="4432019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2451</xdr:row>
      <xdr:rowOff>645</xdr:rowOff>
    </xdr:from>
    <xdr:to>
      <xdr:col>11</xdr:col>
      <xdr:colOff>131573</xdr:colOff>
      <xdr:row>2452</xdr:row>
      <xdr:rowOff>2530</xdr:rowOff>
    </xdr:to>
    <xdr:sp macro="_xll.PtreeEvent_ObjectClick" textlink="">
      <xdr:nvSpPr>
        <xdr:cNvPr id="4861" name="PTObj_DNode_1_1213">
          <a:extLst>
            <a:ext uri="{FF2B5EF4-FFF2-40B4-BE49-F238E27FC236}">
              <a16:creationId xmlns:a16="http://schemas.microsoft.com/office/drawing/2014/main" id="{93A2A5CC-821D-487F-98C8-F14A92BDF2F6}"/>
            </a:ext>
          </a:extLst>
        </xdr:cNvPr>
        <xdr:cNvSpPr/>
      </xdr:nvSpPr>
      <xdr:spPr>
        <a:xfrm>
          <a:off x="19918807" y="4435703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2451</xdr:row>
      <xdr:rowOff>1786</xdr:rowOff>
    </xdr:from>
    <xdr:ext cx="514858" cy="180627"/>
    <xdr:sp macro="_xll.PtreeEvent_ObjectClick" textlink="">
      <xdr:nvSpPr>
        <xdr:cNvPr id="4864" name="PTObj_DBranchName_1_1213">
          <a:extLst>
            <a:ext uri="{FF2B5EF4-FFF2-40B4-BE49-F238E27FC236}">
              <a16:creationId xmlns:a16="http://schemas.microsoft.com/office/drawing/2014/main" id="{1A849B8F-94E6-44AE-87D3-24A545F80C81}"/>
            </a:ext>
          </a:extLst>
        </xdr:cNvPr>
        <xdr:cNvSpPr txBox="1"/>
      </xdr:nvSpPr>
      <xdr:spPr>
        <a:xfrm>
          <a:off x="18768820" y="4435715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2453</xdr:row>
      <xdr:rowOff>9217</xdr:rowOff>
    </xdr:from>
    <xdr:to>
      <xdr:col>12</xdr:col>
      <xdr:colOff>136325</xdr:colOff>
      <xdr:row>2454</xdr:row>
      <xdr:rowOff>16837</xdr:rowOff>
    </xdr:to>
    <xdr:sp macro="_xll.PtreeEvent_ObjectClick" textlink="">
      <xdr:nvSpPr>
        <xdr:cNvPr id="4865" name="PTObj_DNode_1_1214">
          <a:extLst>
            <a:ext uri="{FF2B5EF4-FFF2-40B4-BE49-F238E27FC236}">
              <a16:creationId xmlns:a16="http://schemas.microsoft.com/office/drawing/2014/main" id="{E6BBD704-CF54-4A3D-854E-B2C18B2F502F}"/>
            </a:ext>
          </a:extLst>
        </xdr:cNvPr>
        <xdr:cNvSpPr/>
      </xdr:nvSpPr>
      <xdr:spPr>
        <a:xfrm rot="-5400000">
          <a:off x="21347557" y="4439380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2453</xdr:row>
      <xdr:rowOff>7461</xdr:rowOff>
    </xdr:from>
    <xdr:ext cx="514858" cy="180627"/>
    <xdr:sp macro="_xll.PtreeEvent_ObjectClick" textlink="">
      <xdr:nvSpPr>
        <xdr:cNvPr id="4868" name="PTObj_DBranchName_1_1214">
          <a:extLst>
            <a:ext uri="{FF2B5EF4-FFF2-40B4-BE49-F238E27FC236}">
              <a16:creationId xmlns:a16="http://schemas.microsoft.com/office/drawing/2014/main" id="{758C173A-3A08-412D-8D86-87D6D6CE1772}"/>
            </a:ext>
          </a:extLst>
        </xdr:cNvPr>
        <xdr:cNvSpPr txBox="1"/>
      </xdr:nvSpPr>
      <xdr:spPr>
        <a:xfrm>
          <a:off x="20188045" y="4439391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2457</xdr:row>
      <xdr:rowOff>12055</xdr:rowOff>
    </xdr:from>
    <xdr:to>
      <xdr:col>9</xdr:col>
      <xdr:colOff>154432</xdr:colOff>
      <xdr:row>2458</xdr:row>
      <xdr:rowOff>21560</xdr:rowOff>
    </xdr:to>
    <xdr:sp macro="_xll.PtreeEvent_ObjectClick" textlink="">
      <xdr:nvSpPr>
        <xdr:cNvPr id="4869" name="PTObj_DNode_1_1216">
          <a:extLst>
            <a:ext uri="{FF2B5EF4-FFF2-40B4-BE49-F238E27FC236}">
              <a16:creationId xmlns:a16="http://schemas.microsoft.com/office/drawing/2014/main" id="{467B0A46-33B8-4FBA-A27D-D3293147F585}"/>
            </a:ext>
          </a:extLst>
        </xdr:cNvPr>
        <xdr:cNvSpPr/>
      </xdr:nvSpPr>
      <xdr:spPr>
        <a:xfrm>
          <a:off x="17068927" y="4446676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2457</xdr:row>
      <xdr:rowOff>17006</xdr:rowOff>
    </xdr:from>
    <xdr:ext cx="566520" cy="180627"/>
    <xdr:sp macro="_xll.PtreeEvent_ObjectClick" textlink="">
      <xdr:nvSpPr>
        <xdr:cNvPr id="4872" name="PTObj_DBranchName_1_1216">
          <a:extLst>
            <a:ext uri="{FF2B5EF4-FFF2-40B4-BE49-F238E27FC236}">
              <a16:creationId xmlns:a16="http://schemas.microsoft.com/office/drawing/2014/main" id="{1CF0B3C6-49D0-4B26-B252-B945D1A8F70E}"/>
            </a:ext>
          </a:extLst>
        </xdr:cNvPr>
        <xdr:cNvSpPr txBox="1"/>
      </xdr:nvSpPr>
      <xdr:spPr>
        <a:xfrm>
          <a:off x="15926563" y="4446725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2459</xdr:row>
      <xdr:rowOff>15875</xdr:rowOff>
    </xdr:from>
    <xdr:to>
      <xdr:col>10</xdr:col>
      <xdr:colOff>150622</xdr:colOff>
      <xdr:row>2460</xdr:row>
      <xdr:rowOff>21570</xdr:rowOff>
    </xdr:to>
    <xdr:sp macro="_xll.PtreeEvent_ObjectClick" textlink="">
      <xdr:nvSpPr>
        <xdr:cNvPr id="4873" name="PTObj_DNode_1_1217">
          <a:extLst>
            <a:ext uri="{FF2B5EF4-FFF2-40B4-BE49-F238E27FC236}">
              <a16:creationId xmlns:a16="http://schemas.microsoft.com/office/drawing/2014/main" id="{EF502356-1444-42B8-A3F5-1AC206570000}"/>
            </a:ext>
          </a:extLst>
        </xdr:cNvPr>
        <xdr:cNvSpPr/>
      </xdr:nvSpPr>
      <xdr:spPr>
        <a:xfrm>
          <a:off x="18493867" y="4450334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2459</xdr:row>
      <xdr:rowOff>20826</xdr:rowOff>
    </xdr:from>
    <xdr:ext cx="514857" cy="180627"/>
    <xdr:sp macro="_xll.PtreeEvent_ObjectClick" textlink="">
      <xdr:nvSpPr>
        <xdr:cNvPr id="4876" name="PTObj_DBranchName_1_1217">
          <a:extLst>
            <a:ext uri="{FF2B5EF4-FFF2-40B4-BE49-F238E27FC236}">
              <a16:creationId xmlns:a16="http://schemas.microsoft.com/office/drawing/2014/main" id="{E9FBDB82-86F6-4AC5-95F4-FE9D6D4D98A4}"/>
            </a:ext>
          </a:extLst>
        </xdr:cNvPr>
        <xdr:cNvSpPr txBox="1"/>
      </xdr:nvSpPr>
      <xdr:spPr>
        <a:xfrm>
          <a:off x="17344834" y="4450383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2461</xdr:row>
      <xdr:rowOff>19695</xdr:rowOff>
    </xdr:from>
    <xdr:to>
      <xdr:col>11</xdr:col>
      <xdr:colOff>131573</xdr:colOff>
      <xdr:row>2462</xdr:row>
      <xdr:rowOff>21580</xdr:rowOff>
    </xdr:to>
    <xdr:sp macro="_xll.PtreeEvent_ObjectClick" textlink="">
      <xdr:nvSpPr>
        <xdr:cNvPr id="4877" name="PTObj_DNode_1_1218">
          <a:extLst>
            <a:ext uri="{FF2B5EF4-FFF2-40B4-BE49-F238E27FC236}">
              <a16:creationId xmlns:a16="http://schemas.microsoft.com/office/drawing/2014/main" id="{4673B5E0-29EA-45D9-B348-6C545E69DCDC}"/>
            </a:ext>
          </a:extLst>
        </xdr:cNvPr>
        <xdr:cNvSpPr/>
      </xdr:nvSpPr>
      <xdr:spPr>
        <a:xfrm>
          <a:off x="19918807" y="4453991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2461</xdr:row>
      <xdr:rowOff>17026</xdr:rowOff>
    </xdr:from>
    <xdr:ext cx="514858" cy="180627"/>
    <xdr:sp macro="_xll.PtreeEvent_ObjectClick" textlink="">
      <xdr:nvSpPr>
        <xdr:cNvPr id="4880" name="PTObj_DBranchName_1_1218">
          <a:extLst>
            <a:ext uri="{FF2B5EF4-FFF2-40B4-BE49-F238E27FC236}">
              <a16:creationId xmlns:a16="http://schemas.microsoft.com/office/drawing/2014/main" id="{1A5B5C5B-47A2-4F2F-94F2-5E701C3AD527}"/>
            </a:ext>
          </a:extLst>
        </xdr:cNvPr>
        <xdr:cNvSpPr txBox="1"/>
      </xdr:nvSpPr>
      <xdr:spPr>
        <a:xfrm>
          <a:off x="18768820" y="4453965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2463</xdr:row>
      <xdr:rowOff>22552</xdr:rowOff>
    </xdr:from>
    <xdr:to>
      <xdr:col>12</xdr:col>
      <xdr:colOff>136325</xdr:colOff>
      <xdr:row>2464</xdr:row>
      <xdr:rowOff>22552</xdr:rowOff>
    </xdr:to>
    <xdr:sp macro="_xll.PtreeEvent_ObjectClick" textlink="">
      <xdr:nvSpPr>
        <xdr:cNvPr id="4881" name="PTObj_DNode_1_1219">
          <a:extLst>
            <a:ext uri="{FF2B5EF4-FFF2-40B4-BE49-F238E27FC236}">
              <a16:creationId xmlns:a16="http://schemas.microsoft.com/office/drawing/2014/main" id="{AEFD3DB0-28AA-409A-852A-4A4FAB62BD6F}"/>
            </a:ext>
          </a:extLst>
        </xdr:cNvPr>
        <xdr:cNvSpPr/>
      </xdr:nvSpPr>
      <xdr:spPr>
        <a:xfrm rot="-5400000">
          <a:off x="21347557" y="4457611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2463</xdr:row>
      <xdr:rowOff>20796</xdr:rowOff>
    </xdr:from>
    <xdr:ext cx="514858" cy="180627"/>
    <xdr:sp macro="_xll.PtreeEvent_ObjectClick" textlink="">
      <xdr:nvSpPr>
        <xdr:cNvPr id="4884" name="PTObj_DBranchName_1_1219">
          <a:extLst>
            <a:ext uri="{FF2B5EF4-FFF2-40B4-BE49-F238E27FC236}">
              <a16:creationId xmlns:a16="http://schemas.microsoft.com/office/drawing/2014/main" id="{DB775EC4-F1E5-460A-BDB8-6900EFE66978}"/>
            </a:ext>
          </a:extLst>
        </xdr:cNvPr>
        <xdr:cNvSpPr txBox="1"/>
      </xdr:nvSpPr>
      <xdr:spPr>
        <a:xfrm>
          <a:off x="20188045" y="4457622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2485</xdr:row>
      <xdr:rowOff>65385</xdr:rowOff>
    </xdr:from>
    <xdr:to>
      <xdr:col>7</xdr:col>
      <xdr:colOff>167767</xdr:colOff>
      <xdr:row>2486</xdr:row>
      <xdr:rowOff>55840</xdr:rowOff>
    </xdr:to>
    <xdr:sp macro="_xll.PtreeEvent_ObjectClick" textlink="">
      <xdr:nvSpPr>
        <xdr:cNvPr id="4885" name="PTObj_DNode_1_1230">
          <a:extLst>
            <a:ext uri="{FF2B5EF4-FFF2-40B4-BE49-F238E27FC236}">
              <a16:creationId xmlns:a16="http://schemas.microsoft.com/office/drawing/2014/main" id="{6BC7569C-BEED-4110-AAFD-E415BE269144}"/>
            </a:ext>
          </a:extLst>
        </xdr:cNvPr>
        <xdr:cNvSpPr/>
      </xdr:nvSpPr>
      <xdr:spPr>
        <a:xfrm>
          <a:off x="14219047" y="4497882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2485</xdr:row>
      <xdr:rowOff>64621</xdr:rowOff>
    </xdr:from>
    <xdr:ext cx="566520" cy="180627"/>
    <xdr:sp macro="_xll.PtreeEvent_ObjectClick" textlink="">
      <xdr:nvSpPr>
        <xdr:cNvPr id="4888" name="PTObj_DBranchName_1_1230">
          <a:extLst>
            <a:ext uri="{FF2B5EF4-FFF2-40B4-BE49-F238E27FC236}">
              <a16:creationId xmlns:a16="http://schemas.microsoft.com/office/drawing/2014/main" id="{62B5160F-5567-4C80-97BF-506CE4BFD01A}"/>
            </a:ext>
          </a:extLst>
        </xdr:cNvPr>
        <xdr:cNvSpPr txBox="1"/>
      </xdr:nvSpPr>
      <xdr:spPr>
        <a:xfrm>
          <a:off x="13074777" y="4497874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2475</xdr:row>
      <xdr:rowOff>46335</xdr:rowOff>
    </xdr:from>
    <xdr:to>
      <xdr:col>8</xdr:col>
      <xdr:colOff>171578</xdr:colOff>
      <xdr:row>2476</xdr:row>
      <xdr:rowOff>57745</xdr:rowOff>
    </xdr:to>
    <xdr:sp macro="_xll.PtreeEvent_ObjectClick" textlink="">
      <xdr:nvSpPr>
        <xdr:cNvPr id="4889" name="PTObj_DNode_1_1225">
          <a:extLst>
            <a:ext uri="{FF2B5EF4-FFF2-40B4-BE49-F238E27FC236}">
              <a16:creationId xmlns:a16="http://schemas.microsoft.com/office/drawing/2014/main" id="{3D33FFFE-CD0A-4698-B065-FA6347D1A6AC}"/>
            </a:ext>
          </a:extLst>
        </xdr:cNvPr>
        <xdr:cNvSpPr/>
      </xdr:nvSpPr>
      <xdr:spPr>
        <a:xfrm>
          <a:off x="15643988" y="4479594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2475</xdr:row>
      <xdr:rowOff>49381</xdr:rowOff>
    </xdr:from>
    <xdr:ext cx="566520" cy="180627"/>
    <xdr:sp macro="_xll.PtreeEvent_ObjectClick" textlink="">
      <xdr:nvSpPr>
        <xdr:cNvPr id="4892" name="PTObj_DBranchName_1_1225">
          <a:extLst>
            <a:ext uri="{FF2B5EF4-FFF2-40B4-BE49-F238E27FC236}">
              <a16:creationId xmlns:a16="http://schemas.microsoft.com/office/drawing/2014/main" id="{7111F4E2-8274-4B1E-854A-110021520608}"/>
            </a:ext>
          </a:extLst>
        </xdr:cNvPr>
        <xdr:cNvSpPr txBox="1"/>
      </xdr:nvSpPr>
      <xdr:spPr>
        <a:xfrm>
          <a:off x="14500670" y="4479625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2467</xdr:row>
      <xdr:rowOff>31105</xdr:rowOff>
    </xdr:from>
    <xdr:to>
      <xdr:col>9</xdr:col>
      <xdr:colOff>154432</xdr:colOff>
      <xdr:row>2468</xdr:row>
      <xdr:rowOff>17750</xdr:rowOff>
    </xdr:to>
    <xdr:sp macro="_xll.PtreeEvent_ObjectClick" textlink="">
      <xdr:nvSpPr>
        <xdr:cNvPr id="4893" name="PTObj_DNode_1_1221">
          <a:extLst>
            <a:ext uri="{FF2B5EF4-FFF2-40B4-BE49-F238E27FC236}">
              <a16:creationId xmlns:a16="http://schemas.microsoft.com/office/drawing/2014/main" id="{5B1BB91E-0BBB-4DBF-BFC6-FAA3B845F5FA}"/>
            </a:ext>
          </a:extLst>
        </xdr:cNvPr>
        <xdr:cNvSpPr/>
      </xdr:nvSpPr>
      <xdr:spPr>
        <a:xfrm>
          <a:off x="17068927" y="4464964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2467</xdr:row>
      <xdr:rowOff>30341</xdr:rowOff>
    </xdr:from>
    <xdr:ext cx="566519" cy="180627"/>
    <xdr:sp macro="_xll.PtreeEvent_ObjectClick" textlink="">
      <xdr:nvSpPr>
        <xdr:cNvPr id="4896" name="PTObj_DBranchName_1_1221">
          <a:extLst>
            <a:ext uri="{FF2B5EF4-FFF2-40B4-BE49-F238E27FC236}">
              <a16:creationId xmlns:a16="http://schemas.microsoft.com/office/drawing/2014/main" id="{C4DDFC6C-F6FD-4880-B0B7-3AD4C5C63445}"/>
            </a:ext>
          </a:extLst>
        </xdr:cNvPr>
        <xdr:cNvSpPr txBox="1"/>
      </xdr:nvSpPr>
      <xdr:spPr>
        <a:xfrm>
          <a:off x="15922752" y="4464956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2469</xdr:row>
      <xdr:rowOff>34925</xdr:rowOff>
    </xdr:from>
    <xdr:to>
      <xdr:col>10</xdr:col>
      <xdr:colOff>150622</xdr:colOff>
      <xdr:row>2470</xdr:row>
      <xdr:rowOff>36810</xdr:rowOff>
    </xdr:to>
    <xdr:sp macro="_xll.PtreeEvent_ObjectClick" textlink="">
      <xdr:nvSpPr>
        <xdr:cNvPr id="4897" name="PTObj_DNode_1_1222">
          <a:extLst>
            <a:ext uri="{FF2B5EF4-FFF2-40B4-BE49-F238E27FC236}">
              <a16:creationId xmlns:a16="http://schemas.microsoft.com/office/drawing/2014/main" id="{66EE3258-65CD-4184-BC46-9D2FF61708F2}"/>
            </a:ext>
          </a:extLst>
        </xdr:cNvPr>
        <xdr:cNvSpPr/>
      </xdr:nvSpPr>
      <xdr:spPr>
        <a:xfrm>
          <a:off x="18493867" y="4468622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2469</xdr:row>
      <xdr:rowOff>36066</xdr:rowOff>
    </xdr:from>
    <xdr:ext cx="514857" cy="180627"/>
    <xdr:sp macro="_xll.PtreeEvent_ObjectClick" textlink="">
      <xdr:nvSpPr>
        <xdr:cNvPr id="4900" name="PTObj_DBranchName_1_1222">
          <a:extLst>
            <a:ext uri="{FF2B5EF4-FFF2-40B4-BE49-F238E27FC236}">
              <a16:creationId xmlns:a16="http://schemas.microsoft.com/office/drawing/2014/main" id="{CD429521-2A90-4CE9-BD4C-993E2D82A54E}"/>
            </a:ext>
          </a:extLst>
        </xdr:cNvPr>
        <xdr:cNvSpPr txBox="1"/>
      </xdr:nvSpPr>
      <xdr:spPr>
        <a:xfrm>
          <a:off x="17344834" y="44686334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2471</xdr:row>
      <xdr:rowOff>38745</xdr:rowOff>
    </xdr:from>
    <xdr:to>
      <xdr:col>11</xdr:col>
      <xdr:colOff>131573</xdr:colOff>
      <xdr:row>2472</xdr:row>
      <xdr:rowOff>40630</xdr:rowOff>
    </xdr:to>
    <xdr:sp macro="_xll.PtreeEvent_ObjectClick" textlink="">
      <xdr:nvSpPr>
        <xdr:cNvPr id="4901" name="PTObj_DNode_1_1223">
          <a:extLst>
            <a:ext uri="{FF2B5EF4-FFF2-40B4-BE49-F238E27FC236}">
              <a16:creationId xmlns:a16="http://schemas.microsoft.com/office/drawing/2014/main" id="{055E31CC-C76F-47F7-B0D2-8DE7A5E4CC84}"/>
            </a:ext>
          </a:extLst>
        </xdr:cNvPr>
        <xdr:cNvSpPr/>
      </xdr:nvSpPr>
      <xdr:spPr>
        <a:xfrm>
          <a:off x="19918807" y="4472279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2471</xdr:row>
      <xdr:rowOff>39886</xdr:rowOff>
    </xdr:from>
    <xdr:ext cx="514858" cy="180627"/>
    <xdr:sp macro="_xll.PtreeEvent_ObjectClick" textlink="">
      <xdr:nvSpPr>
        <xdr:cNvPr id="4904" name="PTObj_DBranchName_1_1223">
          <a:extLst>
            <a:ext uri="{FF2B5EF4-FFF2-40B4-BE49-F238E27FC236}">
              <a16:creationId xmlns:a16="http://schemas.microsoft.com/office/drawing/2014/main" id="{DD57390B-CC65-4EFF-BDFA-F644F6EA4969}"/>
            </a:ext>
          </a:extLst>
        </xdr:cNvPr>
        <xdr:cNvSpPr txBox="1"/>
      </xdr:nvSpPr>
      <xdr:spPr>
        <a:xfrm>
          <a:off x="18768820" y="4472291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2473</xdr:row>
      <xdr:rowOff>47317</xdr:rowOff>
    </xdr:from>
    <xdr:to>
      <xdr:col>12</xdr:col>
      <xdr:colOff>136325</xdr:colOff>
      <xdr:row>2474</xdr:row>
      <xdr:rowOff>54937</xdr:rowOff>
    </xdr:to>
    <xdr:sp macro="_xll.PtreeEvent_ObjectClick" textlink="">
      <xdr:nvSpPr>
        <xdr:cNvPr id="4905" name="PTObj_DNode_1_1224">
          <a:extLst>
            <a:ext uri="{FF2B5EF4-FFF2-40B4-BE49-F238E27FC236}">
              <a16:creationId xmlns:a16="http://schemas.microsoft.com/office/drawing/2014/main" id="{FF4B6D13-6092-435E-8F6D-30102D985D82}"/>
            </a:ext>
          </a:extLst>
        </xdr:cNvPr>
        <xdr:cNvSpPr/>
      </xdr:nvSpPr>
      <xdr:spPr>
        <a:xfrm rot="-5400000">
          <a:off x="21347557" y="4475956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2473</xdr:row>
      <xdr:rowOff>45561</xdr:rowOff>
    </xdr:from>
    <xdr:ext cx="514858" cy="180627"/>
    <xdr:sp macro="_xll.PtreeEvent_ObjectClick" textlink="">
      <xdr:nvSpPr>
        <xdr:cNvPr id="4908" name="PTObj_DBranchName_1_1224">
          <a:extLst>
            <a:ext uri="{FF2B5EF4-FFF2-40B4-BE49-F238E27FC236}">
              <a16:creationId xmlns:a16="http://schemas.microsoft.com/office/drawing/2014/main" id="{A1BE97DF-65A8-460E-98A6-809B7AFBE632}"/>
            </a:ext>
          </a:extLst>
        </xdr:cNvPr>
        <xdr:cNvSpPr txBox="1"/>
      </xdr:nvSpPr>
      <xdr:spPr>
        <a:xfrm>
          <a:off x="20188045" y="4475967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2477</xdr:row>
      <xdr:rowOff>50155</xdr:rowOff>
    </xdr:from>
    <xdr:to>
      <xdr:col>9</xdr:col>
      <xdr:colOff>154432</xdr:colOff>
      <xdr:row>2478</xdr:row>
      <xdr:rowOff>59660</xdr:rowOff>
    </xdr:to>
    <xdr:sp macro="_xll.PtreeEvent_ObjectClick" textlink="">
      <xdr:nvSpPr>
        <xdr:cNvPr id="4909" name="PTObj_DNode_1_1226">
          <a:extLst>
            <a:ext uri="{FF2B5EF4-FFF2-40B4-BE49-F238E27FC236}">
              <a16:creationId xmlns:a16="http://schemas.microsoft.com/office/drawing/2014/main" id="{3C69C291-3D9F-4C6A-9887-35A891A03B45}"/>
            </a:ext>
          </a:extLst>
        </xdr:cNvPr>
        <xdr:cNvSpPr/>
      </xdr:nvSpPr>
      <xdr:spPr>
        <a:xfrm>
          <a:off x="17068927" y="4483252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2477</xdr:row>
      <xdr:rowOff>55106</xdr:rowOff>
    </xdr:from>
    <xdr:ext cx="566520" cy="180627"/>
    <xdr:sp macro="_xll.PtreeEvent_ObjectClick" textlink="">
      <xdr:nvSpPr>
        <xdr:cNvPr id="4912" name="PTObj_DBranchName_1_1226">
          <a:extLst>
            <a:ext uri="{FF2B5EF4-FFF2-40B4-BE49-F238E27FC236}">
              <a16:creationId xmlns:a16="http://schemas.microsoft.com/office/drawing/2014/main" id="{A1213865-2841-4451-9515-948EBEB70D8C}"/>
            </a:ext>
          </a:extLst>
        </xdr:cNvPr>
        <xdr:cNvSpPr txBox="1"/>
      </xdr:nvSpPr>
      <xdr:spPr>
        <a:xfrm>
          <a:off x="15926563" y="4483301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2479</xdr:row>
      <xdr:rowOff>53975</xdr:rowOff>
    </xdr:from>
    <xdr:to>
      <xdr:col>10</xdr:col>
      <xdr:colOff>150622</xdr:colOff>
      <xdr:row>2480</xdr:row>
      <xdr:rowOff>59670</xdr:rowOff>
    </xdr:to>
    <xdr:sp macro="_xll.PtreeEvent_ObjectClick" textlink="">
      <xdr:nvSpPr>
        <xdr:cNvPr id="4913" name="PTObj_DNode_1_1227">
          <a:extLst>
            <a:ext uri="{FF2B5EF4-FFF2-40B4-BE49-F238E27FC236}">
              <a16:creationId xmlns:a16="http://schemas.microsoft.com/office/drawing/2014/main" id="{D894969C-CC94-4EC7-A895-D5BE8E5BCDD7}"/>
            </a:ext>
          </a:extLst>
        </xdr:cNvPr>
        <xdr:cNvSpPr/>
      </xdr:nvSpPr>
      <xdr:spPr>
        <a:xfrm>
          <a:off x="18493867" y="4486910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2479</xdr:row>
      <xdr:rowOff>58926</xdr:rowOff>
    </xdr:from>
    <xdr:ext cx="514857" cy="180627"/>
    <xdr:sp macro="_xll.PtreeEvent_ObjectClick" textlink="">
      <xdr:nvSpPr>
        <xdr:cNvPr id="4916" name="PTObj_DBranchName_1_1227">
          <a:extLst>
            <a:ext uri="{FF2B5EF4-FFF2-40B4-BE49-F238E27FC236}">
              <a16:creationId xmlns:a16="http://schemas.microsoft.com/office/drawing/2014/main" id="{37B537BA-296A-410B-8199-21E3429ADA3C}"/>
            </a:ext>
          </a:extLst>
        </xdr:cNvPr>
        <xdr:cNvSpPr txBox="1"/>
      </xdr:nvSpPr>
      <xdr:spPr>
        <a:xfrm>
          <a:off x="17344834" y="4486959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2481</xdr:row>
      <xdr:rowOff>57795</xdr:rowOff>
    </xdr:from>
    <xdr:to>
      <xdr:col>11</xdr:col>
      <xdr:colOff>131573</xdr:colOff>
      <xdr:row>2482</xdr:row>
      <xdr:rowOff>59680</xdr:rowOff>
    </xdr:to>
    <xdr:sp macro="_xll.PtreeEvent_ObjectClick" textlink="">
      <xdr:nvSpPr>
        <xdr:cNvPr id="4917" name="PTObj_DNode_1_1228">
          <a:extLst>
            <a:ext uri="{FF2B5EF4-FFF2-40B4-BE49-F238E27FC236}">
              <a16:creationId xmlns:a16="http://schemas.microsoft.com/office/drawing/2014/main" id="{50D688E7-CAD6-4B9A-BAA2-AFA020AD34BF}"/>
            </a:ext>
          </a:extLst>
        </xdr:cNvPr>
        <xdr:cNvSpPr/>
      </xdr:nvSpPr>
      <xdr:spPr>
        <a:xfrm>
          <a:off x="19918807" y="4490567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2481</xdr:row>
      <xdr:rowOff>55126</xdr:rowOff>
    </xdr:from>
    <xdr:ext cx="514858" cy="180627"/>
    <xdr:sp macro="_xll.PtreeEvent_ObjectClick" textlink="">
      <xdr:nvSpPr>
        <xdr:cNvPr id="4920" name="PTObj_DBranchName_1_1228">
          <a:extLst>
            <a:ext uri="{FF2B5EF4-FFF2-40B4-BE49-F238E27FC236}">
              <a16:creationId xmlns:a16="http://schemas.microsoft.com/office/drawing/2014/main" id="{AB0F3299-4D50-4C91-8787-0C280953496C}"/>
            </a:ext>
          </a:extLst>
        </xdr:cNvPr>
        <xdr:cNvSpPr txBox="1"/>
      </xdr:nvSpPr>
      <xdr:spPr>
        <a:xfrm>
          <a:off x="18768820" y="4490541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2483</xdr:row>
      <xdr:rowOff>60652</xdr:rowOff>
    </xdr:from>
    <xdr:to>
      <xdr:col>12</xdr:col>
      <xdr:colOff>136325</xdr:colOff>
      <xdr:row>2484</xdr:row>
      <xdr:rowOff>60652</xdr:rowOff>
    </xdr:to>
    <xdr:sp macro="_xll.PtreeEvent_ObjectClick" textlink="">
      <xdr:nvSpPr>
        <xdr:cNvPr id="4921" name="PTObj_DNode_1_1229">
          <a:extLst>
            <a:ext uri="{FF2B5EF4-FFF2-40B4-BE49-F238E27FC236}">
              <a16:creationId xmlns:a16="http://schemas.microsoft.com/office/drawing/2014/main" id="{56DB3AA1-D574-4D3D-A17C-66A6F7B05A18}"/>
            </a:ext>
          </a:extLst>
        </xdr:cNvPr>
        <xdr:cNvSpPr/>
      </xdr:nvSpPr>
      <xdr:spPr>
        <a:xfrm rot="-5400000">
          <a:off x="21347557" y="4494187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2483</xdr:row>
      <xdr:rowOff>58896</xdr:rowOff>
    </xdr:from>
    <xdr:ext cx="514858" cy="180627"/>
    <xdr:sp macro="_xll.PtreeEvent_ObjectClick" textlink="">
      <xdr:nvSpPr>
        <xdr:cNvPr id="4924" name="PTObj_DBranchName_1_1229">
          <a:extLst>
            <a:ext uri="{FF2B5EF4-FFF2-40B4-BE49-F238E27FC236}">
              <a16:creationId xmlns:a16="http://schemas.microsoft.com/office/drawing/2014/main" id="{DE278447-3F79-423F-9EEF-68815739764A}"/>
            </a:ext>
          </a:extLst>
        </xdr:cNvPr>
        <xdr:cNvSpPr txBox="1"/>
      </xdr:nvSpPr>
      <xdr:spPr>
        <a:xfrm>
          <a:off x="20188045" y="4494198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2495</xdr:row>
      <xdr:rowOff>84435</xdr:rowOff>
    </xdr:from>
    <xdr:to>
      <xdr:col>8</xdr:col>
      <xdr:colOff>167768</xdr:colOff>
      <xdr:row>2496</xdr:row>
      <xdr:rowOff>92035</xdr:rowOff>
    </xdr:to>
    <xdr:sp macro="_xll.PtreeEvent_ObjectClick" textlink="">
      <xdr:nvSpPr>
        <xdr:cNvPr id="4925" name="PTObj_DNode_1_1235">
          <a:extLst>
            <a:ext uri="{FF2B5EF4-FFF2-40B4-BE49-F238E27FC236}">
              <a16:creationId xmlns:a16="http://schemas.microsoft.com/office/drawing/2014/main" id="{8823B662-23A5-412B-87AB-FAC66263C832}"/>
            </a:ext>
          </a:extLst>
        </xdr:cNvPr>
        <xdr:cNvSpPr/>
      </xdr:nvSpPr>
      <xdr:spPr>
        <a:xfrm>
          <a:off x="15643988" y="4516170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2495</xdr:row>
      <xdr:rowOff>87481</xdr:rowOff>
    </xdr:from>
    <xdr:ext cx="566520" cy="180627"/>
    <xdr:sp macro="_xll.PtreeEvent_ObjectClick" textlink="">
      <xdr:nvSpPr>
        <xdr:cNvPr id="4928" name="PTObj_DBranchName_1_1235">
          <a:extLst>
            <a:ext uri="{FF2B5EF4-FFF2-40B4-BE49-F238E27FC236}">
              <a16:creationId xmlns:a16="http://schemas.microsoft.com/office/drawing/2014/main" id="{3B7E40E6-DB3E-4415-AF40-C74A9F09F19B}"/>
            </a:ext>
          </a:extLst>
        </xdr:cNvPr>
        <xdr:cNvSpPr txBox="1"/>
      </xdr:nvSpPr>
      <xdr:spPr>
        <a:xfrm>
          <a:off x="14498765" y="4516201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2487</xdr:row>
      <xdr:rowOff>69205</xdr:rowOff>
    </xdr:from>
    <xdr:to>
      <xdr:col>9</xdr:col>
      <xdr:colOff>154432</xdr:colOff>
      <xdr:row>2488</xdr:row>
      <xdr:rowOff>59660</xdr:rowOff>
    </xdr:to>
    <xdr:sp macro="_xll.PtreeEvent_ObjectClick" textlink="">
      <xdr:nvSpPr>
        <xdr:cNvPr id="4929" name="PTObj_DNode_1_1231">
          <a:extLst>
            <a:ext uri="{FF2B5EF4-FFF2-40B4-BE49-F238E27FC236}">
              <a16:creationId xmlns:a16="http://schemas.microsoft.com/office/drawing/2014/main" id="{73F55676-8D63-46E3-9EAD-B48895250D2A}"/>
            </a:ext>
          </a:extLst>
        </xdr:cNvPr>
        <xdr:cNvSpPr/>
      </xdr:nvSpPr>
      <xdr:spPr>
        <a:xfrm>
          <a:off x="17068927" y="4501540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2487</xdr:row>
      <xdr:rowOff>68441</xdr:rowOff>
    </xdr:from>
    <xdr:ext cx="566519" cy="180627"/>
    <xdr:sp macro="_xll.PtreeEvent_ObjectClick" textlink="">
      <xdr:nvSpPr>
        <xdr:cNvPr id="4932" name="PTObj_DBranchName_1_1231">
          <a:extLst>
            <a:ext uri="{FF2B5EF4-FFF2-40B4-BE49-F238E27FC236}">
              <a16:creationId xmlns:a16="http://schemas.microsoft.com/office/drawing/2014/main" id="{B926809A-EA67-463A-89B2-C1C4EC6840D8}"/>
            </a:ext>
          </a:extLst>
        </xdr:cNvPr>
        <xdr:cNvSpPr txBox="1"/>
      </xdr:nvSpPr>
      <xdr:spPr>
        <a:xfrm>
          <a:off x="15922752" y="4501532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2489</xdr:row>
      <xdr:rowOff>73025</xdr:rowOff>
    </xdr:from>
    <xdr:to>
      <xdr:col>10</xdr:col>
      <xdr:colOff>150622</xdr:colOff>
      <xdr:row>2490</xdr:row>
      <xdr:rowOff>74910</xdr:rowOff>
    </xdr:to>
    <xdr:sp macro="_xll.PtreeEvent_ObjectClick" textlink="">
      <xdr:nvSpPr>
        <xdr:cNvPr id="4933" name="PTObj_DNode_1_1232">
          <a:extLst>
            <a:ext uri="{FF2B5EF4-FFF2-40B4-BE49-F238E27FC236}">
              <a16:creationId xmlns:a16="http://schemas.microsoft.com/office/drawing/2014/main" id="{ADAFB3D2-AE3E-4CE2-9F34-DE7745BEB20B}"/>
            </a:ext>
          </a:extLst>
        </xdr:cNvPr>
        <xdr:cNvSpPr/>
      </xdr:nvSpPr>
      <xdr:spPr>
        <a:xfrm>
          <a:off x="18493867" y="4505198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2489</xdr:row>
      <xdr:rowOff>74166</xdr:rowOff>
    </xdr:from>
    <xdr:ext cx="514857" cy="180627"/>
    <xdr:sp macro="_xll.PtreeEvent_ObjectClick" textlink="">
      <xdr:nvSpPr>
        <xdr:cNvPr id="4936" name="PTObj_DBranchName_1_1232">
          <a:extLst>
            <a:ext uri="{FF2B5EF4-FFF2-40B4-BE49-F238E27FC236}">
              <a16:creationId xmlns:a16="http://schemas.microsoft.com/office/drawing/2014/main" id="{1145017B-E1BC-4282-9701-419CD34E07EC}"/>
            </a:ext>
          </a:extLst>
        </xdr:cNvPr>
        <xdr:cNvSpPr txBox="1"/>
      </xdr:nvSpPr>
      <xdr:spPr>
        <a:xfrm>
          <a:off x="17344834" y="45052094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2491</xdr:row>
      <xdr:rowOff>76845</xdr:rowOff>
    </xdr:from>
    <xdr:to>
      <xdr:col>11</xdr:col>
      <xdr:colOff>135383</xdr:colOff>
      <xdr:row>2492</xdr:row>
      <xdr:rowOff>78730</xdr:rowOff>
    </xdr:to>
    <xdr:sp macro="_xll.PtreeEvent_ObjectClick" textlink="">
      <xdr:nvSpPr>
        <xdr:cNvPr id="4937" name="PTObj_DNode_1_1233">
          <a:extLst>
            <a:ext uri="{FF2B5EF4-FFF2-40B4-BE49-F238E27FC236}">
              <a16:creationId xmlns:a16="http://schemas.microsoft.com/office/drawing/2014/main" id="{ADDBD19B-2806-4537-A68B-1B0863CA6290}"/>
            </a:ext>
          </a:extLst>
        </xdr:cNvPr>
        <xdr:cNvSpPr/>
      </xdr:nvSpPr>
      <xdr:spPr>
        <a:xfrm>
          <a:off x="19918807" y="4508855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2491</xdr:row>
      <xdr:rowOff>77986</xdr:rowOff>
    </xdr:from>
    <xdr:ext cx="514858" cy="180627"/>
    <xdr:sp macro="_xll.PtreeEvent_ObjectClick" textlink="">
      <xdr:nvSpPr>
        <xdr:cNvPr id="4940" name="PTObj_DBranchName_1_1233">
          <a:extLst>
            <a:ext uri="{FF2B5EF4-FFF2-40B4-BE49-F238E27FC236}">
              <a16:creationId xmlns:a16="http://schemas.microsoft.com/office/drawing/2014/main" id="{02B4CEAA-FDF6-4C17-A8C0-E31836217239}"/>
            </a:ext>
          </a:extLst>
        </xdr:cNvPr>
        <xdr:cNvSpPr txBox="1"/>
      </xdr:nvSpPr>
      <xdr:spPr>
        <a:xfrm>
          <a:off x="18768820" y="4508867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2493</xdr:row>
      <xdr:rowOff>85417</xdr:rowOff>
    </xdr:from>
    <xdr:to>
      <xdr:col>12</xdr:col>
      <xdr:colOff>132515</xdr:colOff>
      <xdr:row>2494</xdr:row>
      <xdr:rowOff>96847</xdr:rowOff>
    </xdr:to>
    <xdr:sp macro="_xll.PtreeEvent_ObjectClick" textlink="">
      <xdr:nvSpPr>
        <xdr:cNvPr id="4941" name="PTObj_DNode_1_1234">
          <a:extLst>
            <a:ext uri="{FF2B5EF4-FFF2-40B4-BE49-F238E27FC236}">
              <a16:creationId xmlns:a16="http://schemas.microsoft.com/office/drawing/2014/main" id="{8A01E4CA-8BF3-4545-AE41-75360FC862F5}"/>
            </a:ext>
          </a:extLst>
        </xdr:cNvPr>
        <xdr:cNvSpPr/>
      </xdr:nvSpPr>
      <xdr:spPr>
        <a:xfrm rot="-5400000">
          <a:off x="21347557" y="4512532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2493</xdr:row>
      <xdr:rowOff>83661</xdr:rowOff>
    </xdr:from>
    <xdr:ext cx="514858" cy="180627"/>
    <xdr:sp macro="_xll.PtreeEvent_ObjectClick" textlink="">
      <xdr:nvSpPr>
        <xdr:cNvPr id="4944" name="PTObj_DBranchName_1_1234">
          <a:extLst>
            <a:ext uri="{FF2B5EF4-FFF2-40B4-BE49-F238E27FC236}">
              <a16:creationId xmlns:a16="http://schemas.microsoft.com/office/drawing/2014/main" id="{F7713CA7-FCEE-4767-AC36-488C1CAA0535}"/>
            </a:ext>
          </a:extLst>
        </xdr:cNvPr>
        <xdr:cNvSpPr txBox="1"/>
      </xdr:nvSpPr>
      <xdr:spPr>
        <a:xfrm>
          <a:off x="20188045" y="4512543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2497</xdr:row>
      <xdr:rowOff>88255</xdr:rowOff>
    </xdr:from>
    <xdr:to>
      <xdr:col>9</xdr:col>
      <xdr:colOff>154432</xdr:colOff>
      <xdr:row>2498</xdr:row>
      <xdr:rowOff>93950</xdr:rowOff>
    </xdr:to>
    <xdr:sp macro="_xll.PtreeEvent_ObjectClick" textlink="">
      <xdr:nvSpPr>
        <xdr:cNvPr id="4945" name="PTObj_DNode_1_1236">
          <a:extLst>
            <a:ext uri="{FF2B5EF4-FFF2-40B4-BE49-F238E27FC236}">
              <a16:creationId xmlns:a16="http://schemas.microsoft.com/office/drawing/2014/main" id="{BEA112AE-E463-4D99-9126-5CB459262083}"/>
            </a:ext>
          </a:extLst>
        </xdr:cNvPr>
        <xdr:cNvSpPr/>
      </xdr:nvSpPr>
      <xdr:spPr>
        <a:xfrm>
          <a:off x="17068927" y="4519828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2497</xdr:row>
      <xdr:rowOff>93206</xdr:rowOff>
    </xdr:from>
    <xdr:ext cx="566520" cy="180627"/>
    <xdr:sp macro="_xll.PtreeEvent_ObjectClick" textlink="">
      <xdr:nvSpPr>
        <xdr:cNvPr id="4948" name="PTObj_DBranchName_1_1236">
          <a:extLst>
            <a:ext uri="{FF2B5EF4-FFF2-40B4-BE49-F238E27FC236}">
              <a16:creationId xmlns:a16="http://schemas.microsoft.com/office/drawing/2014/main" id="{49778D19-DCBD-4052-96AB-C5016CABCB78}"/>
            </a:ext>
          </a:extLst>
        </xdr:cNvPr>
        <xdr:cNvSpPr txBox="1"/>
      </xdr:nvSpPr>
      <xdr:spPr>
        <a:xfrm>
          <a:off x="15926563" y="4519877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2499</xdr:row>
      <xdr:rowOff>92075</xdr:rowOff>
    </xdr:from>
    <xdr:to>
      <xdr:col>10</xdr:col>
      <xdr:colOff>150622</xdr:colOff>
      <xdr:row>2500</xdr:row>
      <xdr:rowOff>93960</xdr:rowOff>
    </xdr:to>
    <xdr:sp macro="_xll.PtreeEvent_ObjectClick" textlink="">
      <xdr:nvSpPr>
        <xdr:cNvPr id="4949" name="PTObj_DNode_1_1237">
          <a:extLst>
            <a:ext uri="{FF2B5EF4-FFF2-40B4-BE49-F238E27FC236}">
              <a16:creationId xmlns:a16="http://schemas.microsoft.com/office/drawing/2014/main" id="{CE7A0FA6-C99E-4CCC-B9D7-83FC12E3EDB8}"/>
            </a:ext>
          </a:extLst>
        </xdr:cNvPr>
        <xdr:cNvSpPr/>
      </xdr:nvSpPr>
      <xdr:spPr>
        <a:xfrm>
          <a:off x="18493867" y="4523486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2499</xdr:row>
      <xdr:rowOff>97026</xdr:rowOff>
    </xdr:from>
    <xdr:ext cx="514857" cy="180627"/>
    <xdr:sp macro="_xll.PtreeEvent_ObjectClick" textlink="">
      <xdr:nvSpPr>
        <xdr:cNvPr id="4952" name="PTObj_DBranchName_1_1237">
          <a:extLst>
            <a:ext uri="{FF2B5EF4-FFF2-40B4-BE49-F238E27FC236}">
              <a16:creationId xmlns:a16="http://schemas.microsoft.com/office/drawing/2014/main" id="{074E380E-7736-411B-ADF0-7E1F304AF78F}"/>
            </a:ext>
          </a:extLst>
        </xdr:cNvPr>
        <xdr:cNvSpPr txBox="1"/>
      </xdr:nvSpPr>
      <xdr:spPr>
        <a:xfrm>
          <a:off x="17344834" y="4523535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2501</xdr:row>
      <xdr:rowOff>95895</xdr:rowOff>
    </xdr:from>
    <xdr:to>
      <xdr:col>11</xdr:col>
      <xdr:colOff>135383</xdr:colOff>
      <xdr:row>2502</xdr:row>
      <xdr:rowOff>93970</xdr:rowOff>
    </xdr:to>
    <xdr:sp macro="_xll.PtreeEvent_ObjectClick" textlink="">
      <xdr:nvSpPr>
        <xdr:cNvPr id="4953" name="PTObj_DNode_1_1238">
          <a:extLst>
            <a:ext uri="{FF2B5EF4-FFF2-40B4-BE49-F238E27FC236}">
              <a16:creationId xmlns:a16="http://schemas.microsoft.com/office/drawing/2014/main" id="{BFFEB638-189A-4DC0-B509-0B61BF73F248}"/>
            </a:ext>
          </a:extLst>
        </xdr:cNvPr>
        <xdr:cNvSpPr/>
      </xdr:nvSpPr>
      <xdr:spPr>
        <a:xfrm>
          <a:off x="19918807" y="4527143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2501</xdr:row>
      <xdr:rowOff>93226</xdr:rowOff>
    </xdr:from>
    <xdr:ext cx="514858" cy="180627"/>
    <xdr:sp macro="_xll.PtreeEvent_ObjectClick" textlink="">
      <xdr:nvSpPr>
        <xdr:cNvPr id="4956" name="PTObj_DBranchName_1_1238">
          <a:extLst>
            <a:ext uri="{FF2B5EF4-FFF2-40B4-BE49-F238E27FC236}">
              <a16:creationId xmlns:a16="http://schemas.microsoft.com/office/drawing/2014/main" id="{5D763344-1BD3-494C-982F-3857A0FBAD78}"/>
            </a:ext>
          </a:extLst>
        </xdr:cNvPr>
        <xdr:cNvSpPr txBox="1"/>
      </xdr:nvSpPr>
      <xdr:spPr>
        <a:xfrm>
          <a:off x="18768820" y="4527117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2503</xdr:row>
      <xdr:rowOff>98752</xdr:rowOff>
    </xdr:from>
    <xdr:to>
      <xdr:col>12</xdr:col>
      <xdr:colOff>132515</xdr:colOff>
      <xdr:row>2504</xdr:row>
      <xdr:rowOff>94942</xdr:rowOff>
    </xdr:to>
    <xdr:sp macro="_xll.PtreeEvent_ObjectClick" textlink="">
      <xdr:nvSpPr>
        <xdr:cNvPr id="4957" name="PTObj_DNode_1_1239">
          <a:extLst>
            <a:ext uri="{FF2B5EF4-FFF2-40B4-BE49-F238E27FC236}">
              <a16:creationId xmlns:a16="http://schemas.microsoft.com/office/drawing/2014/main" id="{B5F89214-0441-4972-ADB4-17D5E4E9337D}"/>
            </a:ext>
          </a:extLst>
        </xdr:cNvPr>
        <xdr:cNvSpPr/>
      </xdr:nvSpPr>
      <xdr:spPr>
        <a:xfrm rot="-5400000">
          <a:off x="21347557" y="4530763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2503</xdr:row>
      <xdr:rowOff>96996</xdr:rowOff>
    </xdr:from>
    <xdr:ext cx="514858" cy="180627"/>
    <xdr:sp macro="_xll.PtreeEvent_ObjectClick" textlink="">
      <xdr:nvSpPr>
        <xdr:cNvPr id="4960" name="PTObj_DBranchName_1_1239">
          <a:extLst>
            <a:ext uri="{FF2B5EF4-FFF2-40B4-BE49-F238E27FC236}">
              <a16:creationId xmlns:a16="http://schemas.microsoft.com/office/drawing/2014/main" id="{93D51730-637B-4DBF-92A8-CA70754E1962}"/>
            </a:ext>
          </a:extLst>
        </xdr:cNvPr>
        <xdr:cNvSpPr txBox="1"/>
      </xdr:nvSpPr>
      <xdr:spPr>
        <a:xfrm>
          <a:off x="20188045" y="4530774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5</xdr:col>
      <xdr:colOff>1411732</xdr:colOff>
      <xdr:row>2545</xdr:row>
      <xdr:rowOff>179685</xdr:rowOff>
    </xdr:from>
    <xdr:to>
      <xdr:col>6</xdr:col>
      <xdr:colOff>169672</xdr:colOff>
      <xdr:row>2547</xdr:row>
      <xdr:rowOff>595</xdr:rowOff>
    </xdr:to>
    <xdr:sp macro="_xll.PtreeEvent_ObjectClick" textlink="">
      <xdr:nvSpPr>
        <xdr:cNvPr id="4961" name="PTObj_DNode_1_1260">
          <a:extLst>
            <a:ext uri="{FF2B5EF4-FFF2-40B4-BE49-F238E27FC236}">
              <a16:creationId xmlns:a16="http://schemas.microsoft.com/office/drawing/2014/main" id="{7BCC61E1-A435-4DDC-AAB5-E2154840F286}"/>
            </a:ext>
          </a:extLst>
        </xdr:cNvPr>
        <xdr:cNvSpPr/>
      </xdr:nvSpPr>
      <xdr:spPr>
        <a:xfrm>
          <a:off x="12794107" y="4607610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264605</xdr:colOff>
      <xdr:row>2545</xdr:row>
      <xdr:rowOff>178921</xdr:rowOff>
    </xdr:from>
    <xdr:ext cx="566520" cy="180627"/>
    <xdr:sp macro="_xll.PtreeEvent_ObjectClick" textlink="">
      <xdr:nvSpPr>
        <xdr:cNvPr id="4964" name="PTObj_DBranchName_1_1260">
          <a:extLst>
            <a:ext uri="{FF2B5EF4-FFF2-40B4-BE49-F238E27FC236}">
              <a16:creationId xmlns:a16="http://schemas.microsoft.com/office/drawing/2014/main" id="{0448C1FF-2BCD-4F5D-B029-F441106AAB78}"/>
            </a:ext>
          </a:extLst>
        </xdr:cNvPr>
        <xdr:cNvSpPr txBox="1"/>
      </xdr:nvSpPr>
      <xdr:spPr>
        <a:xfrm>
          <a:off x="11646980" y="46076029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6</xdr:col>
      <xdr:colOff>1407922</xdr:colOff>
      <xdr:row>2525</xdr:row>
      <xdr:rowOff>141585</xdr:rowOff>
    </xdr:from>
    <xdr:to>
      <xdr:col>7</xdr:col>
      <xdr:colOff>167767</xdr:colOff>
      <xdr:row>2526</xdr:row>
      <xdr:rowOff>132040</xdr:rowOff>
    </xdr:to>
    <xdr:sp macro="_xll.PtreeEvent_ObjectClick" textlink="">
      <xdr:nvSpPr>
        <xdr:cNvPr id="4965" name="PTObj_DNode_1_1250">
          <a:extLst>
            <a:ext uri="{FF2B5EF4-FFF2-40B4-BE49-F238E27FC236}">
              <a16:creationId xmlns:a16="http://schemas.microsoft.com/office/drawing/2014/main" id="{2ED49E4F-E1FF-4711-88BA-9DF6D9BBBBF0}"/>
            </a:ext>
          </a:extLst>
        </xdr:cNvPr>
        <xdr:cNvSpPr/>
      </xdr:nvSpPr>
      <xdr:spPr>
        <a:xfrm>
          <a:off x="14219047" y="4571034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261747</xdr:colOff>
      <xdr:row>2525</xdr:row>
      <xdr:rowOff>140821</xdr:rowOff>
    </xdr:from>
    <xdr:ext cx="568424" cy="180627"/>
    <xdr:sp macro="_xll.PtreeEvent_ObjectClick" textlink="">
      <xdr:nvSpPr>
        <xdr:cNvPr id="4968" name="PTObj_DBranchName_1_1250">
          <a:extLst>
            <a:ext uri="{FF2B5EF4-FFF2-40B4-BE49-F238E27FC236}">
              <a16:creationId xmlns:a16="http://schemas.microsoft.com/office/drawing/2014/main" id="{80C1BBD4-3434-437C-8A6E-D4DDD3F4F150}"/>
            </a:ext>
          </a:extLst>
        </xdr:cNvPr>
        <xdr:cNvSpPr txBox="1"/>
      </xdr:nvSpPr>
      <xdr:spPr>
        <a:xfrm>
          <a:off x="13072872" y="457102696"/>
          <a:ext cx="5684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7</xdr:col>
      <xdr:colOff>1404113</xdr:colOff>
      <xdr:row>2515</xdr:row>
      <xdr:rowOff>122535</xdr:rowOff>
    </xdr:from>
    <xdr:to>
      <xdr:col>8</xdr:col>
      <xdr:colOff>171578</xdr:colOff>
      <xdr:row>2516</xdr:row>
      <xdr:rowOff>133945</xdr:rowOff>
    </xdr:to>
    <xdr:sp macro="_xll.PtreeEvent_ObjectClick" textlink="">
      <xdr:nvSpPr>
        <xdr:cNvPr id="4969" name="PTObj_DNode_1_1245">
          <a:extLst>
            <a:ext uri="{FF2B5EF4-FFF2-40B4-BE49-F238E27FC236}">
              <a16:creationId xmlns:a16="http://schemas.microsoft.com/office/drawing/2014/main" id="{7601E988-79A6-45C8-ACAF-F6B11D5933F2}"/>
            </a:ext>
          </a:extLst>
        </xdr:cNvPr>
        <xdr:cNvSpPr/>
      </xdr:nvSpPr>
      <xdr:spPr>
        <a:xfrm>
          <a:off x="15643988" y="4552746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2515</xdr:row>
      <xdr:rowOff>125581</xdr:rowOff>
    </xdr:from>
    <xdr:ext cx="566520" cy="180627"/>
    <xdr:sp macro="_xll.PtreeEvent_ObjectClick" textlink="">
      <xdr:nvSpPr>
        <xdr:cNvPr id="4972" name="PTObj_DBranchName_1_1245">
          <a:extLst>
            <a:ext uri="{FF2B5EF4-FFF2-40B4-BE49-F238E27FC236}">
              <a16:creationId xmlns:a16="http://schemas.microsoft.com/office/drawing/2014/main" id="{6D075B44-8189-4306-AB82-E6371B122777}"/>
            </a:ext>
          </a:extLst>
        </xdr:cNvPr>
        <xdr:cNvSpPr txBox="1"/>
      </xdr:nvSpPr>
      <xdr:spPr>
        <a:xfrm>
          <a:off x="14500670" y="4552777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2507</xdr:row>
      <xdr:rowOff>107305</xdr:rowOff>
    </xdr:from>
    <xdr:to>
      <xdr:col>9</xdr:col>
      <xdr:colOff>154432</xdr:colOff>
      <xdr:row>2508</xdr:row>
      <xdr:rowOff>93950</xdr:rowOff>
    </xdr:to>
    <xdr:sp macro="_xll.PtreeEvent_ObjectClick" textlink="">
      <xdr:nvSpPr>
        <xdr:cNvPr id="4973" name="PTObj_DNode_1_1241">
          <a:extLst>
            <a:ext uri="{FF2B5EF4-FFF2-40B4-BE49-F238E27FC236}">
              <a16:creationId xmlns:a16="http://schemas.microsoft.com/office/drawing/2014/main" id="{534A322D-2FFC-471C-91DC-8535F63B28B6}"/>
            </a:ext>
          </a:extLst>
        </xdr:cNvPr>
        <xdr:cNvSpPr/>
      </xdr:nvSpPr>
      <xdr:spPr>
        <a:xfrm>
          <a:off x="17068927" y="4538116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2507</xdr:row>
      <xdr:rowOff>106541</xdr:rowOff>
    </xdr:from>
    <xdr:ext cx="566519" cy="180627"/>
    <xdr:sp macro="_xll.PtreeEvent_ObjectClick" textlink="">
      <xdr:nvSpPr>
        <xdr:cNvPr id="4976" name="PTObj_DBranchName_1_1241">
          <a:extLst>
            <a:ext uri="{FF2B5EF4-FFF2-40B4-BE49-F238E27FC236}">
              <a16:creationId xmlns:a16="http://schemas.microsoft.com/office/drawing/2014/main" id="{AA891B08-7948-46E1-AA00-D5CF444B321A}"/>
            </a:ext>
          </a:extLst>
        </xdr:cNvPr>
        <xdr:cNvSpPr txBox="1"/>
      </xdr:nvSpPr>
      <xdr:spPr>
        <a:xfrm>
          <a:off x="15922752" y="4538108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2509</xdr:row>
      <xdr:rowOff>111125</xdr:rowOff>
    </xdr:from>
    <xdr:to>
      <xdr:col>10</xdr:col>
      <xdr:colOff>150622</xdr:colOff>
      <xdr:row>2510</xdr:row>
      <xdr:rowOff>113010</xdr:rowOff>
    </xdr:to>
    <xdr:sp macro="_xll.PtreeEvent_ObjectClick" textlink="">
      <xdr:nvSpPr>
        <xdr:cNvPr id="4977" name="PTObj_DNode_1_1242">
          <a:extLst>
            <a:ext uri="{FF2B5EF4-FFF2-40B4-BE49-F238E27FC236}">
              <a16:creationId xmlns:a16="http://schemas.microsoft.com/office/drawing/2014/main" id="{CB921CF2-AF25-4330-A05F-943EC9F11293}"/>
            </a:ext>
          </a:extLst>
        </xdr:cNvPr>
        <xdr:cNvSpPr/>
      </xdr:nvSpPr>
      <xdr:spPr>
        <a:xfrm>
          <a:off x="18493867" y="4541774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2509</xdr:row>
      <xdr:rowOff>112266</xdr:rowOff>
    </xdr:from>
    <xdr:ext cx="514857" cy="180627"/>
    <xdr:sp macro="_xll.PtreeEvent_ObjectClick" textlink="">
      <xdr:nvSpPr>
        <xdr:cNvPr id="4980" name="PTObj_DBranchName_1_1242">
          <a:extLst>
            <a:ext uri="{FF2B5EF4-FFF2-40B4-BE49-F238E27FC236}">
              <a16:creationId xmlns:a16="http://schemas.microsoft.com/office/drawing/2014/main" id="{F427E8B8-5B73-42BC-A335-06A7DE248ADE}"/>
            </a:ext>
          </a:extLst>
        </xdr:cNvPr>
        <xdr:cNvSpPr txBox="1"/>
      </xdr:nvSpPr>
      <xdr:spPr>
        <a:xfrm>
          <a:off x="17344834" y="45417854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2511</xdr:row>
      <xdr:rowOff>114945</xdr:rowOff>
    </xdr:from>
    <xdr:to>
      <xdr:col>11</xdr:col>
      <xdr:colOff>131573</xdr:colOff>
      <xdr:row>2512</xdr:row>
      <xdr:rowOff>116830</xdr:rowOff>
    </xdr:to>
    <xdr:sp macro="_xll.PtreeEvent_ObjectClick" textlink="">
      <xdr:nvSpPr>
        <xdr:cNvPr id="4981" name="PTObj_DNode_1_1243">
          <a:extLst>
            <a:ext uri="{FF2B5EF4-FFF2-40B4-BE49-F238E27FC236}">
              <a16:creationId xmlns:a16="http://schemas.microsoft.com/office/drawing/2014/main" id="{CE45D309-A96C-40B6-8DE1-C3B13F528FD6}"/>
            </a:ext>
          </a:extLst>
        </xdr:cNvPr>
        <xdr:cNvSpPr/>
      </xdr:nvSpPr>
      <xdr:spPr>
        <a:xfrm>
          <a:off x="19918807" y="4545431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2511</xdr:row>
      <xdr:rowOff>116086</xdr:rowOff>
    </xdr:from>
    <xdr:ext cx="514858" cy="180627"/>
    <xdr:sp macro="_xll.PtreeEvent_ObjectClick" textlink="">
      <xdr:nvSpPr>
        <xdr:cNvPr id="4984" name="PTObj_DBranchName_1_1243">
          <a:extLst>
            <a:ext uri="{FF2B5EF4-FFF2-40B4-BE49-F238E27FC236}">
              <a16:creationId xmlns:a16="http://schemas.microsoft.com/office/drawing/2014/main" id="{750D7516-7AEC-4F29-A3A4-656B9EA420AE}"/>
            </a:ext>
          </a:extLst>
        </xdr:cNvPr>
        <xdr:cNvSpPr txBox="1"/>
      </xdr:nvSpPr>
      <xdr:spPr>
        <a:xfrm>
          <a:off x="18768820" y="4545443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2513</xdr:row>
      <xdr:rowOff>123517</xdr:rowOff>
    </xdr:from>
    <xdr:to>
      <xdr:col>12</xdr:col>
      <xdr:colOff>136325</xdr:colOff>
      <xdr:row>2514</xdr:row>
      <xdr:rowOff>131137</xdr:rowOff>
    </xdr:to>
    <xdr:sp macro="_xll.PtreeEvent_ObjectClick" textlink="">
      <xdr:nvSpPr>
        <xdr:cNvPr id="4985" name="PTObj_DNode_1_1244">
          <a:extLst>
            <a:ext uri="{FF2B5EF4-FFF2-40B4-BE49-F238E27FC236}">
              <a16:creationId xmlns:a16="http://schemas.microsoft.com/office/drawing/2014/main" id="{5CAE49EF-5C61-4D6B-8FB8-399D6A0A6865}"/>
            </a:ext>
          </a:extLst>
        </xdr:cNvPr>
        <xdr:cNvSpPr/>
      </xdr:nvSpPr>
      <xdr:spPr>
        <a:xfrm rot="-5400000">
          <a:off x="21347557" y="4549108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2513</xdr:row>
      <xdr:rowOff>121761</xdr:rowOff>
    </xdr:from>
    <xdr:ext cx="514858" cy="180627"/>
    <xdr:sp macro="_xll.PtreeEvent_ObjectClick" textlink="">
      <xdr:nvSpPr>
        <xdr:cNvPr id="4988" name="PTObj_DBranchName_1_1244">
          <a:extLst>
            <a:ext uri="{FF2B5EF4-FFF2-40B4-BE49-F238E27FC236}">
              <a16:creationId xmlns:a16="http://schemas.microsoft.com/office/drawing/2014/main" id="{338C62AA-C0D6-41FB-8411-0E8D02EABE53}"/>
            </a:ext>
          </a:extLst>
        </xdr:cNvPr>
        <xdr:cNvSpPr txBox="1"/>
      </xdr:nvSpPr>
      <xdr:spPr>
        <a:xfrm>
          <a:off x="20188045" y="4549119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2517</xdr:row>
      <xdr:rowOff>126355</xdr:rowOff>
    </xdr:from>
    <xdr:to>
      <xdr:col>9</xdr:col>
      <xdr:colOff>154432</xdr:colOff>
      <xdr:row>2518</xdr:row>
      <xdr:rowOff>135860</xdr:rowOff>
    </xdr:to>
    <xdr:sp macro="_xll.PtreeEvent_ObjectClick" textlink="">
      <xdr:nvSpPr>
        <xdr:cNvPr id="4989" name="PTObj_DNode_1_1246">
          <a:extLst>
            <a:ext uri="{FF2B5EF4-FFF2-40B4-BE49-F238E27FC236}">
              <a16:creationId xmlns:a16="http://schemas.microsoft.com/office/drawing/2014/main" id="{76891EBE-E9A5-4233-BE77-40932B172592}"/>
            </a:ext>
          </a:extLst>
        </xdr:cNvPr>
        <xdr:cNvSpPr/>
      </xdr:nvSpPr>
      <xdr:spPr>
        <a:xfrm>
          <a:off x="17068927" y="4556404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2517</xdr:row>
      <xdr:rowOff>131306</xdr:rowOff>
    </xdr:from>
    <xdr:ext cx="566520" cy="180627"/>
    <xdr:sp macro="_xll.PtreeEvent_ObjectClick" textlink="">
      <xdr:nvSpPr>
        <xdr:cNvPr id="4992" name="PTObj_DBranchName_1_1246">
          <a:extLst>
            <a:ext uri="{FF2B5EF4-FFF2-40B4-BE49-F238E27FC236}">
              <a16:creationId xmlns:a16="http://schemas.microsoft.com/office/drawing/2014/main" id="{FDB5E22F-3792-458A-B90B-700094DE86D2}"/>
            </a:ext>
          </a:extLst>
        </xdr:cNvPr>
        <xdr:cNvSpPr txBox="1"/>
      </xdr:nvSpPr>
      <xdr:spPr>
        <a:xfrm>
          <a:off x="15926563" y="4556453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2519</xdr:row>
      <xdr:rowOff>130175</xdr:rowOff>
    </xdr:from>
    <xdr:to>
      <xdr:col>10</xdr:col>
      <xdr:colOff>150622</xdr:colOff>
      <xdr:row>2520</xdr:row>
      <xdr:rowOff>135870</xdr:rowOff>
    </xdr:to>
    <xdr:sp macro="_xll.PtreeEvent_ObjectClick" textlink="">
      <xdr:nvSpPr>
        <xdr:cNvPr id="4993" name="PTObj_DNode_1_1247">
          <a:extLst>
            <a:ext uri="{FF2B5EF4-FFF2-40B4-BE49-F238E27FC236}">
              <a16:creationId xmlns:a16="http://schemas.microsoft.com/office/drawing/2014/main" id="{8AD11574-8D73-483D-8813-360B3931AB17}"/>
            </a:ext>
          </a:extLst>
        </xdr:cNvPr>
        <xdr:cNvSpPr/>
      </xdr:nvSpPr>
      <xdr:spPr>
        <a:xfrm>
          <a:off x="18493867" y="4560062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2519</xdr:row>
      <xdr:rowOff>135126</xdr:rowOff>
    </xdr:from>
    <xdr:ext cx="514857" cy="180627"/>
    <xdr:sp macro="_xll.PtreeEvent_ObjectClick" textlink="">
      <xdr:nvSpPr>
        <xdr:cNvPr id="4996" name="PTObj_DBranchName_1_1247">
          <a:extLst>
            <a:ext uri="{FF2B5EF4-FFF2-40B4-BE49-F238E27FC236}">
              <a16:creationId xmlns:a16="http://schemas.microsoft.com/office/drawing/2014/main" id="{006AA821-1FBB-40EC-9389-CA30C8D14B03}"/>
            </a:ext>
          </a:extLst>
        </xdr:cNvPr>
        <xdr:cNvSpPr txBox="1"/>
      </xdr:nvSpPr>
      <xdr:spPr>
        <a:xfrm>
          <a:off x="17344834" y="4560111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2521</xdr:row>
      <xdr:rowOff>133995</xdr:rowOff>
    </xdr:from>
    <xdr:to>
      <xdr:col>11</xdr:col>
      <xdr:colOff>131573</xdr:colOff>
      <xdr:row>2522</xdr:row>
      <xdr:rowOff>135880</xdr:rowOff>
    </xdr:to>
    <xdr:sp macro="_xll.PtreeEvent_ObjectClick" textlink="">
      <xdr:nvSpPr>
        <xdr:cNvPr id="4997" name="PTObj_DNode_1_1248">
          <a:extLst>
            <a:ext uri="{FF2B5EF4-FFF2-40B4-BE49-F238E27FC236}">
              <a16:creationId xmlns:a16="http://schemas.microsoft.com/office/drawing/2014/main" id="{61915E8C-FC94-4C6A-83B1-A87CCC0C7009}"/>
            </a:ext>
          </a:extLst>
        </xdr:cNvPr>
        <xdr:cNvSpPr/>
      </xdr:nvSpPr>
      <xdr:spPr>
        <a:xfrm>
          <a:off x="19918807" y="4563719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2521</xdr:row>
      <xdr:rowOff>131326</xdr:rowOff>
    </xdr:from>
    <xdr:ext cx="514858" cy="180627"/>
    <xdr:sp macro="_xll.PtreeEvent_ObjectClick" textlink="">
      <xdr:nvSpPr>
        <xdr:cNvPr id="5000" name="PTObj_DBranchName_1_1248">
          <a:extLst>
            <a:ext uri="{FF2B5EF4-FFF2-40B4-BE49-F238E27FC236}">
              <a16:creationId xmlns:a16="http://schemas.microsoft.com/office/drawing/2014/main" id="{12A54A5C-8EA6-4D71-B07F-BE12E5EEE3B7}"/>
            </a:ext>
          </a:extLst>
        </xdr:cNvPr>
        <xdr:cNvSpPr txBox="1"/>
      </xdr:nvSpPr>
      <xdr:spPr>
        <a:xfrm>
          <a:off x="18768820" y="4563693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2523</xdr:row>
      <xdr:rowOff>136852</xdr:rowOff>
    </xdr:from>
    <xdr:to>
      <xdr:col>12</xdr:col>
      <xdr:colOff>136325</xdr:colOff>
      <xdr:row>2524</xdr:row>
      <xdr:rowOff>136852</xdr:rowOff>
    </xdr:to>
    <xdr:sp macro="_xll.PtreeEvent_ObjectClick" textlink="">
      <xdr:nvSpPr>
        <xdr:cNvPr id="5001" name="PTObj_DNode_1_1249">
          <a:extLst>
            <a:ext uri="{FF2B5EF4-FFF2-40B4-BE49-F238E27FC236}">
              <a16:creationId xmlns:a16="http://schemas.microsoft.com/office/drawing/2014/main" id="{A7219583-2BB4-4B76-A553-1BBA3B063BE7}"/>
            </a:ext>
          </a:extLst>
        </xdr:cNvPr>
        <xdr:cNvSpPr/>
      </xdr:nvSpPr>
      <xdr:spPr>
        <a:xfrm rot="-5400000">
          <a:off x="21347557" y="4567339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2523</xdr:row>
      <xdr:rowOff>135096</xdr:rowOff>
    </xdr:from>
    <xdr:ext cx="514858" cy="180627"/>
    <xdr:sp macro="_xll.PtreeEvent_ObjectClick" textlink="">
      <xdr:nvSpPr>
        <xdr:cNvPr id="5004" name="PTObj_DBranchName_1_1249">
          <a:extLst>
            <a:ext uri="{FF2B5EF4-FFF2-40B4-BE49-F238E27FC236}">
              <a16:creationId xmlns:a16="http://schemas.microsoft.com/office/drawing/2014/main" id="{9C81B661-A809-4E87-9374-67974B59C5E3}"/>
            </a:ext>
          </a:extLst>
        </xdr:cNvPr>
        <xdr:cNvSpPr txBox="1"/>
      </xdr:nvSpPr>
      <xdr:spPr>
        <a:xfrm>
          <a:off x="20188045" y="4567350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2535</xdr:row>
      <xdr:rowOff>160635</xdr:rowOff>
    </xdr:from>
    <xdr:to>
      <xdr:col>8</xdr:col>
      <xdr:colOff>167768</xdr:colOff>
      <xdr:row>2536</xdr:row>
      <xdr:rowOff>168235</xdr:rowOff>
    </xdr:to>
    <xdr:sp macro="_xll.PtreeEvent_ObjectClick" textlink="">
      <xdr:nvSpPr>
        <xdr:cNvPr id="5005" name="PTObj_DNode_1_1255">
          <a:extLst>
            <a:ext uri="{FF2B5EF4-FFF2-40B4-BE49-F238E27FC236}">
              <a16:creationId xmlns:a16="http://schemas.microsoft.com/office/drawing/2014/main" id="{BEE4F8B3-8D39-4404-A85A-0B058BF6059D}"/>
            </a:ext>
          </a:extLst>
        </xdr:cNvPr>
        <xdr:cNvSpPr/>
      </xdr:nvSpPr>
      <xdr:spPr>
        <a:xfrm>
          <a:off x="15643988" y="4589322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2535</xdr:row>
      <xdr:rowOff>163681</xdr:rowOff>
    </xdr:from>
    <xdr:ext cx="566520" cy="180627"/>
    <xdr:sp macro="_xll.PtreeEvent_ObjectClick" textlink="">
      <xdr:nvSpPr>
        <xdr:cNvPr id="5008" name="PTObj_DBranchName_1_1255">
          <a:extLst>
            <a:ext uri="{FF2B5EF4-FFF2-40B4-BE49-F238E27FC236}">
              <a16:creationId xmlns:a16="http://schemas.microsoft.com/office/drawing/2014/main" id="{2490E401-6062-4B60-92E6-88899432A568}"/>
            </a:ext>
          </a:extLst>
        </xdr:cNvPr>
        <xdr:cNvSpPr txBox="1"/>
      </xdr:nvSpPr>
      <xdr:spPr>
        <a:xfrm>
          <a:off x="14498765" y="458935306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2527</xdr:row>
      <xdr:rowOff>145405</xdr:rowOff>
    </xdr:from>
    <xdr:to>
      <xdr:col>9</xdr:col>
      <xdr:colOff>154432</xdr:colOff>
      <xdr:row>2528</xdr:row>
      <xdr:rowOff>135860</xdr:rowOff>
    </xdr:to>
    <xdr:sp macro="_xll.PtreeEvent_ObjectClick" textlink="">
      <xdr:nvSpPr>
        <xdr:cNvPr id="5009" name="PTObj_DNode_1_1251">
          <a:extLst>
            <a:ext uri="{FF2B5EF4-FFF2-40B4-BE49-F238E27FC236}">
              <a16:creationId xmlns:a16="http://schemas.microsoft.com/office/drawing/2014/main" id="{17191EAB-4A9D-4CB9-8813-A42562997001}"/>
            </a:ext>
          </a:extLst>
        </xdr:cNvPr>
        <xdr:cNvSpPr/>
      </xdr:nvSpPr>
      <xdr:spPr>
        <a:xfrm>
          <a:off x="17068927" y="4574692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2527</xdr:row>
      <xdr:rowOff>144641</xdr:rowOff>
    </xdr:from>
    <xdr:ext cx="566519" cy="180627"/>
    <xdr:sp macro="_xll.PtreeEvent_ObjectClick" textlink="">
      <xdr:nvSpPr>
        <xdr:cNvPr id="5012" name="PTObj_DBranchName_1_1251">
          <a:extLst>
            <a:ext uri="{FF2B5EF4-FFF2-40B4-BE49-F238E27FC236}">
              <a16:creationId xmlns:a16="http://schemas.microsoft.com/office/drawing/2014/main" id="{2532BF4B-6B87-4888-B174-5E6B265D6A38}"/>
            </a:ext>
          </a:extLst>
        </xdr:cNvPr>
        <xdr:cNvSpPr txBox="1"/>
      </xdr:nvSpPr>
      <xdr:spPr>
        <a:xfrm>
          <a:off x="15922752" y="457468466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2529</xdr:row>
      <xdr:rowOff>149225</xdr:rowOff>
    </xdr:from>
    <xdr:to>
      <xdr:col>10</xdr:col>
      <xdr:colOff>150622</xdr:colOff>
      <xdr:row>2530</xdr:row>
      <xdr:rowOff>151110</xdr:rowOff>
    </xdr:to>
    <xdr:sp macro="_xll.PtreeEvent_ObjectClick" textlink="">
      <xdr:nvSpPr>
        <xdr:cNvPr id="5013" name="PTObj_DNode_1_1252">
          <a:extLst>
            <a:ext uri="{FF2B5EF4-FFF2-40B4-BE49-F238E27FC236}">
              <a16:creationId xmlns:a16="http://schemas.microsoft.com/office/drawing/2014/main" id="{0B31592B-97BC-4794-B9C4-69BE0C210A35}"/>
            </a:ext>
          </a:extLst>
        </xdr:cNvPr>
        <xdr:cNvSpPr/>
      </xdr:nvSpPr>
      <xdr:spPr>
        <a:xfrm>
          <a:off x="18493867" y="4578350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2529</xdr:row>
      <xdr:rowOff>150366</xdr:rowOff>
    </xdr:from>
    <xdr:ext cx="514857" cy="180627"/>
    <xdr:sp macro="_xll.PtreeEvent_ObjectClick" textlink="">
      <xdr:nvSpPr>
        <xdr:cNvPr id="5016" name="PTObj_DBranchName_1_1252">
          <a:extLst>
            <a:ext uri="{FF2B5EF4-FFF2-40B4-BE49-F238E27FC236}">
              <a16:creationId xmlns:a16="http://schemas.microsoft.com/office/drawing/2014/main" id="{8E4796A5-017F-429A-B0D9-7CE48BFC7BAC}"/>
            </a:ext>
          </a:extLst>
        </xdr:cNvPr>
        <xdr:cNvSpPr txBox="1"/>
      </xdr:nvSpPr>
      <xdr:spPr>
        <a:xfrm>
          <a:off x="17344834" y="45783614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2531</xdr:row>
      <xdr:rowOff>153045</xdr:rowOff>
    </xdr:from>
    <xdr:to>
      <xdr:col>11</xdr:col>
      <xdr:colOff>135383</xdr:colOff>
      <xdr:row>2532</xdr:row>
      <xdr:rowOff>154930</xdr:rowOff>
    </xdr:to>
    <xdr:sp macro="_xll.PtreeEvent_ObjectClick" textlink="">
      <xdr:nvSpPr>
        <xdr:cNvPr id="5017" name="PTObj_DNode_1_1253">
          <a:extLst>
            <a:ext uri="{FF2B5EF4-FFF2-40B4-BE49-F238E27FC236}">
              <a16:creationId xmlns:a16="http://schemas.microsoft.com/office/drawing/2014/main" id="{9FF46E49-2981-47F3-ABB6-73ECE25E4975}"/>
            </a:ext>
          </a:extLst>
        </xdr:cNvPr>
        <xdr:cNvSpPr/>
      </xdr:nvSpPr>
      <xdr:spPr>
        <a:xfrm>
          <a:off x="19918807" y="4582007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2531</xdr:row>
      <xdr:rowOff>154186</xdr:rowOff>
    </xdr:from>
    <xdr:ext cx="514858" cy="180627"/>
    <xdr:sp macro="_xll.PtreeEvent_ObjectClick" textlink="">
      <xdr:nvSpPr>
        <xdr:cNvPr id="5020" name="PTObj_DBranchName_1_1253">
          <a:extLst>
            <a:ext uri="{FF2B5EF4-FFF2-40B4-BE49-F238E27FC236}">
              <a16:creationId xmlns:a16="http://schemas.microsoft.com/office/drawing/2014/main" id="{B761D714-00A3-4696-9FB8-D6185876D386}"/>
            </a:ext>
          </a:extLst>
        </xdr:cNvPr>
        <xdr:cNvSpPr txBox="1"/>
      </xdr:nvSpPr>
      <xdr:spPr>
        <a:xfrm>
          <a:off x="18768820" y="45820191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2533</xdr:row>
      <xdr:rowOff>161617</xdr:rowOff>
    </xdr:from>
    <xdr:to>
      <xdr:col>12</xdr:col>
      <xdr:colOff>132515</xdr:colOff>
      <xdr:row>2534</xdr:row>
      <xdr:rowOff>173047</xdr:rowOff>
    </xdr:to>
    <xdr:sp macro="_xll.PtreeEvent_ObjectClick" textlink="">
      <xdr:nvSpPr>
        <xdr:cNvPr id="5021" name="PTObj_DNode_1_1254">
          <a:extLst>
            <a:ext uri="{FF2B5EF4-FFF2-40B4-BE49-F238E27FC236}">
              <a16:creationId xmlns:a16="http://schemas.microsoft.com/office/drawing/2014/main" id="{23463D28-9857-43A7-9177-E09C2A0E80C3}"/>
            </a:ext>
          </a:extLst>
        </xdr:cNvPr>
        <xdr:cNvSpPr/>
      </xdr:nvSpPr>
      <xdr:spPr>
        <a:xfrm rot="-5400000">
          <a:off x="21347557" y="458568445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2533</xdr:row>
      <xdr:rowOff>159861</xdr:rowOff>
    </xdr:from>
    <xdr:ext cx="514858" cy="180627"/>
    <xdr:sp macro="_xll.PtreeEvent_ObjectClick" textlink="">
      <xdr:nvSpPr>
        <xdr:cNvPr id="5024" name="PTObj_DBranchName_1_1254">
          <a:extLst>
            <a:ext uri="{FF2B5EF4-FFF2-40B4-BE49-F238E27FC236}">
              <a16:creationId xmlns:a16="http://schemas.microsoft.com/office/drawing/2014/main" id="{3F16C46E-B7D1-4E27-A97F-83286304036E}"/>
            </a:ext>
          </a:extLst>
        </xdr:cNvPr>
        <xdr:cNvSpPr txBox="1"/>
      </xdr:nvSpPr>
      <xdr:spPr>
        <a:xfrm>
          <a:off x="20188045" y="45856953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2537</xdr:row>
      <xdr:rowOff>164455</xdr:rowOff>
    </xdr:from>
    <xdr:to>
      <xdr:col>9</xdr:col>
      <xdr:colOff>154432</xdr:colOff>
      <xdr:row>2538</xdr:row>
      <xdr:rowOff>170150</xdr:rowOff>
    </xdr:to>
    <xdr:sp macro="_xll.PtreeEvent_ObjectClick" textlink="">
      <xdr:nvSpPr>
        <xdr:cNvPr id="5025" name="PTObj_DNode_1_1256">
          <a:extLst>
            <a:ext uri="{FF2B5EF4-FFF2-40B4-BE49-F238E27FC236}">
              <a16:creationId xmlns:a16="http://schemas.microsoft.com/office/drawing/2014/main" id="{4DEAF9DE-FB61-40BE-BDA1-317EC7210940}"/>
            </a:ext>
          </a:extLst>
        </xdr:cNvPr>
        <xdr:cNvSpPr/>
      </xdr:nvSpPr>
      <xdr:spPr>
        <a:xfrm>
          <a:off x="17068927" y="4592980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2537</xdr:row>
      <xdr:rowOff>169406</xdr:rowOff>
    </xdr:from>
    <xdr:ext cx="566520" cy="180627"/>
    <xdr:sp macro="_xll.PtreeEvent_ObjectClick" textlink="">
      <xdr:nvSpPr>
        <xdr:cNvPr id="5028" name="PTObj_DBranchName_1_1256">
          <a:extLst>
            <a:ext uri="{FF2B5EF4-FFF2-40B4-BE49-F238E27FC236}">
              <a16:creationId xmlns:a16="http://schemas.microsoft.com/office/drawing/2014/main" id="{25B3A6EC-38F3-49B8-871D-45E735FB120D}"/>
            </a:ext>
          </a:extLst>
        </xdr:cNvPr>
        <xdr:cNvSpPr txBox="1"/>
      </xdr:nvSpPr>
      <xdr:spPr>
        <a:xfrm>
          <a:off x="15926563" y="45930298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2539</xdr:row>
      <xdr:rowOff>168275</xdr:rowOff>
    </xdr:from>
    <xdr:to>
      <xdr:col>10</xdr:col>
      <xdr:colOff>150622</xdr:colOff>
      <xdr:row>2540</xdr:row>
      <xdr:rowOff>170160</xdr:rowOff>
    </xdr:to>
    <xdr:sp macro="_xll.PtreeEvent_ObjectClick" textlink="">
      <xdr:nvSpPr>
        <xdr:cNvPr id="5029" name="PTObj_DNode_1_1257">
          <a:extLst>
            <a:ext uri="{FF2B5EF4-FFF2-40B4-BE49-F238E27FC236}">
              <a16:creationId xmlns:a16="http://schemas.microsoft.com/office/drawing/2014/main" id="{52A5B1DA-C718-4080-B04C-3D4C1485A5FC}"/>
            </a:ext>
          </a:extLst>
        </xdr:cNvPr>
        <xdr:cNvSpPr/>
      </xdr:nvSpPr>
      <xdr:spPr>
        <a:xfrm>
          <a:off x="18493867" y="4596638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2539</xdr:row>
      <xdr:rowOff>173226</xdr:rowOff>
    </xdr:from>
    <xdr:ext cx="514857" cy="180627"/>
    <xdr:sp macro="_xll.PtreeEvent_ObjectClick" textlink="">
      <xdr:nvSpPr>
        <xdr:cNvPr id="5032" name="PTObj_DBranchName_1_1257">
          <a:extLst>
            <a:ext uri="{FF2B5EF4-FFF2-40B4-BE49-F238E27FC236}">
              <a16:creationId xmlns:a16="http://schemas.microsoft.com/office/drawing/2014/main" id="{2A69D40D-514D-4829-9B62-037EC198552C}"/>
            </a:ext>
          </a:extLst>
        </xdr:cNvPr>
        <xdr:cNvSpPr txBox="1"/>
      </xdr:nvSpPr>
      <xdr:spPr>
        <a:xfrm>
          <a:off x="17344834" y="45966875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2541</xdr:row>
      <xdr:rowOff>172095</xdr:rowOff>
    </xdr:from>
    <xdr:to>
      <xdr:col>11</xdr:col>
      <xdr:colOff>135383</xdr:colOff>
      <xdr:row>2542</xdr:row>
      <xdr:rowOff>170170</xdr:rowOff>
    </xdr:to>
    <xdr:sp macro="_xll.PtreeEvent_ObjectClick" textlink="">
      <xdr:nvSpPr>
        <xdr:cNvPr id="5033" name="PTObj_DNode_1_1258">
          <a:extLst>
            <a:ext uri="{FF2B5EF4-FFF2-40B4-BE49-F238E27FC236}">
              <a16:creationId xmlns:a16="http://schemas.microsoft.com/office/drawing/2014/main" id="{3FA428DD-EB1A-4509-A6CB-3793CA05F588}"/>
            </a:ext>
          </a:extLst>
        </xdr:cNvPr>
        <xdr:cNvSpPr/>
      </xdr:nvSpPr>
      <xdr:spPr>
        <a:xfrm>
          <a:off x="19918807" y="4600295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2541</xdr:row>
      <xdr:rowOff>169426</xdr:rowOff>
    </xdr:from>
    <xdr:ext cx="514858" cy="180627"/>
    <xdr:sp macro="_xll.PtreeEvent_ObjectClick" textlink="">
      <xdr:nvSpPr>
        <xdr:cNvPr id="5036" name="PTObj_DBranchName_1_1258">
          <a:extLst>
            <a:ext uri="{FF2B5EF4-FFF2-40B4-BE49-F238E27FC236}">
              <a16:creationId xmlns:a16="http://schemas.microsoft.com/office/drawing/2014/main" id="{DC849B03-6643-4100-B0B9-EBF47C1AD92C}"/>
            </a:ext>
          </a:extLst>
        </xdr:cNvPr>
        <xdr:cNvSpPr txBox="1"/>
      </xdr:nvSpPr>
      <xdr:spPr>
        <a:xfrm>
          <a:off x="18768820" y="46002690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2543</xdr:row>
      <xdr:rowOff>174952</xdr:rowOff>
    </xdr:from>
    <xdr:to>
      <xdr:col>12</xdr:col>
      <xdr:colOff>132515</xdr:colOff>
      <xdr:row>2544</xdr:row>
      <xdr:rowOff>171142</xdr:rowOff>
    </xdr:to>
    <xdr:sp macro="_xll.PtreeEvent_ObjectClick" textlink="">
      <xdr:nvSpPr>
        <xdr:cNvPr id="5037" name="PTObj_DNode_1_1259">
          <a:extLst>
            <a:ext uri="{FF2B5EF4-FFF2-40B4-BE49-F238E27FC236}">
              <a16:creationId xmlns:a16="http://schemas.microsoft.com/office/drawing/2014/main" id="{DB355CF8-E3B9-497D-90F2-58952632A8ED}"/>
            </a:ext>
          </a:extLst>
        </xdr:cNvPr>
        <xdr:cNvSpPr/>
      </xdr:nvSpPr>
      <xdr:spPr>
        <a:xfrm rot="-5400000">
          <a:off x="21347557" y="46039153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2543</xdr:row>
      <xdr:rowOff>173196</xdr:rowOff>
    </xdr:from>
    <xdr:ext cx="514858" cy="180627"/>
    <xdr:sp macro="_xll.PtreeEvent_ObjectClick" textlink="">
      <xdr:nvSpPr>
        <xdr:cNvPr id="5040" name="PTObj_DBranchName_1_1259">
          <a:extLst>
            <a:ext uri="{FF2B5EF4-FFF2-40B4-BE49-F238E27FC236}">
              <a16:creationId xmlns:a16="http://schemas.microsoft.com/office/drawing/2014/main" id="{1915DB91-A80D-409E-9B6A-4133B223ECB0}"/>
            </a:ext>
          </a:extLst>
        </xdr:cNvPr>
        <xdr:cNvSpPr txBox="1"/>
      </xdr:nvSpPr>
      <xdr:spPr>
        <a:xfrm>
          <a:off x="20188045" y="46039262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6</xdr:col>
      <xdr:colOff>1407922</xdr:colOff>
      <xdr:row>2566</xdr:row>
      <xdr:rowOff>36810</xdr:rowOff>
    </xdr:from>
    <xdr:to>
      <xdr:col>7</xdr:col>
      <xdr:colOff>171577</xdr:colOff>
      <xdr:row>2567</xdr:row>
      <xdr:rowOff>38695</xdr:rowOff>
    </xdr:to>
    <xdr:sp macro="_xll.PtreeEvent_ObjectClick" textlink="">
      <xdr:nvSpPr>
        <xdr:cNvPr id="5041" name="PTObj_DNode_1_1270">
          <a:extLst>
            <a:ext uri="{FF2B5EF4-FFF2-40B4-BE49-F238E27FC236}">
              <a16:creationId xmlns:a16="http://schemas.microsoft.com/office/drawing/2014/main" id="{02DA9615-21C7-43DF-A7CF-64ED90ADD916}"/>
            </a:ext>
          </a:extLst>
        </xdr:cNvPr>
        <xdr:cNvSpPr/>
      </xdr:nvSpPr>
      <xdr:spPr>
        <a:xfrm>
          <a:off x="14219047" y="4644186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263652</xdr:colOff>
      <xdr:row>2566</xdr:row>
      <xdr:rowOff>37951</xdr:rowOff>
    </xdr:from>
    <xdr:ext cx="566520" cy="180627"/>
    <xdr:sp macro="_xll.PtreeEvent_ObjectClick" textlink="">
      <xdr:nvSpPr>
        <xdr:cNvPr id="5044" name="PTObj_DBranchName_1_1270">
          <a:extLst>
            <a:ext uri="{FF2B5EF4-FFF2-40B4-BE49-F238E27FC236}">
              <a16:creationId xmlns:a16="http://schemas.microsoft.com/office/drawing/2014/main" id="{96AA3263-2ECD-432A-8C16-8A20D3C5E2B2}"/>
            </a:ext>
          </a:extLst>
        </xdr:cNvPr>
        <xdr:cNvSpPr txBox="1"/>
      </xdr:nvSpPr>
      <xdr:spPr>
        <a:xfrm>
          <a:off x="13074777" y="46441980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7</xdr:col>
      <xdr:colOff>1404113</xdr:colOff>
      <xdr:row>2556</xdr:row>
      <xdr:rowOff>17760</xdr:rowOff>
    </xdr:from>
    <xdr:to>
      <xdr:col>8</xdr:col>
      <xdr:colOff>167768</xdr:colOff>
      <xdr:row>2557</xdr:row>
      <xdr:rowOff>19645</xdr:rowOff>
    </xdr:to>
    <xdr:sp macro="_xll.PtreeEvent_ObjectClick" textlink="">
      <xdr:nvSpPr>
        <xdr:cNvPr id="5045" name="PTObj_DNode_1_1265">
          <a:extLst>
            <a:ext uri="{FF2B5EF4-FFF2-40B4-BE49-F238E27FC236}">
              <a16:creationId xmlns:a16="http://schemas.microsoft.com/office/drawing/2014/main" id="{01899B7C-D983-4A7C-AFA3-B8617BA26C46}"/>
            </a:ext>
          </a:extLst>
        </xdr:cNvPr>
        <xdr:cNvSpPr/>
      </xdr:nvSpPr>
      <xdr:spPr>
        <a:xfrm>
          <a:off x="15643988" y="4625898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260795</xdr:colOff>
      <xdr:row>2556</xdr:row>
      <xdr:rowOff>22711</xdr:rowOff>
    </xdr:from>
    <xdr:ext cx="566520" cy="180627"/>
    <xdr:sp macro="_xll.PtreeEvent_ObjectClick" textlink="">
      <xdr:nvSpPr>
        <xdr:cNvPr id="5048" name="PTObj_DBranchName_1_1265">
          <a:extLst>
            <a:ext uri="{FF2B5EF4-FFF2-40B4-BE49-F238E27FC236}">
              <a16:creationId xmlns:a16="http://schemas.microsoft.com/office/drawing/2014/main" id="{500967FF-4742-47AC-A1CB-48C34E283628}"/>
            </a:ext>
          </a:extLst>
        </xdr:cNvPr>
        <xdr:cNvSpPr txBox="1"/>
      </xdr:nvSpPr>
      <xdr:spPr>
        <a:xfrm>
          <a:off x="14500670" y="4625948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8</xdr:col>
      <xdr:colOff>1400302</xdr:colOff>
      <xdr:row>2548</xdr:row>
      <xdr:rowOff>2530</xdr:rowOff>
    </xdr:from>
    <xdr:to>
      <xdr:col>9</xdr:col>
      <xdr:colOff>154432</xdr:colOff>
      <xdr:row>2549</xdr:row>
      <xdr:rowOff>15845</xdr:rowOff>
    </xdr:to>
    <xdr:sp macro="_xll.PtreeEvent_ObjectClick" textlink="">
      <xdr:nvSpPr>
        <xdr:cNvPr id="5049" name="PTObj_DNode_1_1261">
          <a:extLst>
            <a:ext uri="{FF2B5EF4-FFF2-40B4-BE49-F238E27FC236}">
              <a16:creationId xmlns:a16="http://schemas.microsoft.com/office/drawing/2014/main" id="{2A47FF02-ADA2-4771-AB9A-30FE4442452E}"/>
            </a:ext>
          </a:extLst>
        </xdr:cNvPr>
        <xdr:cNvSpPr/>
      </xdr:nvSpPr>
      <xdr:spPr>
        <a:xfrm>
          <a:off x="17068927" y="4611268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2548</xdr:row>
      <xdr:rowOff>3671</xdr:rowOff>
    </xdr:from>
    <xdr:ext cx="566519" cy="180627"/>
    <xdr:sp macro="_xll.PtreeEvent_ObjectClick" textlink="">
      <xdr:nvSpPr>
        <xdr:cNvPr id="5052" name="PTObj_DBranchName_1_1261">
          <a:extLst>
            <a:ext uri="{FF2B5EF4-FFF2-40B4-BE49-F238E27FC236}">
              <a16:creationId xmlns:a16="http://schemas.microsoft.com/office/drawing/2014/main" id="{0CD4FAAC-FFDE-4AB7-981D-54EFDFE0DB6D}"/>
            </a:ext>
          </a:extLst>
        </xdr:cNvPr>
        <xdr:cNvSpPr txBox="1"/>
      </xdr:nvSpPr>
      <xdr:spPr>
        <a:xfrm>
          <a:off x="15922752" y="4611279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2550</xdr:row>
      <xdr:rowOff>6350</xdr:rowOff>
    </xdr:from>
    <xdr:to>
      <xdr:col>10</xdr:col>
      <xdr:colOff>150622</xdr:colOff>
      <xdr:row>2551</xdr:row>
      <xdr:rowOff>19665</xdr:rowOff>
    </xdr:to>
    <xdr:sp macro="_xll.PtreeEvent_ObjectClick" textlink="">
      <xdr:nvSpPr>
        <xdr:cNvPr id="5053" name="PTObj_DNode_1_1262">
          <a:extLst>
            <a:ext uri="{FF2B5EF4-FFF2-40B4-BE49-F238E27FC236}">
              <a16:creationId xmlns:a16="http://schemas.microsoft.com/office/drawing/2014/main" id="{AC872E3E-0496-4E2F-86C2-69DF4A2E22D2}"/>
            </a:ext>
          </a:extLst>
        </xdr:cNvPr>
        <xdr:cNvSpPr/>
      </xdr:nvSpPr>
      <xdr:spPr>
        <a:xfrm>
          <a:off x="18493867" y="4614926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2550</xdr:row>
      <xdr:rowOff>9396</xdr:rowOff>
    </xdr:from>
    <xdr:ext cx="514857" cy="180627"/>
    <xdr:sp macro="_xll.PtreeEvent_ObjectClick" textlink="">
      <xdr:nvSpPr>
        <xdr:cNvPr id="5056" name="PTObj_DBranchName_1_1262">
          <a:extLst>
            <a:ext uri="{FF2B5EF4-FFF2-40B4-BE49-F238E27FC236}">
              <a16:creationId xmlns:a16="http://schemas.microsoft.com/office/drawing/2014/main" id="{D741DDBD-696A-4A8E-97F1-74D6651CEB03}"/>
            </a:ext>
          </a:extLst>
        </xdr:cNvPr>
        <xdr:cNvSpPr txBox="1"/>
      </xdr:nvSpPr>
      <xdr:spPr>
        <a:xfrm>
          <a:off x="17344834" y="4614956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2552</xdr:row>
      <xdr:rowOff>10170</xdr:rowOff>
    </xdr:from>
    <xdr:to>
      <xdr:col>11</xdr:col>
      <xdr:colOff>135383</xdr:colOff>
      <xdr:row>2553</xdr:row>
      <xdr:rowOff>15865</xdr:rowOff>
    </xdr:to>
    <xdr:sp macro="_xll.PtreeEvent_ObjectClick" textlink="">
      <xdr:nvSpPr>
        <xdr:cNvPr id="5057" name="PTObj_DNode_1_1263">
          <a:extLst>
            <a:ext uri="{FF2B5EF4-FFF2-40B4-BE49-F238E27FC236}">
              <a16:creationId xmlns:a16="http://schemas.microsoft.com/office/drawing/2014/main" id="{6956C057-B704-41EC-B6F0-72D4D2B5293C}"/>
            </a:ext>
          </a:extLst>
        </xdr:cNvPr>
        <xdr:cNvSpPr/>
      </xdr:nvSpPr>
      <xdr:spPr>
        <a:xfrm>
          <a:off x="19918807" y="4618583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2552</xdr:row>
      <xdr:rowOff>13216</xdr:rowOff>
    </xdr:from>
    <xdr:ext cx="514858" cy="180627"/>
    <xdr:sp macro="_xll.PtreeEvent_ObjectClick" textlink="">
      <xdr:nvSpPr>
        <xdr:cNvPr id="5060" name="PTObj_DBranchName_1_1263">
          <a:extLst>
            <a:ext uri="{FF2B5EF4-FFF2-40B4-BE49-F238E27FC236}">
              <a16:creationId xmlns:a16="http://schemas.microsoft.com/office/drawing/2014/main" id="{7605B441-012D-4905-A50D-D48C17343CA2}"/>
            </a:ext>
          </a:extLst>
        </xdr:cNvPr>
        <xdr:cNvSpPr txBox="1"/>
      </xdr:nvSpPr>
      <xdr:spPr>
        <a:xfrm>
          <a:off x="18768820" y="4618614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2554</xdr:row>
      <xdr:rowOff>20647</xdr:rowOff>
    </xdr:from>
    <xdr:to>
      <xdr:col>12</xdr:col>
      <xdr:colOff>132515</xdr:colOff>
      <xdr:row>2555</xdr:row>
      <xdr:rowOff>16837</xdr:rowOff>
    </xdr:to>
    <xdr:sp macro="_xll.PtreeEvent_ObjectClick" textlink="">
      <xdr:nvSpPr>
        <xdr:cNvPr id="5061" name="PTObj_DNode_1_1264">
          <a:extLst>
            <a:ext uri="{FF2B5EF4-FFF2-40B4-BE49-F238E27FC236}">
              <a16:creationId xmlns:a16="http://schemas.microsoft.com/office/drawing/2014/main" id="{1EBAA6AB-F3F5-41E1-A08C-C90BBF5C5C7D}"/>
            </a:ext>
          </a:extLst>
        </xdr:cNvPr>
        <xdr:cNvSpPr/>
      </xdr:nvSpPr>
      <xdr:spPr>
        <a:xfrm rot="-5400000">
          <a:off x="21347557" y="4622279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2554</xdr:row>
      <xdr:rowOff>18891</xdr:rowOff>
    </xdr:from>
    <xdr:ext cx="514858" cy="180627"/>
    <xdr:sp macro="_xll.PtreeEvent_ObjectClick" textlink="">
      <xdr:nvSpPr>
        <xdr:cNvPr id="5064" name="PTObj_DBranchName_1_1264">
          <a:extLst>
            <a:ext uri="{FF2B5EF4-FFF2-40B4-BE49-F238E27FC236}">
              <a16:creationId xmlns:a16="http://schemas.microsoft.com/office/drawing/2014/main" id="{77826BCA-9D6C-4E81-B48F-E192D0FF66D9}"/>
            </a:ext>
          </a:extLst>
        </xdr:cNvPr>
        <xdr:cNvSpPr txBox="1"/>
      </xdr:nvSpPr>
      <xdr:spPr>
        <a:xfrm>
          <a:off x="20188045" y="4622290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2558</xdr:row>
      <xdr:rowOff>21580</xdr:rowOff>
    </xdr:from>
    <xdr:to>
      <xdr:col>9</xdr:col>
      <xdr:colOff>154432</xdr:colOff>
      <xdr:row>2559</xdr:row>
      <xdr:rowOff>19655</xdr:rowOff>
    </xdr:to>
    <xdr:sp macro="_xll.PtreeEvent_ObjectClick" textlink="">
      <xdr:nvSpPr>
        <xdr:cNvPr id="5065" name="PTObj_DNode_1_1266">
          <a:extLst>
            <a:ext uri="{FF2B5EF4-FFF2-40B4-BE49-F238E27FC236}">
              <a16:creationId xmlns:a16="http://schemas.microsoft.com/office/drawing/2014/main" id="{0673A69D-447A-4960-9F8D-E796C25297AB}"/>
            </a:ext>
          </a:extLst>
        </xdr:cNvPr>
        <xdr:cNvSpPr/>
      </xdr:nvSpPr>
      <xdr:spPr>
        <a:xfrm>
          <a:off x="17068927" y="4629556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2558</xdr:row>
      <xdr:rowOff>18911</xdr:rowOff>
    </xdr:from>
    <xdr:ext cx="566520" cy="180627"/>
    <xdr:sp macro="_xll.PtreeEvent_ObjectClick" textlink="">
      <xdr:nvSpPr>
        <xdr:cNvPr id="5068" name="PTObj_DBranchName_1_1266">
          <a:extLst>
            <a:ext uri="{FF2B5EF4-FFF2-40B4-BE49-F238E27FC236}">
              <a16:creationId xmlns:a16="http://schemas.microsoft.com/office/drawing/2014/main" id="{B1784BE6-4CF3-4DCF-82E6-FE28AD94F280}"/>
            </a:ext>
          </a:extLst>
        </xdr:cNvPr>
        <xdr:cNvSpPr txBox="1"/>
      </xdr:nvSpPr>
      <xdr:spPr>
        <a:xfrm>
          <a:off x="15926563" y="4629529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2560</xdr:row>
      <xdr:rowOff>25400</xdr:rowOff>
    </xdr:from>
    <xdr:to>
      <xdr:col>10</xdr:col>
      <xdr:colOff>150622</xdr:colOff>
      <xdr:row>2561</xdr:row>
      <xdr:rowOff>21570</xdr:rowOff>
    </xdr:to>
    <xdr:sp macro="_xll.PtreeEvent_ObjectClick" textlink="">
      <xdr:nvSpPr>
        <xdr:cNvPr id="5069" name="PTObj_DNode_1_1267">
          <a:extLst>
            <a:ext uri="{FF2B5EF4-FFF2-40B4-BE49-F238E27FC236}">
              <a16:creationId xmlns:a16="http://schemas.microsoft.com/office/drawing/2014/main" id="{52780D45-6A88-455E-B2F3-BF3941880A3B}"/>
            </a:ext>
          </a:extLst>
        </xdr:cNvPr>
        <xdr:cNvSpPr/>
      </xdr:nvSpPr>
      <xdr:spPr>
        <a:xfrm>
          <a:off x="18493867" y="4633214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2560</xdr:row>
      <xdr:rowOff>22731</xdr:rowOff>
    </xdr:from>
    <xdr:ext cx="514857" cy="180627"/>
    <xdr:sp macro="_xll.PtreeEvent_ObjectClick" textlink="">
      <xdr:nvSpPr>
        <xdr:cNvPr id="5072" name="PTObj_DBranchName_1_1267">
          <a:extLst>
            <a:ext uri="{FF2B5EF4-FFF2-40B4-BE49-F238E27FC236}">
              <a16:creationId xmlns:a16="http://schemas.microsoft.com/office/drawing/2014/main" id="{B6D689FF-4751-446D-AB16-EC89FE753DE4}"/>
            </a:ext>
          </a:extLst>
        </xdr:cNvPr>
        <xdr:cNvSpPr txBox="1"/>
      </xdr:nvSpPr>
      <xdr:spPr>
        <a:xfrm>
          <a:off x="17344834" y="4633187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2562</xdr:row>
      <xdr:rowOff>29220</xdr:rowOff>
    </xdr:from>
    <xdr:to>
      <xdr:col>11</xdr:col>
      <xdr:colOff>135383</xdr:colOff>
      <xdr:row>2563</xdr:row>
      <xdr:rowOff>17770</xdr:rowOff>
    </xdr:to>
    <xdr:sp macro="_xll.PtreeEvent_ObjectClick" textlink="">
      <xdr:nvSpPr>
        <xdr:cNvPr id="5073" name="PTObj_DNode_1_1268">
          <a:extLst>
            <a:ext uri="{FF2B5EF4-FFF2-40B4-BE49-F238E27FC236}">
              <a16:creationId xmlns:a16="http://schemas.microsoft.com/office/drawing/2014/main" id="{90C514E4-1A40-40AF-898D-09104ECCF614}"/>
            </a:ext>
          </a:extLst>
        </xdr:cNvPr>
        <xdr:cNvSpPr/>
      </xdr:nvSpPr>
      <xdr:spPr>
        <a:xfrm>
          <a:off x="19918807" y="4636871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2562</xdr:row>
      <xdr:rowOff>28456</xdr:rowOff>
    </xdr:from>
    <xdr:ext cx="514858" cy="180627"/>
    <xdr:sp macro="_xll.PtreeEvent_ObjectClick" textlink="">
      <xdr:nvSpPr>
        <xdr:cNvPr id="5076" name="PTObj_DBranchName_1_1268">
          <a:extLst>
            <a:ext uri="{FF2B5EF4-FFF2-40B4-BE49-F238E27FC236}">
              <a16:creationId xmlns:a16="http://schemas.microsoft.com/office/drawing/2014/main" id="{8D83B7CA-4624-4A3B-B7E8-3573D0A35306}"/>
            </a:ext>
          </a:extLst>
        </xdr:cNvPr>
        <xdr:cNvSpPr txBox="1"/>
      </xdr:nvSpPr>
      <xdr:spPr>
        <a:xfrm>
          <a:off x="18768820" y="4636864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1388882</xdr:colOff>
      <xdr:row>2564</xdr:row>
      <xdr:rowOff>34935</xdr:rowOff>
    </xdr:from>
    <xdr:to>
      <xdr:col>12</xdr:col>
      <xdr:colOff>135372</xdr:colOff>
      <xdr:row>2565</xdr:row>
      <xdr:rowOff>21600</xdr:rowOff>
    </xdr:to>
    <xdr:sp macro="_xll.PtreeEvent_ObjectClick" textlink="">
      <xdr:nvSpPr>
        <xdr:cNvPr id="5077" name="PTObj_DNode_1_1269">
          <a:extLst>
            <a:ext uri="{FF2B5EF4-FFF2-40B4-BE49-F238E27FC236}">
              <a16:creationId xmlns:a16="http://schemas.microsoft.com/office/drawing/2014/main" id="{440D53A1-354A-40B0-A580-3E9CF1168EF4}"/>
            </a:ext>
          </a:extLst>
        </xdr:cNvPr>
        <xdr:cNvSpPr/>
      </xdr:nvSpPr>
      <xdr:spPr>
        <a:xfrm rot="-5400000">
          <a:off x="21347557" y="464051035"/>
          <a:ext cx="177165" cy="18476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2564</xdr:row>
      <xdr:rowOff>32226</xdr:rowOff>
    </xdr:from>
    <xdr:ext cx="514858" cy="180627"/>
    <xdr:sp macro="_xll.PtreeEvent_ObjectClick" textlink="">
      <xdr:nvSpPr>
        <xdr:cNvPr id="5080" name="PTObj_DBranchName_1_1269">
          <a:extLst>
            <a:ext uri="{FF2B5EF4-FFF2-40B4-BE49-F238E27FC236}">
              <a16:creationId xmlns:a16="http://schemas.microsoft.com/office/drawing/2014/main" id="{873F6EF3-D77D-4718-BA9F-C52A6F3832A3}"/>
            </a:ext>
          </a:extLst>
        </xdr:cNvPr>
        <xdr:cNvSpPr txBox="1"/>
      </xdr:nvSpPr>
      <xdr:spPr>
        <a:xfrm>
          <a:off x="20188045" y="4640521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7</xdr:col>
      <xdr:colOff>1404113</xdr:colOff>
      <xdr:row>2576</xdr:row>
      <xdr:rowOff>55860</xdr:rowOff>
    </xdr:from>
    <xdr:to>
      <xdr:col>8</xdr:col>
      <xdr:colOff>171578</xdr:colOff>
      <xdr:row>2577</xdr:row>
      <xdr:rowOff>53935</xdr:rowOff>
    </xdr:to>
    <xdr:sp macro="_xll.PtreeEvent_ObjectClick" textlink="">
      <xdr:nvSpPr>
        <xdr:cNvPr id="5081" name="PTObj_DNode_1_1275">
          <a:extLst>
            <a:ext uri="{FF2B5EF4-FFF2-40B4-BE49-F238E27FC236}">
              <a16:creationId xmlns:a16="http://schemas.microsoft.com/office/drawing/2014/main" id="{C8D4FE9E-1709-478A-A25A-DE7275ADB1CB}"/>
            </a:ext>
          </a:extLst>
        </xdr:cNvPr>
        <xdr:cNvSpPr/>
      </xdr:nvSpPr>
      <xdr:spPr>
        <a:xfrm>
          <a:off x="15643988" y="46624746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258890</xdr:colOff>
      <xdr:row>2576</xdr:row>
      <xdr:rowOff>60811</xdr:rowOff>
    </xdr:from>
    <xdr:ext cx="566520" cy="180627"/>
    <xdr:sp macro="_xll.PtreeEvent_ObjectClick" textlink="">
      <xdr:nvSpPr>
        <xdr:cNvPr id="5084" name="PTObj_DBranchName_1_1275">
          <a:extLst>
            <a:ext uri="{FF2B5EF4-FFF2-40B4-BE49-F238E27FC236}">
              <a16:creationId xmlns:a16="http://schemas.microsoft.com/office/drawing/2014/main" id="{B1F7F2EA-A6E4-44C1-962E-C7D9B25E4EBE}"/>
            </a:ext>
          </a:extLst>
        </xdr:cNvPr>
        <xdr:cNvSpPr txBox="1"/>
      </xdr:nvSpPr>
      <xdr:spPr>
        <a:xfrm>
          <a:off x="14498765" y="46625241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8</xdr:col>
      <xdr:colOff>1400302</xdr:colOff>
      <xdr:row>2568</xdr:row>
      <xdr:rowOff>40630</xdr:rowOff>
    </xdr:from>
    <xdr:to>
      <xdr:col>9</xdr:col>
      <xdr:colOff>154432</xdr:colOff>
      <xdr:row>2569</xdr:row>
      <xdr:rowOff>57755</xdr:rowOff>
    </xdr:to>
    <xdr:sp macro="_xll.PtreeEvent_ObjectClick" textlink="">
      <xdr:nvSpPr>
        <xdr:cNvPr id="5085" name="PTObj_DNode_1_1271">
          <a:extLst>
            <a:ext uri="{FF2B5EF4-FFF2-40B4-BE49-F238E27FC236}">
              <a16:creationId xmlns:a16="http://schemas.microsoft.com/office/drawing/2014/main" id="{2DF0A8F0-8966-4005-92C2-879070AA6D4F}"/>
            </a:ext>
          </a:extLst>
        </xdr:cNvPr>
        <xdr:cNvSpPr/>
      </xdr:nvSpPr>
      <xdr:spPr>
        <a:xfrm>
          <a:off x="17068927" y="4647844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254127</xdr:colOff>
      <xdr:row>2568</xdr:row>
      <xdr:rowOff>41771</xdr:rowOff>
    </xdr:from>
    <xdr:ext cx="566519" cy="180627"/>
    <xdr:sp macro="_xll.PtreeEvent_ObjectClick" textlink="">
      <xdr:nvSpPr>
        <xdr:cNvPr id="5088" name="PTObj_DBranchName_1_1271">
          <a:extLst>
            <a:ext uri="{FF2B5EF4-FFF2-40B4-BE49-F238E27FC236}">
              <a16:creationId xmlns:a16="http://schemas.microsoft.com/office/drawing/2014/main" id="{17FC3E61-CB01-4948-ADDD-5B3BA968E588}"/>
            </a:ext>
          </a:extLst>
        </xdr:cNvPr>
        <xdr:cNvSpPr txBox="1"/>
      </xdr:nvSpPr>
      <xdr:spPr>
        <a:xfrm>
          <a:off x="15922752" y="464785571"/>
          <a:ext cx="5665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#1</a:t>
          </a:r>
        </a:p>
      </xdr:txBody>
    </xdr:sp>
    <xdr:clientData/>
  </xdr:oneCellAnchor>
  <xdr:twoCellAnchor editAs="oneCell">
    <xdr:from>
      <xdr:col>9</xdr:col>
      <xdr:colOff>1396492</xdr:colOff>
      <xdr:row>2570</xdr:row>
      <xdr:rowOff>44450</xdr:rowOff>
    </xdr:from>
    <xdr:to>
      <xdr:col>10</xdr:col>
      <xdr:colOff>150622</xdr:colOff>
      <xdr:row>2571</xdr:row>
      <xdr:rowOff>53955</xdr:rowOff>
    </xdr:to>
    <xdr:sp macro="_xll.PtreeEvent_ObjectClick" textlink="">
      <xdr:nvSpPr>
        <xdr:cNvPr id="5089" name="PTObj_DNode_1_1272">
          <a:extLst>
            <a:ext uri="{FF2B5EF4-FFF2-40B4-BE49-F238E27FC236}">
              <a16:creationId xmlns:a16="http://schemas.microsoft.com/office/drawing/2014/main" id="{A358BEDB-D4CA-4E55-AA4C-8F15174EFD34}"/>
            </a:ext>
          </a:extLst>
        </xdr:cNvPr>
        <xdr:cNvSpPr/>
      </xdr:nvSpPr>
      <xdr:spPr>
        <a:xfrm>
          <a:off x="18493867" y="4651502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2570</xdr:row>
      <xdr:rowOff>47496</xdr:rowOff>
    </xdr:from>
    <xdr:ext cx="514857" cy="180627"/>
    <xdr:sp macro="_xll.PtreeEvent_ObjectClick" textlink="">
      <xdr:nvSpPr>
        <xdr:cNvPr id="5092" name="PTObj_DBranchName_1_1272">
          <a:extLst>
            <a:ext uri="{FF2B5EF4-FFF2-40B4-BE49-F238E27FC236}">
              <a16:creationId xmlns:a16="http://schemas.microsoft.com/office/drawing/2014/main" id="{8CAEFAE4-7DCF-450E-81BA-BB9F129ED2D8}"/>
            </a:ext>
          </a:extLst>
        </xdr:cNvPr>
        <xdr:cNvSpPr txBox="1"/>
      </xdr:nvSpPr>
      <xdr:spPr>
        <a:xfrm>
          <a:off x="17344834" y="465153246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2572</xdr:row>
      <xdr:rowOff>48270</xdr:rowOff>
    </xdr:from>
    <xdr:to>
      <xdr:col>11</xdr:col>
      <xdr:colOff>131573</xdr:colOff>
      <xdr:row>2573</xdr:row>
      <xdr:rowOff>57775</xdr:rowOff>
    </xdr:to>
    <xdr:sp macro="_xll.PtreeEvent_ObjectClick" textlink="">
      <xdr:nvSpPr>
        <xdr:cNvPr id="5093" name="PTObj_DNode_1_1273">
          <a:extLst>
            <a:ext uri="{FF2B5EF4-FFF2-40B4-BE49-F238E27FC236}">
              <a16:creationId xmlns:a16="http://schemas.microsoft.com/office/drawing/2014/main" id="{F1C72043-01BE-4E8D-ABC3-AB37D322A030}"/>
            </a:ext>
          </a:extLst>
        </xdr:cNvPr>
        <xdr:cNvSpPr/>
      </xdr:nvSpPr>
      <xdr:spPr>
        <a:xfrm>
          <a:off x="19918807" y="4655159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2572</xdr:row>
      <xdr:rowOff>51316</xdr:rowOff>
    </xdr:from>
    <xdr:ext cx="514858" cy="180627"/>
    <xdr:sp macro="_xll.PtreeEvent_ObjectClick" textlink="">
      <xdr:nvSpPr>
        <xdr:cNvPr id="5096" name="PTObj_DBranchName_1_1273">
          <a:extLst>
            <a:ext uri="{FF2B5EF4-FFF2-40B4-BE49-F238E27FC236}">
              <a16:creationId xmlns:a16="http://schemas.microsoft.com/office/drawing/2014/main" id="{CC1A51BC-2F26-410C-A35D-52AA53A580D6}"/>
            </a:ext>
          </a:extLst>
        </xdr:cNvPr>
        <xdr:cNvSpPr txBox="1"/>
      </xdr:nvSpPr>
      <xdr:spPr>
        <a:xfrm>
          <a:off x="18768820" y="46551901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1389835</xdr:colOff>
      <xdr:row>2574</xdr:row>
      <xdr:rowOff>58747</xdr:rowOff>
    </xdr:from>
    <xdr:to>
      <xdr:col>12</xdr:col>
      <xdr:colOff>136325</xdr:colOff>
      <xdr:row>2575</xdr:row>
      <xdr:rowOff>58747</xdr:rowOff>
    </xdr:to>
    <xdr:sp macro="_xll.PtreeEvent_ObjectClick" textlink="">
      <xdr:nvSpPr>
        <xdr:cNvPr id="5097" name="PTObj_DNode_1_1274">
          <a:extLst>
            <a:ext uri="{FF2B5EF4-FFF2-40B4-BE49-F238E27FC236}">
              <a16:creationId xmlns:a16="http://schemas.microsoft.com/office/drawing/2014/main" id="{6728F7EE-1764-40B4-AF9A-9B231FF74578}"/>
            </a:ext>
          </a:extLst>
        </xdr:cNvPr>
        <xdr:cNvSpPr/>
      </xdr:nvSpPr>
      <xdr:spPr>
        <a:xfrm rot="-5400000">
          <a:off x="21347557" y="465885550"/>
          <a:ext cx="177165" cy="18286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2574</xdr:row>
      <xdr:rowOff>56991</xdr:rowOff>
    </xdr:from>
    <xdr:ext cx="514858" cy="180627"/>
    <xdr:sp macro="_xll.PtreeEvent_ObjectClick" textlink="">
      <xdr:nvSpPr>
        <xdr:cNvPr id="5100" name="PTObj_DBranchName_1_1274">
          <a:extLst>
            <a:ext uri="{FF2B5EF4-FFF2-40B4-BE49-F238E27FC236}">
              <a16:creationId xmlns:a16="http://schemas.microsoft.com/office/drawing/2014/main" id="{CE3C4667-B441-4AF7-A33F-0A9492D23F8A}"/>
            </a:ext>
          </a:extLst>
        </xdr:cNvPr>
        <xdr:cNvSpPr txBox="1"/>
      </xdr:nvSpPr>
      <xdr:spPr>
        <a:xfrm>
          <a:off x="20188045" y="465886641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8</xdr:col>
      <xdr:colOff>1400302</xdr:colOff>
      <xdr:row>2578</xdr:row>
      <xdr:rowOff>59680</xdr:rowOff>
    </xdr:from>
    <xdr:to>
      <xdr:col>9</xdr:col>
      <xdr:colOff>154432</xdr:colOff>
      <xdr:row>2579</xdr:row>
      <xdr:rowOff>53945</xdr:rowOff>
    </xdr:to>
    <xdr:sp macro="_xll.PtreeEvent_ObjectClick" textlink="">
      <xdr:nvSpPr>
        <xdr:cNvPr id="5101" name="PTObj_DNode_1_1276">
          <a:extLst>
            <a:ext uri="{FF2B5EF4-FFF2-40B4-BE49-F238E27FC236}">
              <a16:creationId xmlns:a16="http://schemas.microsoft.com/office/drawing/2014/main" id="{F90BDF3D-9B7B-486E-AFF4-A0319D66949A}"/>
            </a:ext>
          </a:extLst>
        </xdr:cNvPr>
        <xdr:cNvSpPr/>
      </xdr:nvSpPr>
      <xdr:spPr>
        <a:xfrm>
          <a:off x="17068927" y="46661323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257938</xdr:colOff>
      <xdr:row>2578</xdr:row>
      <xdr:rowOff>57011</xdr:rowOff>
    </xdr:from>
    <xdr:ext cx="566520" cy="180627"/>
    <xdr:sp macro="_xll.PtreeEvent_ObjectClick" textlink="">
      <xdr:nvSpPr>
        <xdr:cNvPr id="5104" name="PTObj_DBranchName_1_1276">
          <a:extLst>
            <a:ext uri="{FF2B5EF4-FFF2-40B4-BE49-F238E27FC236}">
              <a16:creationId xmlns:a16="http://schemas.microsoft.com/office/drawing/2014/main" id="{552D08AF-83B2-448C-B6D5-0D4B16C9CF20}"/>
            </a:ext>
          </a:extLst>
        </xdr:cNvPr>
        <xdr:cNvSpPr txBox="1"/>
      </xdr:nvSpPr>
      <xdr:spPr>
        <a:xfrm>
          <a:off x="15926563" y="466610561"/>
          <a:ext cx="5665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Outcome #2</a:t>
          </a:r>
        </a:p>
      </xdr:txBody>
    </xdr:sp>
    <xdr:clientData/>
  </xdr:oneCellAnchor>
  <xdr:twoCellAnchor editAs="oneCell">
    <xdr:from>
      <xdr:col>9</xdr:col>
      <xdr:colOff>1396492</xdr:colOff>
      <xdr:row>2580</xdr:row>
      <xdr:rowOff>63500</xdr:rowOff>
    </xdr:from>
    <xdr:to>
      <xdr:col>10</xdr:col>
      <xdr:colOff>150622</xdr:colOff>
      <xdr:row>2581</xdr:row>
      <xdr:rowOff>55860</xdr:rowOff>
    </xdr:to>
    <xdr:sp macro="_xll.PtreeEvent_ObjectClick" textlink="">
      <xdr:nvSpPr>
        <xdr:cNvPr id="5105" name="PTObj_DNode_1_1277">
          <a:extLst>
            <a:ext uri="{FF2B5EF4-FFF2-40B4-BE49-F238E27FC236}">
              <a16:creationId xmlns:a16="http://schemas.microsoft.com/office/drawing/2014/main" id="{86D38383-B746-4416-A67E-3F64B29C5DB2}"/>
            </a:ext>
          </a:extLst>
        </xdr:cNvPr>
        <xdr:cNvSpPr/>
      </xdr:nvSpPr>
      <xdr:spPr>
        <a:xfrm>
          <a:off x="18493867" y="466979000"/>
          <a:ext cx="182880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247459</xdr:colOff>
      <xdr:row>2580</xdr:row>
      <xdr:rowOff>60831</xdr:rowOff>
    </xdr:from>
    <xdr:ext cx="514857" cy="180627"/>
    <xdr:sp macro="_xll.PtreeEvent_ObjectClick" textlink="">
      <xdr:nvSpPr>
        <xdr:cNvPr id="5108" name="PTObj_DBranchName_1_1277">
          <a:extLst>
            <a:ext uri="{FF2B5EF4-FFF2-40B4-BE49-F238E27FC236}">
              <a16:creationId xmlns:a16="http://schemas.microsoft.com/office/drawing/2014/main" id="{75C7EC87-5D28-4FF7-A373-07A48CB36BB5}"/>
            </a:ext>
          </a:extLst>
        </xdr:cNvPr>
        <xdr:cNvSpPr txBox="1"/>
      </xdr:nvSpPr>
      <xdr:spPr>
        <a:xfrm>
          <a:off x="17344834" y="466976331"/>
          <a:ext cx="5148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10</xdr:col>
      <xdr:colOff>1392682</xdr:colOff>
      <xdr:row>2582</xdr:row>
      <xdr:rowOff>67320</xdr:rowOff>
    </xdr:from>
    <xdr:to>
      <xdr:col>11</xdr:col>
      <xdr:colOff>139193</xdr:colOff>
      <xdr:row>2583</xdr:row>
      <xdr:rowOff>59680</xdr:rowOff>
    </xdr:to>
    <xdr:sp macro="_xll.PtreeEvent_ObjectClick" textlink="">
      <xdr:nvSpPr>
        <xdr:cNvPr id="5109" name="PTObj_DNode_1_1278">
          <a:extLst>
            <a:ext uri="{FF2B5EF4-FFF2-40B4-BE49-F238E27FC236}">
              <a16:creationId xmlns:a16="http://schemas.microsoft.com/office/drawing/2014/main" id="{C95515FF-EC6E-4C7A-B3DE-679999238F8E}"/>
            </a:ext>
          </a:extLst>
        </xdr:cNvPr>
        <xdr:cNvSpPr/>
      </xdr:nvSpPr>
      <xdr:spPr>
        <a:xfrm>
          <a:off x="19918807" y="467344770"/>
          <a:ext cx="182881" cy="18286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242695</xdr:colOff>
      <xdr:row>2582</xdr:row>
      <xdr:rowOff>66556</xdr:rowOff>
    </xdr:from>
    <xdr:ext cx="514858" cy="180627"/>
    <xdr:sp macro="_xll.PtreeEvent_ObjectClick" textlink="">
      <xdr:nvSpPr>
        <xdr:cNvPr id="5112" name="PTObj_DBranchName_1_1278">
          <a:extLst>
            <a:ext uri="{FF2B5EF4-FFF2-40B4-BE49-F238E27FC236}">
              <a16:creationId xmlns:a16="http://schemas.microsoft.com/office/drawing/2014/main" id="{8AD97E57-EB40-4D22-A44E-3DC214338E81}"/>
            </a:ext>
          </a:extLst>
        </xdr:cNvPr>
        <xdr:cNvSpPr txBox="1"/>
      </xdr:nvSpPr>
      <xdr:spPr>
        <a:xfrm>
          <a:off x="18768820" y="46734400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  <xdr:twoCellAnchor editAs="oneCell">
    <xdr:from>
      <xdr:col>11</xdr:col>
      <xdr:colOff>1388882</xdr:colOff>
      <xdr:row>2584</xdr:row>
      <xdr:rowOff>73035</xdr:rowOff>
    </xdr:from>
    <xdr:to>
      <xdr:col>12</xdr:col>
      <xdr:colOff>139182</xdr:colOff>
      <xdr:row>2585</xdr:row>
      <xdr:rowOff>63510</xdr:rowOff>
    </xdr:to>
    <xdr:sp macro="_xll.PtreeEvent_ObjectClick" textlink="">
      <xdr:nvSpPr>
        <xdr:cNvPr id="5113" name="PTObj_DNode_1_1279">
          <a:extLst>
            <a:ext uri="{FF2B5EF4-FFF2-40B4-BE49-F238E27FC236}">
              <a16:creationId xmlns:a16="http://schemas.microsoft.com/office/drawing/2014/main" id="{B659BDC1-ED64-4992-8D2F-23F36ABAC8B4}"/>
            </a:ext>
          </a:extLst>
        </xdr:cNvPr>
        <xdr:cNvSpPr/>
      </xdr:nvSpPr>
      <xdr:spPr>
        <a:xfrm rot="-5400000">
          <a:off x="21347557" y="467708635"/>
          <a:ext cx="177165" cy="18476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233170</xdr:colOff>
      <xdr:row>2584</xdr:row>
      <xdr:rowOff>70326</xdr:rowOff>
    </xdr:from>
    <xdr:ext cx="514858" cy="180627"/>
    <xdr:sp macro="_xll.PtreeEvent_ObjectClick" textlink="">
      <xdr:nvSpPr>
        <xdr:cNvPr id="5116" name="PTObj_DBranchName_1_1279">
          <a:extLst>
            <a:ext uri="{FF2B5EF4-FFF2-40B4-BE49-F238E27FC236}">
              <a16:creationId xmlns:a16="http://schemas.microsoft.com/office/drawing/2014/main" id="{40C2A2D9-8BE6-46BB-A6CB-DE6606235760}"/>
            </a:ext>
          </a:extLst>
        </xdr:cNvPr>
        <xdr:cNvSpPr txBox="1"/>
      </xdr:nvSpPr>
      <xdr:spPr>
        <a:xfrm>
          <a:off x="20188045" y="467709726"/>
          <a:ext cx="5148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Calculation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383540</xdr:colOff>
      <xdr:row>24</xdr:row>
      <xdr:rowOff>74655</xdr:rowOff>
    </xdr:from>
    <xdr:to>
      <xdr:col>10</xdr:col>
      <xdr:colOff>30480</xdr:colOff>
      <xdr:row>27</xdr:row>
      <xdr:rowOff>99335</xdr:rowOff>
    </xdr:to>
    <xdr:cxnSp macro="_xll.PtreeEvent_ObjectClick">
      <xdr:nvCxnSpPr>
        <xdr:cNvPr id="40" name="PTObj_IDiagArc_3_6">
          <a:extLst>
            <a:ext uri="{FF2B5EF4-FFF2-40B4-BE49-F238E27FC236}">
              <a16:creationId xmlns:a16="http://schemas.microsoft.com/office/drawing/2014/main" id="{39B2286D-5199-4B15-83E6-5EB91D225A51}"/>
            </a:ext>
          </a:extLst>
        </xdr:cNvPr>
        <xdr:cNvCxnSpPr/>
      </xdr:nvCxnSpPr>
      <xdr:spPr>
        <a:xfrm flipV="1">
          <a:off x="5839460" y="4608555"/>
          <a:ext cx="1567180" cy="57332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13970</xdr:colOff>
      <xdr:row>13</xdr:row>
      <xdr:rowOff>31186</xdr:rowOff>
    </xdr:from>
    <xdr:to>
      <xdr:col>10</xdr:col>
      <xdr:colOff>7620</xdr:colOff>
      <xdr:row>17</xdr:row>
      <xdr:rowOff>169475</xdr:rowOff>
    </xdr:to>
    <xdr:cxnSp macro="_xll.PtreeEvent_ObjectClick">
      <xdr:nvCxnSpPr>
        <xdr:cNvPr id="39" name="PTObj_IDiagArc_3_5">
          <a:extLst>
            <a:ext uri="{FF2B5EF4-FFF2-40B4-BE49-F238E27FC236}">
              <a16:creationId xmlns:a16="http://schemas.microsoft.com/office/drawing/2014/main" id="{0EEBE784-1129-45A4-9C2A-DCD5AAC84C52}"/>
            </a:ext>
          </a:extLst>
        </xdr:cNvPr>
        <xdr:cNvCxnSpPr/>
      </xdr:nvCxnSpPr>
      <xdr:spPr>
        <a:xfrm flipV="1">
          <a:off x="6109970" y="2553406"/>
          <a:ext cx="1273810" cy="869809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375920</xdr:colOff>
      <xdr:row>11</xdr:row>
      <xdr:rowOff>152614</xdr:rowOff>
    </xdr:from>
    <xdr:to>
      <xdr:col>10</xdr:col>
      <xdr:colOff>7620</xdr:colOff>
      <xdr:row>15</xdr:row>
      <xdr:rowOff>13756</xdr:rowOff>
    </xdr:to>
    <xdr:cxnSp macro="_xll.PtreeEvent_ObjectClick">
      <xdr:nvCxnSpPr>
        <xdr:cNvPr id="38" name="PTObj_IDiagArc_3_4">
          <a:extLst>
            <a:ext uri="{FF2B5EF4-FFF2-40B4-BE49-F238E27FC236}">
              <a16:creationId xmlns:a16="http://schemas.microsoft.com/office/drawing/2014/main" id="{3949E547-0303-4000-ACB5-8E25CEE4BB23}"/>
            </a:ext>
          </a:extLst>
        </xdr:cNvPr>
        <xdr:cNvCxnSpPr/>
      </xdr:nvCxnSpPr>
      <xdr:spPr>
        <a:xfrm flipV="1">
          <a:off x="4551680" y="2309074"/>
          <a:ext cx="2832100" cy="59266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316185</xdr:colOff>
      <xdr:row>9</xdr:row>
      <xdr:rowOff>77814</xdr:rowOff>
    </xdr:from>
    <xdr:to>
      <xdr:col>10</xdr:col>
      <xdr:colOff>7620</xdr:colOff>
      <xdr:row>10</xdr:row>
      <xdr:rowOff>148491</xdr:rowOff>
    </xdr:to>
    <xdr:cxnSp macro="_xll.PtreeEvent_ObjectClick">
      <xdr:nvCxnSpPr>
        <xdr:cNvPr id="37" name="PTObj_IDiagArc_3_3">
          <a:extLst>
            <a:ext uri="{FF2B5EF4-FFF2-40B4-BE49-F238E27FC236}">
              <a16:creationId xmlns:a16="http://schemas.microsoft.com/office/drawing/2014/main" id="{0C1AB48D-3ACF-4EC5-B6A6-9656BF74FBAC}"/>
            </a:ext>
          </a:extLst>
        </xdr:cNvPr>
        <xdr:cNvCxnSpPr/>
      </xdr:nvCxnSpPr>
      <xdr:spPr>
        <a:xfrm>
          <a:off x="5772105" y="1868514"/>
          <a:ext cx="1611675" cy="25355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406400</xdr:colOff>
      <xdr:row>16</xdr:row>
      <xdr:rowOff>175113</xdr:rowOff>
    </xdr:from>
    <xdr:to>
      <xdr:col>13</xdr:col>
      <xdr:colOff>215753</xdr:colOff>
      <xdr:row>21</xdr:row>
      <xdr:rowOff>60576</xdr:rowOff>
    </xdr:to>
    <xdr:cxnSp macro="_xll.PtreeEvent_ObjectClick">
      <xdr:nvCxnSpPr>
        <xdr:cNvPr id="36" name="PTObj_IDiagArc_3_2">
          <a:extLst>
            <a:ext uri="{FF2B5EF4-FFF2-40B4-BE49-F238E27FC236}">
              <a16:creationId xmlns:a16="http://schemas.microsoft.com/office/drawing/2014/main" id="{ABC125B4-E97E-4D44-8BF8-00D29463833B}"/>
            </a:ext>
          </a:extLst>
        </xdr:cNvPr>
        <xdr:cNvCxnSpPr/>
      </xdr:nvCxnSpPr>
      <xdr:spPr>
        <a:xfrm flipV="1">
          <a:off x="8422640" y="3245973"/>
          <a:ext cx="1089513" cy="79986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383540</xdr:colOff>
      <xdr:row>12</xdr:row>
      <xdr:rowOff>82785</xdr:rowOff>
    </xdr:from>
    <xdr:to>
      <xdr:col>13</xdr:col>
      <xdr:colOff>152871</xdr:colOff>
      <xdr:row>14</xdr:row>
      <xdr:rowOff>172250</xdr:rowOff>
    </xdr:to>
    <xdr:cxnSp macro="_xll.PtreeEvent_ObjectClick">
      <xdr:nvCxnSpPr>
        <xdr:cNvPr id="35" name="PTObj_IDiagArc_3_1">
          <a:extLst>
            <a:ext uri="{FF2B5EF4-FFF2-40B4-BE49-F238E27FC236}">
              <a16:creationId xmlns:a16="http://schemas.microsoft.com/office/drawing/2014/main" id="{75273684-6F06-4030-A35E-DA71C72F1CE6}"/>
            </a:ext>
          </a:extLst>
        </xdr:cNvPr>
        <xdr:cNvCxnSpPr/>
      </xdr:nvCxnSpPr>
      <xdr:spPr>
        <a:xfrm>
          <a:off x="8399780" y="2422125"/>
          <a:ext cx="1049491" cy="455225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731754</xdr:colOff>
      <xdr:row>0</xdr:row>
      <xdr:rowOff>67801</xdr:rowOff>
    </xdr:from>
    <xdr:to>
      <xdr:col>1</xdr:col>
      <xdr:colOff>396006</xdr:colOff>
      <xdr:row>0</xdr:row>
      <xdr:rowOff>248428</xdr:rowOff>
    </xdr:to>
    <xdr:sp macro="_xll.PtreeEvent_ObjectClick" textlink="">
      <xdr:nvSpPr>
        <xdr:cNvPr id="2" name="PTObj_IDiagName_3_0">
          <a:extLst>
            <a:ext uri="{FF2B5EF4-FFF2-40B4-BE49-F238E27FC236}">
              <a16:creationId xmlns:a16="http://schemas.microsoft.com/office/drawing/2014/main" id="{972FAAB0-EB36-4DC0-A09D-08E5616579F4}"/>
            </a:ext>
          </a:extLst>
        </xdr:cNvPr>
        <xdr:cNvSpPr txBox="1"/>
      </xdr:nvSpPr>
      <xdr:spPr>
        <a:xfrm>
          <a:off x="731754" y="67801"/>
          <a:ext cx="79201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Slack going public</a:t>
          </a:r>
        </a:p>
      </xdr:txBody>
    </xdr:sp>
    <xdr:clientData/>
  </xdr:twoCellAnchor>
  <xdr:twoCellAnchor editAs="absolute">
    <xdr:from>
      <xdr:col>13</xdr:col>
      <xdr:colOff>0</xdr:colOff>
      <xdr:row>13</xdr:row>
      <xdr:rowOff>0</xdr:rowOff>
    </xdr:from>
    <xdr:to>
      <xdr:col>14</xdr:col>
      <xdr:colOff>375920</xdr:colOff>
      <xdr:row>18</xdr:row>
      <xdr:rowOff>101600</xdr:rowOff>
    </xdr:to>
    <xdr:sp macro="" textlink="">
      <xdr:nvSpPr>
        <xdr:cNvPr id="5" name="PTObj_IDiagNode_3_1">
          <a:extLst>
            <a:ext uri="{FF2B5EF4-FFF2-40B4-BE49-F238E27FC236}">
              <a16:creationId xmlns:a16="http://schemas.microsoft.com/office/drawing/2014/main" id="{1DEBE78C-878A-4025-A44A-983F233EAAE5}"/>
            </a:ext>
          </a:extLst>
        </xdr:cNvPr>
        <xdr:cNvSpPr/>
      </xdr:nvSpPr>
      <xdr:spPr>
        <a:xfrm>
          <a:off x="9296400" y="2522220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220742</xdr:colOff>
      <xdr:row>15</xdr:row>
      <xdr:rowOff>51927</xdr:rowOff>
    </xdr:from>
    <xdr:to>
      <xdr:col>14</xdr:col>
      <xdr:colOff>155178</xdr:colOff>
      <xdr:row>16</xdr:row>
      <xdr:rowOff>49674</xdr:rowOff>
    </xdr:to>
    <xdr:sp macro="_xll.PtreeEvent_ObjectClick" textlink="">
      <xdr:nvSpPr>
        <xdr:cNvPr id="6" name="PTObj_IDiagNodeTxt_3_1">
          <a:extLst>
            <a:ext uri="{FF2B5EF4-FFF2-40B4-BE49-F238E27FC236}">
              <a16:creationId xmlns:a16="http://schemas.microsoft.com/office/drawing/2014/main" id="{F674C2A2-4342-4E48-9D90-201F36AD24CE}"/>
            </a:ext>
          </a:extLst>
        </xdr:cNvPr>
        <xdr:cNvSpPr txBox="1"/>
      </xdr:nvSpPr>
      <xdr:spPr>
        <a:xfrm>
          <a:off x="9517142" y="2939907"/>
          <a:ext cx="57451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Going Public</a:t>
          </a:r>
        </a:p>
      </xdr:txBody>
    </xdr:sp>
    <xdr:clientData/>
  </xdr:twoCellAnchor>
  <xdr:twoCellAnchor editAs="absolute">
    <xdr:from>
      <xdr:col>10</xdr:col>
      <xdr:colOff>30480</xdr:colOff>
      <xdr:row>20</xdr:row>
      <xdr:rowOff>110490</xdr:rowOff>
    </xdr:from>
    <xdr:to>
      <xdr:col>11</xdr:col>
      <xdr:colOff>406400</xdr:colOff>
      <xdr:row>26</xdr:row>
      <xdr:rowOff>29210</xdr:rowOff>
    </xdr:to>
    <xdr:sp macro="" textlink="">
      <xdr:nvSpPr>
        <xdr:cNvPr id="15" name="PTObj_IDiagNode_3_3">
          <a:extLst>
            <a:ext uri="{FF2B5EF4-FFF2-40B4-BE49-F238E27FC236}">
              <a16:creationId xmlns:a16="http://schemas.microsoft.com/office/drawing/2014/main" id="{58228449-E3BF-4EB3-87E9-575E495D262B}"/>
            </a:ext>
          </a:extLst>
        </xdr:cNvPr>
        <xdr:cNvSpPr/>
      </xdr:nvSpPr>
      <xdr:spPr>
        <a:xfrm>
          <a:off x="7406640" y="3912870"/>
          <a:ext cx="1016000" cy="101600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240097</xdr:colOff>
      <xdr:row>22</xdr:row>
      <xdr:rowOff>162417</xdr:rowOff>
    </xdr:from>
    <xdr:to>
      <xdr:col>11</xdr:col>
      <xdr:colOff>196783</xdr:colOff>
      <xdr:row>23</xdr:row>
      <xdr:rowOff>160164</xdr:rowOff>
    </xdr:to>
    <xdr:sp macro="_xll.PtreeEvent_ObjectClick" textlink="">
      <xdr:nvSpPr>
        <xdr:cNvPr id="16" name="PTObj_IDiagNodeTxt_3_3">
          <a:extLst>
            <a:ext uri="{FF2B5EF4-FFF2-40B4-BE49-F238E27FC236}">
              <a16:creationId xmlns:a16="http://schemas.microsoft.com/office/drawing/2014/main" id="{F7AC6934-111E-459E-BBEF-2C01DEB338D1}"/>
            </a:ext>
          </a:extLst>
        </xdr:cNvPr>
        <xdr:cNvSpPr txBox="1"/>
      </xdr:nvSpPr>
      <xdr:spPr>
        <a:xfrm>
          <a:off x="7616257" y="4330557"/>
          <a:ext cx="59676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Direct Listing</a:t>
          </a:r>
        </a:p>
      </xdr:txBody>
    </xdr:sp>
    <xdr:clientData/>
  </xdr:twoCellAnchor>
  <xdr:twoCellAnchor editAs="absolute">
    <xdr:from>
      <xdr:col>5</xdr:col>
      <xdr:colOff>586740</xdr:colOff>
      <xdr:row>6</xdr:row>
      <xdr:rowOff>38100</xdr:rowOff>
    </xdr:from>
    <xdr:to>
      <xdr:col>7</xdr:col>
      <xdr:colOff>322580</xdr:colOff>
      <xdr:row>11</xdr:row>
      <xdr:rowOff>139700</xdr:rowOff>
    </xdr:to>
    <xdr:sp macro="" textlink="">
      <xdr:nvSpPr>
        <xdr:cNvPr id="19" name="PTObj_IDiagNode_3_4">
          <a:extLst>
            <a:ext uri="{FF2B5EF4-FFF2-40B4-BE49-F238E27FC236}">
              <a16:creationId xmlns:a16="http://schemas.microsoft.com/office/drawing/2014/main" id="{DD758329-58EB-4F95-9B54-239040D25261}"/>
            </a:ext>
          </a:extLst>
        </xdr:cNvPr>
        <xdr:cNvSpPr/>
      </xdr:nvSpPr>
      <xdr:spPr>
        <a:xfrm>
          <a:off x="4762500" y="128016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119280</xdr:colOff>
      <xdr:row>8</xdr:row>
      <xdr:rowOff>90027</xdr:rowOff>
    </xdr:from>
    <xdr:to>
      <xdr:col>7</xdr:col>
      <xdr:colOff>149961</xdr:colOff>
      <xdr:row>9</xdr:row>
      <xdr:rowOff>87774</xdr:rowOff>
    </xdr:to>
    <xdr:sp macro="_xll.PtreeEvent_ObjectClick" textlink="">
      <xdr:nvSpPr>
        <xdr:cNvPr id="20" name="PTObj_IDiagNodeTxt_3_4">
          <a:extLst>
            <a:ext uri="{FF2B5EF4-FFF2-40B4-BE49-F238E27FC236}">
              <a16:creationId xmlns:a16="http://schemas.microsoft.com/office/drawing/2014/main" id="{DF33C4F6-546F-4584-B103-210C8898640C}"/>
            </a:ext>
          </a:extLst>
        </xdr:cNvPr>
        <xdr:cNvSpPr txBox="1"/>
      </xdr:nvSpPr>
      <xdr:spPr>
        <a:xfrm>
          <a:off x="4935120" y="1697847"/>
          <a:ext cx="670761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New Countries</a:t>
          </a:r>
        </a:p>
      </xdr:txBody>
    </xdr:sp>
    <xdr:clientData/>
  </xdr:twoCellAnchor>
  <xdr:twoCellAnchor editAs="absolute">
    <xdr:from>
      <xdr:col>4</xdr:col>
      <xdr:colOff>0</xdr:colOff>
      <xdr:row>12</xdr:row>
      <xdr:rowOff>160020</xdr:rowOff>
    </xdr:from>
    <xdr:to>
      <xdr:col>5</xdr:col>
      <xdr:colOff>375920</xdr:colOff>
      <xdr:row>18</xdr:row>
      <xdr:rowOff>78740</xdr:rowOff>
    </xdr:to>
    <xdr:sp macro="" textlink="">
      <xdr:nvSpPr>
        <xdr:cNvPr id="23" name="PTObj_IDiagNode_3_5">
          <a:extLst>
            <a:ext uri="{FF2B5EF4-FFF2-40B4-BE49-F238E27FC236}">
              <a16:creationId xmlns:a16="http://schemas.microsoft.com/office/drawing/2014/main" id="{72B35305-A410-42FA-8811-E71A51961711}"/>
            </a:ext>
          </a:extLst>
        </xdr:cNvPr>
        <xdr:cNvSpPr/>
      </xdr:nvSpPr>
      <xdr:spPr>
        <a:xfrm>
          <a:off x="3535680" y="249936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603668</xdr:colOff>
      <xdr:row>15</xdr:row>
      <xdr:rowOff>29067</xdr:rowOff>
    </xdr:from>
    <xdr:to>
      <xdr:col>5</xdr:col>
      <xdr:colOff>412332</xdr:colOff>
      <xdr:row>16</xdr:row>
      <xdr:rowOff>26814</xdr:rowOff>
    </xdr:to>
    <xdr:sp macro="_xll.PtreeEvent_ObjectClick" textlink="">
      <xdr:nvSpPr>
        <xdr:cNvPr id="24" name="PTObj_IDiagNodeTxt_3_5">
          <a:extLst>
            <a:ext uri="{FF2B5EF4-FFF2-40B4-BE49-F238E27FC236}">
              <a16:creationId xmlns:a16="http://schemas.microsoft.com/office/drawing/2014/main" id="{EF771BEC-806A-4A1B-BF3C-34DA19CED5AF}"/>
            </a:ext>
          </a:extLst>
        </xdr:cNvPr>
        <xdr:cNvSpPr txBox="1"/>
      </xdr:nvSpPr>
      <xdr:spPr>
        <a:xfrm>
          <a:off x="3499268" y="2917047"/>
          <a:ext cx="108882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More corporate features</a:t>
          </a:r>
        </a:p>
      </xdr:txBody>
    </xdr:sp>
    <xdr:clientData/>
  </xdr:twoCellAnchor>
  <xdr:twoCellAnchor editAs="absolute">
    <xdr:from>
      <xdr:col>6</xdr:col>
      <xdr:colOff>278130</xdr:colOff>
      <xdr:row>17</xdr:row>
      <xdr:rowOff>11430</xdr:rowOff>
    </xdr:from>
    <xdr:to>
      <xdr:col>8</xdr:col>
      <xdr:colOff>13970</xdr:colOff>
      <xdr:row>22</xdr:row>
      <xdr:rowOff>113030</xdr:rowOff>
    </xdr:to>
    <xdr:sp macro="" textlink="">
      <xdr:nvSpPr>
        <xdr:cNvPr id="27" name="PTObj_IDiagNode_3_6">
          <a:extLst>
            <a:ext uri="{FF2B5EF4-FFF2-40B4-BE49-F238E27FC236}">
              <a16:creationId xmlns:a16="http://schemas.microsoft.com/office/drawing/2014/main" id="{4CB90117-C1CC-4068-A61A-E4002439B0FB}"/>
            </a:ext>
          </a:extLst>
        </xdr:cNvPr>
        <xdr:cNvSpPr/>
      </xdr:nvSpPr>
      <xdr:spPr>
        <a:xfrm>
          <a:off x="5093970" y="326517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455462</xdr:colOff>
      <xdr:row>19</xdr:row>
      <xdr:rowOff>63357</xdr:rowOff>
    </xdr:from>
    <xdr:to>
      <xdr:col>7</xdr:col>
      <xdr:colOff>476718</xdr:colOff>
      <xdr:row>20</xdr:row>
      <xdr:rowOff>61104</xdr:rowOff>
    </xdr:to>
    <xdr:sp macro="_xll.PtreeEvent_ObjectClick" textlink="">
      <xdr:nvSpPr>
        <xdr:cNvPr id="28" name="PTObj_IDiagNodeTxt_3_6">
          <a:extLst>
            <a:ext uri="{FF2B5EF4-FFF2-40B4-BE49-F238E27FC236}">
              <a16:creationId xmlns:a16="http://schemas.microsoft.com/office/drawing/2014/main" id="{27BCA07F-5E57-4FA7-9D95-4567C8F679AC}"/>
            </a:ext>
          </a:extLst>
        </xdr:cNvPr>
        <xdr:cNvSpPr txBox="1"/>
      </xdr:nvSpPr>
      <xdr:spPr>
        <a:xfrm>
          <a:off x="5271302" y="3682857"/>
          <a:ext cx="66133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More partners</a:t>
          </a:r>
        </a:p>
      </xdr:txBody>
    </xdr:sp>
    <xdr:clientData/>
  </xdr:twoCellAnchor>
  <xdr:twoCellAnchor editAs="absolute">
    <xdr:from>
      <xdr:col>10</xdr:col>
      <xdr:colOff>7620</xdr:colOff>
      <xdr:row>8</xdr:row>
      <xdr:rowOff>87630</xdr:rowOff>
    </xdr:from>
    <xdr:to>
      <xdr:col>11</xdr:col>
      <xdr:colOff>383540</xdr:colOff>
      <xdr:row>14</xdr:row>
      <xdr:rowOff>6350</xdr:rowOff>
    </xdr:to>
    <xdr:sp macro="" textlink="">
      <xdr:nvSpPr>
        <xdr:cNvPr id="29" name="PTObj_IDiagNode_3_2">
          <a:extLst>
            <a:ext uri="{FF2B5EF4-FFF2-40B4-BE49-F238E27FC236}">
              <a16:creationId xmlns:a16="http://schemas.microsoft.com/office/drawing/2014/main" id="{B1F4BC57-8F10-4BAE-9F7D-4A8950CF0AF0}"/>
            </a:ext>
          </a:extLst>
        </xdr:cNvPr>
        <xdr:cNvSpPr/>
      </xdr:nvSpPr>
      <xdr:spPr>
        <a:xfrm>
          <a:off x="7383780" y="1695450"/>
          <a:ext cx="1016000" cy="1016000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83290</xdr:colOff>
      <xdr:row>10</xdr:row>
      <xdr:rowOff>139557</xdr:rowOff>
    </xdr:from>
    <xdr:to>
      <xdr:col>11</xdr:col>
      <xdr:colOff>307870</xdr:colOff>
      <xdr:row>11</xdr:row>
      <xdr:rowOff>137304</xdr:rowOff>
    </xdr:to>
    <xdr:sp macro="_xll.PtreeEvent_ObjectClick" textlink="">
      <xdr:nvSpPr>
        <xdr:cNvPr id="30" name="PTObj_IDiagNodeTxt_3_2">
          <a:extLst>
            <a:ext uri="{FF2B5EF4-FFF2-40B4-BE49-F238E27FC236}">
              <a16:creationId xmlns:a16="http://schemas.microsoft.com/office/drawing/2014/main" id="{B924F357-C893-4596-9816-3C1D4A3308AA}"/>
            </a:ext>
          </a:extLst>
        </xdr:cNvPr>
        <xdr:cNvSpPr txBox="1"/>
      </xdr:nvSpPr>
      <xdr:spPr>
        <a:xfrm>
          <a:off x="7459450" y="2113137"/>
          <a:ext cx="86466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Increase Paid Users</a:t>
          </a:r>
        </a:p>
      </xdr:txBody>
    </xdr:sp>
    <xdr:clientData/>
  </xdr:twoCellAnchor>
  <xdr:twoCellAnchor editAs="absolute">
    <xdr:from>
      <xdr:col>6</xdr:col>
      <xdr:colOff>7620</xdr:colOff>
      <xdr:row>25</xdr:row>
      <xdr:rowOff>144780</xdr:rowOff>
    </xdr:from>
    <xdr:to>
      <xdr:col>7</xdr:col>
      <xdr:colOff>383540</xdr:colOff>
      <xdr:row>31</xdr:row>
      <xdr:rowOff>63500</xdr:rowOff>
    </xdr:to>
    <xdr:sp macro="" textlink="">
      <xdr:nvSpPr>
        <xdr:cNvPr id="33" name="PTObj_IDiagNode_3_7">
          <a:extLst>
            <a:ext uri="{FF2B5EF4-FFF2-40B4-BE49-F238E27FC236}">
              <a16:creationId xmlns:a16="http://schemas.microsoft.com/office/drawing/2014/main" id="{995DA621-DBB0-4F52-9852-4EB0E0F431F0}"/>
            </a:ext>
          </a:extLst>
        </xdr:cNvPr>
        <xdr:cNvSpPr/>
      </xdr:nvSpPr>
      <xdr:spPr>
        <a:xfrm>
          <a:off x="4823460" y="486156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455091</xdr:colOff>
      <xdr:row>28</xdr:row>
      <xdr:rowOff>13826</xdr:rowOff>
    </xdr:from>
    <xdr:to>
      <xdr:col>7</xdr:col>
      <xdr:colOff>576148</xdr:colOff>
      <xdr:row>29</xdr:row>
      <xdr:rowOff>11573</xdr:rowOff>
    </xdr:to>
    <xdr:sp macro="_xll.PtreeEvent_ObjectClick" textlink="">
      <xdr:nvSpPr>
        <xdr:cNvPr id="34" name="PTObj_IDiagNodeTxt_3_7">
          <a:extLst>
            <a:ext uri="{FF2B5EF4-FFF2-40B4-BE49-F238E27FC236}">
              <a16:creationId xmlns:a16="http://schemas.microsoft.com/office/drawing/2014/main" id="{D1456513-3800-4742-8071-416B81938455}"/>
            </a:ext>
          </a:extLst>
        </xdr:cNvPr>
        <xdr:cNvSpPr txBox="1"/>
      </xdr:nvSpPr>
      <xdr:spPr>
        <a:xfrm>
          <a:off x="4630851" y="5279246"/>
          <a:ext cx="140121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Increase Employee Convenience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303E-4262-448B-B643-134B6BBEE431}">
  <dimension ref="A1:B11"/>
  <sheetViews>
    <sheetView topLeftCell="A7" zoomScale="80" zoomScaleNormal="80" workbookViewId="0">
      <selection activeCell="I27" sqref="I27"/>
    </sheetView>
  </sheetViews>
  <sheetFormatPr defaultRowHeight="14.4" x14ac:dyDescent="0.3"/>
  <cols>
    <col min="1" max="1" width="17.21875" style="4" customWidth="1"/>
    <col min="2" max="2" width="28.109375" style="4" customWidth="1"/>
    <col min="3" max="3" width="27.21875" style="4" customWidth="1"/>
    <col min="4" max="4" width="27.33203125" style="4" customWidth="1"/>
    <col min="5" max="5" width="31.21875" style="4" customWidth="1"/>
    <col min="6" max="6" width="27.77734375" style="4" customWidth="1"/>
    <col min="7" max="7" width="28.109375" style="4" customWidth="1"/>
    <col min="8" max="8" width="23.21875" style="4" customWidth="1"/>
    <col min="9" max="9" width="25.88671875" style="4" customWidth="1"/>
    <col min="10" max="10" width="20.88671875" style="4" customWidth="1"/>
    <col min="11" max="11" width="16.5546875" style="4" customWidth="1"/>
    <col min="12" max="16384" width="8.88671875" style="4"/>
  </cols>
  <sheetData>
    <row r="1" spans="1:2" ht="25.05" customHeight="1" thickTop="1" thickBot="1" x14ac:dyDescent="0.35">
      <c r="A1" s="7"/>
      <c r="B1" s="8"/>
    </row>
    <row r="2" spans="1:2" ht="15" thickTop="1" x14ac:dyDescent="0.3">
      <c r="A2" s="5" t="s">
        <v>63</v>
      </c>
      <c r="B2" s="9" t="e">
        <f>inflCalc_1!$G$2</f>
        <v>#N/A</v>
      </c>
    </row>
    <row r="3" spans="1:2" x14ac:dyDescent="0.3">
      <c r="A3" s="5" t="s">
        <v>64</v>
      </c>
      <c r="B3" s="9" t="e">
        <f>inflCalc_1!$H$2</f>
        <v>#N/A</v>
      </c>
    </row>
    <row r="4" spans="1:2" x14ac:dyDescent="0.3">
      <c r="A4" s="5" t="s">
        <v>65</v>
      </c>
      <c r="B4" s="9" t="e">
        <f>inflCalc_1!$I$2</f>
        <v>#N/A</v>
      </c>
    </row>
    <row r="5" spans="1:2" ht="15" thickBot="1" x14ac:dyDescent="0.35">
      <c r="A5" s="6" t="s">
        <v>66</v>
      </c>
      <c r="B5" s="10" t="e">
        <f>inflCalc_1!$J$2</f>
        <v>#N/A</v>
      </c>
    </row>
    <row r="6" spans="1:2" ht="25.05" customHeight="1" thickTop="1" x14ac:dyDescent="0.3"/>
    <row r="11" spans="1:2" ht="25.05" customHeight="1" x14ac:dyDescent="0.3"/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D45-C437-4CDD-A18D-3AC4F399CD65}">
  <dimension ref="A1:B6"/>
  <sheetViews>
    <sheetView zoomScale="70" zoomScaleNormal="70" workbookViewId="0">
      <selection activeCell="B1" sqref="B1"/>
    </sheetView>
  </sheetViews>
  <sheetFormatPr defaultRowHeight="14.4" x14ac:dyDescent="0.3"/>
  <cols>
    <col min="1" max="2" width="15.5546875" customWidth="1"/>
  </cols>
  <sheetData>
    <row r="1" spans="1:2" ht="25.05" customHeight="1" thickTop="1" thickBot="1" x14ac:dyDescent="0.35">
      <c r="A1" s="7"/>
      <c r="B1" s="8"/>
    </row>
    <row r="2" spans="1:2" ht="15" thickTop="1" x14ac:dyDescent="0.3">
      <c r="A2" s="5" t="s">
        <v>63</v>
      </c>
      <c r="B2" s="9" t="e">
        <f>inflCalc_2!$G$2</f>
        <v>#N/A</v>
      </c>
    </row>
    <row r="3" spans="1:2" x14ac:dyDescent="0.3">
      <c r="A3" s="5" t="s">
        <v>64</v>
      </c>
      <c r="B3" s="9" t="e">
        <f>inflCalc_2!$H$2</f>
        <v>#N/A</v>
      </c>
    </row>
    <row r="4" spans="1:2" x14ac:dyDescent="0.3">
      <c r="A4" s="5" t="s">
        <v>65</v>
      </c>
      <c r="B4" s="9" t="e">
        <f>inflCalc_2!$I$2</f>
        <v>#N/A</v>
      </c>
    </row>
    <row r="5" spans="1:2" ht="15" thickBot="1" x14ac:dyDescent="0.35">
      <c r="A5" s="6" t="s">
        <v>66</v>
      </c>
      <c r="B5" s="10" t="e">
        <f>inflCalc_2!$J$2</f>
        <v>#N/A</v>
      </c>
    </row>
    <row r="6" spans="1:2" ht="15" thickTop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092-68DC-422A-AAC1-610CEC1FB21C}">
  <dimension ref="A2:M2559"/>
  <sheetViews>
    <sheetView tabSelected="1" topLeftCell="A174" zoomScale="40" zoomScaleNormal="40" workbookViewId="0"/>
  </sheetViews>
  <sheetFormatPr defaultColWidth="20.77734375" defaultRowHeight="14.4" x14ac:dyDescent="0.3"/>
  <cols>
    <col min="1" max="1" width="82.6640625" customWidth="1"/>
  </cols>
  <sheetData>
    <row r="2" spans="8:13" x14ac:dyDescent="0.3">
      <c r="I2" s="17" t="e">
        <v>#VALUE!</v>
      </c>
      <c r="J2" s="15" t="s">
        <v>133</v>
      </c>
    </row>
    <row r="3" spans="8:13" x14ac:dyDescent="0.3">
      <c r="I3" s="13"/>
      <c r="J3" s="16" t="e">
        <f>_xll.PTreeNodeValue(treeCalc_1!$F$2,1)</f>
        <v>#VALUE!</v>
      </c>
    </row>
    <row r="4" spans="8:13" x14ac:dyDescent="0.3">
      <c r="J4" s="17" t="e">
        <v>#VALUE!</v>
      </c>
      <c r="K4" s="15" t="s">
        <v>132</v>
      </c>
    </row>
    <row r="5" spans="8:13" x14ac:dyDescent="0.3">
      <c r="J5" s="13"/>
      <c r="K5" s="16" t="e">
        <f>_xll.PTreeNodeValue(treeCalc_1!$F$2,2)</f>
        <v>#VALUE!</v>
      </c>
    </row>
    <row r="6" spans="8:13" x14ac:dyDescent="0.3">
      <c r="K6" s="17" t="e">
        <v>#VALUE!</v>
      </c>
      <c r="L6" s="15" t="s">
        <v>134</v>
      </c>
    </row>
    <row r="7" spans="8:13" x14ac:dyDescent="0.3">
      <c r="K7" s="13"/>
      <c r="L7" s="16" t="e">
        <f>_xll.PTreeNodeValue(treeCalc_1!$F$2,3)</f>
        <v>#VALUE!</v>
      </c>
    </row>
    <row r="8" spans="8:13" x14ac:dyDescent="0.3">
      <c r="L8" s="17" t="e">
        <v>#VALUE!</v>
      </c>
      <c r="M8" s="19" t="e">
        <f>_xll.PTreeNodeProbability(treeCalc_1!$F$2,4)</f>
        <v>#VALUE!</v>
      </c>
    </row>
    <row r="9" spans="8:13" x14ac:dyDescent="0.3">
      <c r="L9" s="13"/>
      <c r="M9" s="18" t="e">
        <f>_xll.PTreeNodeValue(treeCalc_1!$F$2,4)</f>
        <v>#VALUE!</v>
      </c>
    </row>
    <row r="10" spans="8:13" x14ac:dyDescent="0.3">
      <c r="H10" s="17" t="e">
        <v>#VALUE!</v>
      </c>
      <c r="I10" s="15" t="s">
        <v>146</v>
      </c>
    </row>
    <row r="11" spans="8:13" x14ac:dyDescent="0.3">
      <c r="H11" s="13"/>
      <c r="I11" s="16" t="e">
        <f>_xll.PTreeNodeValue(treeCalc_1!$F$2,5)</f>
        <v>#VALUE!</v>
      </c>
    </row>
    <row r="12" spans="8:13" x14ac:dyDescent="0.3">
      <c r="I12" s="17" t="e">
        <v>#VALUE!</v>
      </c>
      <c r="J12" s="15" t="s">
        <v>133</v>
      </c>
    </row>
    <row r="13" spans="8:13" x14ac:dyDescent="0.3">
      <c r="I13" s="13"/>
      <c r="J13" s="16" t="e">
        <f>_xll.PTreeNodeValue(treeCalc_1!$F$2,6)</f>
        <v>#VALUE!</v>
      </c>
    </row>
    <row r="14" spans="8:13" x14ac:dyDescent="0.3">
      <c r="J14" s="17" t="e">
        <v>#VALUE!</v>
      </c>
      <c r="K14" s="15" t="s">
        <v>132</v>
      </c>
    </row>
    <row r="15" spans="8:13" x14ac:dyDescent="0.3">
      <c r="J15" s="13"/>
      <c r="K15" s="16" t="e">
        <f>_xll.PTreeNodeValue(treeCalc_1!$F$2,7)</f>
        <v>#VALUE!</v>
      </c>
    </row>
    <row r="16" spans="8:13" x14ac:dyDescent="0.3">
      <c r="K16" s="17" t="e">
        <v>#VALUE!</v>
      </c>
      <c r="L16" s="15" t="s">
        <v>134</v>
      </c>
    </row>
    <row r="17" spans="7:13" x14ac:dyDescent="0.3">
      <c r="K17" s="13"/>
      <c r="L17" s="16" t="e">
        <f>_xll.PTreeNodeValue(treeCalc_1!$F$2,8)</f>
        <v>#VALUE!</v>
      </c>
    </row>
    <row r="18" spans="7:13" x14ac:dyDescent="0.3">
      <c r="L18" s="17" t="e">
        <v>#VALUE!</v>
      </c>
      <c r="M18" s="19" t="e">
        <f>_xll.PTreeNodeProbability(treeCalc_1!$F$2,9)</f>
        <v>#VALUE!</v>
      </c>
    </row>
    <row r="19" spans="7:13" x14ac:dyDescent="0.3">
      <c r="L19" s="13"/>
      <c r="M19" s="18" t="e">
        <f>_xll.PTreeNodeValue(treeCalc_1!$F$2,9)</f>
        <v>#VALUE!</v>
      </c>
    </row>
    <row r="20" spans="7:13" x14ac:dyDescent="0.3">
      <c r="G20" s="17" t="e">
        <v>#VALUE!</v>
      </c>
      <c r="H20" s="15" t="s">
        <v>145</v>
      </c>
    </row>
    <row r="21" spans="7:13" x14ac:dyDescent="0.3">
      <c r="G21" s="13"/>
      <c r="H21" s="16" t="e">
        <f>_xll.PTreeNodeValue(treeCalc_1!$F$2,10)</f>
        <v>#VALUE!</v>
      </c>
    </row>
    <row r="22" spans="7:13" x14ac:dyDescent="0.3">
      <c r="I22" s="17" t="e">
        <v>#VALUE!</v>
      </c>
      <c r="J22" s="15" t="s">
        <v>133</v>
      </c>
    </row>
    <row r="23" spans="7:13" x14ac:dyDescent="0.3">
      <c r="I23" s="13"/>
      <c r="J23" s="16" t="e">
        <f>_xll.PTreeNodeValue(treeCalc_1!$F$2,11)</f>
        <v>#VALUE!</v>
      </c>
    </row>
    <row r="24" spans="7:13" x14ac:dyDescent="0.3">
      <c r="J24" s="17" t="e">
        <v>#VALUE!</v>
      </c>
      <c r="K24" s="15" t="s">
        <v>132</v>
      </c>
    </row>
    <row r="25" spans="7:13" x14ac:dyDescent="0.3">
      <c r="J25" s="13"/>
      <c r="K25" s="16" t="e">
        <f>_xll.PTreeNodeValue(treeCalc_1!$F$2,12)</f>
        <v>#VALUE!</v>
      </c>
    </row>
    <row r="26" spans="7:13" x14ac:dyDescent="0.3">
      <c r="K26" s="17" t="e">
        <v>#VALUE!</v>
      </c>
      <c r="L26" s="15" t="s">
        <v>134</v>
      </c>
    </row>
    <row r="27" spans="7:13" x14ac:dyDescent="0.3">
      <c r="K27" s="13"/>
      <c r="L27" s="16" t="e">
        <f>_xll.PTreeNodeValue(treeCalc_1!$F$2,13)</f>
        <v>#VALUE!</v>
      </c>
    </row>
    <row r="28" spans="7:13" x14ac:dyDescent="0.3">
      <c r="L28" s="17" t="e">
        <v>#VALUE!</v>
      </c>
      <c r="M28" s="19" t="e">
        <f>_xll.PTreeNodeProbability(treeCalc_1!$F$2,14)</f>
        <v>#VALUE!</v>
      </c>
    </row>
    <row r="29" spans="7:13" x14ac:dyDescent="0.3">
      <c r="L29" s="13"/>
      <c r="M29" s="18" t="e">
        <f>_xll.PTreeNodeValue(treeCalc_1!$F$2,14)</f>
        <v>#VALUE!</v>
      </c>
    </row>
    <row r="30" spans="7:13" x14ac:dyDescent="0.3">
      <c r="H30" s="17" t="e">
        <v>#VALUE!</v>
      </c>
      <c r="I30" s="15" t="s">
        <v>146</v>
      </c>
    </row>
    <row r="31" spans="7:13" x14ac:dyDescent="0.3">
      <c r="H31" s="13"/>
      <c r="I31" s="16" t="e">
        <f>_xll.PTreeNodeValue(treeCalc_1!$F$2,15)</f>
        <v>#VALUE!</v>
      </c>
    </row>
    <row r="32" spans="7:13" x14ac:dyDescent="0.3">
      <c r="I32" s="17" t="e">
        <v>#VALUE!</v>
      </c>
      <c r="J32" s="15" t="s">
        <v>133</v>
      </c>
    </row>
    <row r="33" spans="6:13" x14ac:dyDescent="0.3">
      <c r="I33" s="13"/>
      <c r="J33" s="16" t="e">
        <f>_xll.PTreeNodeValue(treeCalc_1!$F$2,16)</f>
        <v>#VALUE!</v>
      </c>
    </row>
    <row r="34" spans="6:13" x14ac:dyDescent="0.3">
      <c r="J34" s="17" t="e">
        <v>#VALUE!</v>
      </c>
      <c r="K34" s="15" t="s">
        <v>132</v>
      </c>
    </row>
    <row r="35" spans="6:13" x14ac:dyDescent="0.3">
      <c r="J35" s="13"/>
      <c r="K35" s="16" t="e">
        <f>_xll.PTreeNodeValue(treeCalc_1!$F$2,17)</f>
        <v>#VALUE!</v>
      </c>
    </row>
    <row r="36" spans="6:13" x14ac:dyDescent="0.3">
      <c r="K36" s="17" t="e">
        <v>#VALUE!</v>
      </c>
      <c r="L36" s="15" t="s">
        <v>134</v>
      </c>
    </row>
    <row r="37" spans="6:13" x14ac:dyDescent="0.3">
      <c r="K37" s="13"/>
      <c r="L37" s="16" t="e">
        <f>_xll.PTreeNodeValue(treeCalc_1!$F$2,18)</f>
        <v>#VALUE!</v>
      </c>
    </row>
    <row r="38" spans="6:13" x14ac:dyDescent="0.3">
      <c r="L38" s="17" t="e">
        <v>#VALUE!</v>
      </c>
      <c r="M38" s="19" t="e">
        <f>_xll.PTreeNodeProbability(treeCalc_1!$F$2,19)</f>
        <v>#VALUE!</v>
      </c>
    </row>
    <row r="39" spans="6:13" x14ac:dyDescent="0.3">
      <c r="L39" s="13"/>
      <c r="M39" s="18" t="e">
        <f>_xll.PTreeNodeValue(treeCalc_1!$F$2,19)</f>
        <v>#VALUE!</v>
      </c>
    </row>
    <row r="40" spans="6:13" x14ac:dyDescent="0.3">
      <c r="F40" s="17" t="e">
        <v>#VALUE!</v>
      </c>
      <c r="G40" s="15" t="s">
        <v>144</v>
      </c>
    </row>
    <row r="41" spans="6:13" x14ac:dyDescent="0.3">
      <c r="F41" s="13"/>
      <c r="G41" s="16" t="e">
        <f>_xll.PTreeNodeValue(treeCalc_1!$F$2,20)</f>
        <v>#VALUE!</v>
      </c>
    </row>
    <row r="42" spans="6:13" x14ac:dyDescent="0.3">
      <c r="I42" s="17" t="e">
        <v>#VALUE!</v>
      </c>
      <c r="J42" s="15" t="s">
        <v>133</v>
      </c>
    </row>
    <row r="43" spans="6:13" x14ac:dyDescent="0.3">
      <c r="I43" s="13"/>
      <c r="J43" s="16" t="e">
        <f>_xll.PTreeNodeValue(treeCalc_1!$F$2,21)</f>
        <v>#VALUE!</v>
      </c>
    </row>
    <row r="44" spans="6:13" x14ac:dyDescent="0.3">
      <c r="J44" s="17" t="e">
        <v>#VALUE!</v>
      </c>
      <c r="K44" s="15" t="s">
        <v>132</v>
      </c>
    </row>
    <row r="45" spans="6:13" x14ac:dyDescent="0.3">
      <c r="J45" s="13"/>
      <c r="K45" s="16" t="e">
        <f>_xll.PTreeNodeValue(treeCalc_1!$F$2,22)</f>
        <v>#VALUE!</v>
      </c>
    </row>
    <row r="46" spans="6:13" x14ac:dyDescent="0.3">
      <c r="K46" s="17" t="e">
        <v>#VALUE!</v>
      </c>
      <c r="L46" s="15" t="s">
        <v>134</v>
      </c>
    </row>
    <row r="47" spans="6:13" x14ac:dyDescent="0.3">
      <c r="K47" s="13"/>
      <c r="L47" s="16" t="e">
        <f>_xll.PTreeNodeValue(treeCalc_1!$F$2,23)</f>
        <v>#VALUE!</v>
      </c>
    </row>
    <row r="48" spans="6:13" x14ac:dyDescent="0.3">
      <c r="L48" s="17" t="e">
        <v>#VALUE!</v>
      </c>
      <c r="M48" s="19" t="e">
        <f>_xll.PTreeNodeProbability(treeCalc_1!$F$2,24)</f>
        <v>#VALUE!</v>
      </c>
    </row>
    <row r="49" spans="7:13" x14ac:dyDescent="0.3">
      <c r="L49" s="13"/>
      <c r="M49" s="18" t="e">
        <f>_xll.PTreeNodeValue(treeCalc_1!$F$2,24)</f>
        <v>#VALUE!</v>
      </c>
    </row>
    <row r="50" spans="7:13" x14ac:dyDescent="0.3">
      <c r="H50" s="17" t="e">
        <v>#VALUE!</v>
      </c>
      <c r="I50" s="15" t="s">
        <v>146</v>
      </c>
    </row>
    <row r="51" spans="7:13" x14ac:dyDescent="0.3">
      <c r="H51" s="13"/>
      <c r="I51" s="16" t="e">
        <f>_xll.PTreeNodeValue(treeCalc_1!$F$2,25)</f>
        <v>#VALUE!</v>
      </c>
    </row>
    <row r="52" spans="7:13" x14ac:dyDescent="0.3">
      <c r="I52" s="17" t="e">
        <v>#VALUE!</v>
      </c>
      <c r="J52" s="15" t="s">
        <v>133</v>
      </c>
    </row>
    <row r="53" spans="7:13" x14ac:dyDescent="0.3">
      <c r="I53" s="13"/>
      <c r="J53" s="16" t="e">
        <f>_xll.PTreeNodeValue(treeCalc_1!$F$2,26)</f>
        <v>#VALUE!</v>
      </c>
    </row>
    <row r="54" spans="7:13" x14ac:dyDescent="0.3">
      <c r="J54" s="17" t="e">
        <v>#VALUE!</v>
      </c>
      <c r="K54" s="15" t="s">
        <v>132</v>
      </c>
    </row>
    <row r="55" spans="7:13" x14ac:dyDescent="0.3">
      <c r="J55" s="13"/>
      <c r="K55" s="16" t="e">
        <f>_xll.PTreeNodeValue(treeCalc_1!$F$2,27)</f>
        <v>#VALUE!</v>
      </c>
    </row>
    <row r="56" spans="7:13" x14ac:dyDescent="0.3">
      <c r="K56" s="17" t="e">
        <v>#VALUE!</v>
      </c>
      <c r="L56" s="15" t="s">
        <v>134</v>
      </c>
    </row>
    <row r="57" spans="7:13" x14ac:dyDescent="0.3">
      <c r="K57" s="13"/>
      <c r="L57" s="16" t="e">
        <f>_xll.PTreeNodeValue(treeCalc_1!$F$2,28)</f>
        <v>#VALUE!</v>
      </c>
    </row>
    <row r="58" spans="7:13" x14ac:dyDescent="0.3">
      <c r="L58" s="17" t="e">
        <v>#VALUE!</v>
      </c>
      <c r="M58" s="19" t="e">
        <f>_xll.PTreeNodeProbability(treeCalc_1!$F$2,29)</f>
        <v>#VALUE!</v>
      </c>
    </row>
    <row r="59" spans="7:13" x14ac:dyDescent="0.3">
      <c r="L59" s="13"/>
      <c r="M59" s="18" t="e">
        <f>_xll.PTreeNodeValue(treeCalc_1!$F$2,29)</f>
        <v>#VALUE!</v>
      </c>
    </row>
    <row r="60" spans="7:13" x14ac:dyDescent="0.3">
      <c r="G60" s="17" t="e">
        <v>#VALUE!</v>
      </c>
      <c r="H60" s="15" t="s">
        <v>145</v>
      </c>
    </row>
    <row r="61" spans="7:13" x14ac:dyDescent="0.3">
      <c r="G61" s="13"/>
      <c r="H61" s="16" t="e">
        <f>_xll.PTreeNodeValue(treeCalc_1!$F$2,30)</f>
        <v>#VALUE!</v>
      </c>
    </row>
    <row r="62" spans="7:13" x14ac:dyDescent="0.3">
      <c r="I62" s="17" t="e">
        <v>#VALUE!</v>
      </c>
      <c r="J62" s="15" t="s">
        <v>133</v>
      </c>
    </row>
    <row r="63" spans="7:13" x14ac:dyDescent="0.3">
      <c r="I63" s="13"/>
      <c r="J63" s="16" t="e">
        <f>_xll.PTreeNodeValue(treeCalc_1!$F$2,31)</f>
        <v>#VALUE!</v>
      </c>
    </row>
    <row r="64" spans="7:13" x14ac:dyDescent="0.3">
      <c r="J64" s="17" t="e">
        <v>#VALUE!</v>
      </c>
      <c r="K64" s="15" t="s">
        <v>132</v>
      </c>
    </row>
    <row r="65" spans="5:13" x14ac:dyDescent="0.3">
      <c r="J65" s="13"/>
      <c r="K65" s="16" t="e">
        <f>_xll.PTreeNodeValue(treeCalc_1!$F$2,32)</f>
        <v>#VALUE!</v>
      </c>
    </row>
    <row r="66" spans="5:13" x14ac:dyDescent="0.3">
      <c r="K66" s="17" t="e">
        <v>#VALUE!</v>
      </c>
      <c r="L66" s="15" t="s">
        <v>134</v>
      </c>
    </row>
    <row r="67" spans="5:13" x14ac:dyDescent="0.3">
      <c r="K67" s="13"/>
      <c r="L67" s="16" t="e">
        <f>_xll.PTreeNodeValue(treeCalc_1!$F$2,33)</f>
        <v>#VALUE!</v>
      </c>
    </row>
    <row r="68" spans="5:13" x14ac:dyDescent="0.3">
      <c r="L68" s="17" t="e">
        <v>#VALUE!</v>
      </c>
      <c r="M68" s="19" t="e">
        <f>_xll.PTreeNodeProbability(treeCalc_1!$F$2,34)</f>
        <v>#VALUE!</v>
      </c>
    </row>
    <row r="69" spans="5:13" x14ac:dyDescent="0.3">
      <c r="L69" s="13"/>
      <c r="M69" s="18" t="e">
        <f>_xll.PTreeNodeValue(treeCalc_1!$F$2,34)</f>
        <v>#VALUE!</v>
      </c>
    </row>
    <row r="70" spans="5:13" x14ac:dyDescent="0.3">
      <c r="H70" s="17" t="e">
        <v>#VALUE!</v>
      </c>
      <c r="I70" s="15" t="s">
        <v>146</v>
      </c>
    </row>
    <row r="71" spans="5:13" x14ac:dyDescent="0.3">
      <c r="H71" s="13"/>
      <c r="I71" s="16" t="e">
        <f>_xll.PTreeNodeValue(treeCalc_1!$F$2,35)</f>
        <v>#VALUE!</v>
      </c>
    </row>
    <row r="72" spans="5:13" x14ac:dyDescent="0.3">
      <c r="I72" s="17" t="e">
        <v>#VALUE!</v>
      </c>
      <c r="J72" s="15" t="s">
        <v>133</v>
      </c>
    </row>
    <row r="73" spans="5:13" x14ac:dyDescent="0.3">
      <c r="I73" s="13"/>
      <c r="J73" s="16" t="e">
        <f>_xll.PTreeNodeValue(treeCalc_1!$F$2,36)</f>
        <v>#VALUE!</v>
      </c>
    </row>
    <row r="74" spans="5:13" x14ac:dyDescent="0.3">
      <c r="J74" s="17" t="e">
        <v>#VALUE!</v>
      </c>
      <c r="K74" s="15" t="s">
        <v>132</v>
      </c>
    </row>
    <row r="75" spans="5:13" x14ac:dyDescent="0.3">
      <c r="J75" s="13"/>
      <c r="K75" s="16" t="e">
        <f>_xll.PTreeNodeValue(treeCalc_1!$F$2,37)</f>
        <v>#VALUE!</v>
      </c>
    </row>
    <row r="76" spans="5:13" x14ac:dyDescent="0.3">
      <c r="K76" s="17" t="e">
        <v>#VALUE!</v>
      </c>
      <c r="L76" s="15" t="s">
        <v>134</v>
      </c>
    </row>
    <row r="77" spans="5:13" x14ac:dyDescent="0.3">
      <c r="K77" s="13"/>
      <c r="L77" s="16" t="e">
        <f>_xll.PTreeNodeValue(treeCalc_1!$F$2,38)</f>
        <v>#VALUE!</v>
      </c>
    </row>
    <row r="78" spans="5:13" x14ac:dyDescent="0.3">
      <c r="L78" s="17" t="e">
        <v>#VALUE!</v>
      </c>
      <c r="M78" s="19" t="e">
        <f>_xll.PTreeNodeProbability(treeCalc_1!$F$2,39)</f>
        <v>#VALUE!</v>
      </c>
    </row>
    <row r="79" spans="5:13" x14ac:dyDescent="0.3">
      <c r="L79" s="13"/>
      <c r="M79" s="18" t="e">
        <f>_xll.PTreeNodeValue(treeCalc_1!$F$2,39)</f>
        <v>#VALUE!</v>
      </c>
    </row>
    <row r="80" spans="5:13" x14ac:dyDescent="0.3">
      <c r="E80" s="17" t="e">
        <v>#VALUE!</v>
      </c>
      <c r="F80" s="15" t="s">
        <v>141</v>
      </c>
    </row>
    <row r="81" spans="5:13" x14ac:dyDescent="0.3">
      <c r="E81" s="13"/>
      <c r="F81" s="16" t="e">
        <f>_xll.PTreeNodeValue(treeCalc_1!$F$2,40)</f>
        <v>#VALUE!</v>
      </c>
    </row>
    <row r="82" spans="5:13" x14ac:dyDescent="0.3">
      <c r="I82" s="17" t="e">
        <v>#VALUE!</v>
      </c>
      <c r="J82" s="15" t="s">
        <v>133</v>
      </c>
    </row>
    <row r="83" spans="5:13" x14ac:dyDescent="0.3">
      <c r="I83" s="13"/>
      <c r="J83" s="16" t="e">
        <f>_xll.PTreeNodeValue(treeCalc_1!$F$2,41)</f>
        <v>#VALUE!</v>
      </c>
    </row>
    <row r="84" spans="5:13" x14ac:dyDescent="0.3">
      <c r="J84" s="17" t="e">
        <v>#VALUE!</v>
      </c>
      <c r="K84" s="15" t="s">
        <v>132</v>
      </c>
    </row>
    <row r="85" spans="5:13" x14ac:dyDescent="0.3">
      <c r="J85" s="13"/>
      <c r="K85" s="16" t="e">
        <f>_xll.PTreeNodeValue(treeCalc_1!$F$2,42)</f>
        <v>#VALUE!</v>
      </c>
    </row>
    <row r="86" spans="5:13" x14ac:dyDescent="0.3">
      <c r="K86" s="17" t="e">
        <v>#VALUE!</v>
      </c>
      <c r="L86" s="15" t="s">
        <v>134</v>
      </c>
    </row>
    <row r="87" spans="5:13" x14ac:dyDescent="0.3">
      <c r="K87" s="13"/>
      <c r="L87" s="16" t="e">
        <f>_xll.PTreeNodeValue(treeCalc_1!$F$2,43)</f>
        <v>#VALUE!</v>
      </c>
    </row>
    <row r="88" spans="5:13" x14ac:dyDescent="0.3">
      <c r="L88" s="17" t="e">
        <v>#VALUE!</v>
      </c>
      <c r="M88" s="19" t="e">
        <f>_xll.PTreeNodeProbability(treeCalc_1!$F$2,44)</f>
        <v>#VALUE!</v>
      </c>
    </row>
    <row r="89" spans="5:13" x14ac:dyDescent="0.3">
      <c r="L89" s="13"/>
      <c r="M89" s="18" t="e">
        <f>_xll.PTreeNodeValue(treeCalc_1!$F$2,44)</f>
        <v>#VALUE!</v>
      </c>
    </row>
    <row r="90" spans="5:13" x14ac:dyDescent="0.3">
      <c r="H90" s="17" t="e">
        <v>#VALUE!</v>
      </c>
      <c r="I90" s="15" t="s">
        <v>146</v>
      </c>
    </row>
    <row r="91" spans="5:13" x14ac:dyDescent="0.3">
      <c r="H91" s="13"/>
      <c r="I91" s="16" t="e">
        <f>_xll.PTreeNodeValue(treeCalc_1!$F$2,45)</f>
        <v>#VALUE!</v>
      </c>
    </row>
    <row r="92" spans="5:13" x14ac:dyDescent="0.3">
      <c r="I92" s="17" t="e">
        <v>#VALUE!</v>
      </c>
      <c r="J92" s="15" t="s">
        <v>133</v>
      </c>
    </row>
    <row r="93" spans="5:13" x14ac:dyDescent="0.3">
      <c r="I93" s="13"/>
      <c r="J93" s="16" t="e">
        <f>_xll.PTreeNodeValue(treeCalc_1!$F$2,46)</f>
        <v>#VALUE!</v>
      </c>
    </row>
    <row r="94" spans="5:13" x14ac:dyDescent="0.3">
      <c r="J94" s="17" t="e">
        <v>#VALUE!</v>
      </c>
      <c r="K94" s="15" t="s">
        <v>132</v>
      </c>
    </row>
    <row r="95" spans="5:13" x14ac:dyDescent="0.3">
      <c r="J95" s="13"/>
      <c r="K95" s="16" t="e">
        <f>_xll.PTreeNodeValue(treeCalc_1!$F$2,47)</f>
        <v>#VALUE!</v>
      </c>
    </row>
    <row r="96" spans="5:13" x14ac:dyDescent="0.3">
      <c r="K96" s="17" t="e">
        <v>#VALUE!</v>
      </c>
      <c r="L96" s="15" t="s">
        <v>134</v>
      </c>
    </row>
    <row r="97" spans="7:13" x14ac:dyDescent="0.3">
      <c r="K97" s="13"/>
      <c r="L97" s="16" t="e">
        <f>_xll.PTreeNodeValue(treeCalc_1!$F$2,48)</f>
        <v>#VALUE!</v>
      </c>
    </row>
    <row r="98" spans="7:13" x14ac:dyDescent="0.3">
      <c r="L98" s="17" t="e">
        <v>#VALUE!</v>
      </c>
      <c r="M98" s="19" t="e">
        <f>_xll.PTreeNodeProbability(treeCalc_1!$F$2,49)</f>
        <v>#VALUE!</v>
      </c>
    </row>
    <row r="99" spans="7:13" x14ac:dyDescent="0.3">
      <c r="L99" s="13"/>
      <c r="M99" s="18" t="e">
        <f>_xll.PTreeNodeValue(treeCalc_1!$F$2,49)</f>
        <v>#VALUE!</v>
      </c>
    </row>
    <row r="100" spans="7:13" x14ac:dyDescent="0.3">
      <c r="G100" s="17" t="e">
        <v>#VALUE!</v>
      </c>
      <c r="H100" s="15" t="s">
        <v>145</v>
      </c>
    </row>
    <row r="101" spans="7:13" x14ac:dyDescent="0.3">
      <c r="G101" s="13"/>
      <c r="H101" s="16" t="e">
        <f>_xll.PTreeNodeValue(treeCalc_1!$F$2,50)</f>
        <v>#VALUE!</v>
      </c>
    </row>
    <row r="102" spans="7:13" x14ac:dyDescent="0.3">
      <c r="I102" s="17" t="e">
        <v>#VALUE!</v>
      </c>
      <c r="J102" s="15" t="s">
        <v>133</v>
      </c>
    </row>
    <row r="103" spans="7:13" x14ac:dyDescent="0.3">
      <c r="I103" s="13"/>
      <c r="J103" s="16" t="e">
        <f>_xll.PTreeNodeValue(treeCalc_1!$F$2,51)</f>
        <v>#VALUE!</v>
      </c>
    </row>
    <row r="104" spans="7:13" x14ac:dyDescent="0.3">
      <c r="J104" s="17" t="e">
        <v>#VALUE!</v>
      </c>
      <c r="K104" s="15" t="s">
        <v>132</v>
      </c>
    </row>
    <row r="105" spans="7:13" x14ac:dyDescent="0.3">
      <c r="J105" s="13"/>
      <c r="K105" s="16" t="e">
        <f>_xll.PTreeNodeValue(treeCalc_1!$F$2,52)</f>
        <v>#VALUE!</v>
      </c>
    </row>
    <row r="106" spans="7:13" x14ac:dyDescent="0.3">
      <c r="K106" s="17" t="e">
        <v>#VALUE!</v>
      </c>
      <c r="L106" s="15" t="s">
        <v>134</v>
      </c>
    </row>
    <row r="107" spans="7:13" x14ac:dyDescent="0.3">
      <c r="K107" s="13"/>
      <c r="L107" s="16" t="e">
        <f>_xll.PTreeNodeValue(treeCalc_1!$F$2,53)</f>
        <v>#VALUE!</v>
      </c>
    </row>
    <row r="108" spans="7:13" x14ac:dyDescent="0.3">
      <c r="L108" s="17" t="e">
        <v>#VALUE!</v>
      </c>
      <c r="M108" s="19" t="e">
        <f>_xll.PTreeNodeProbability(treeCalc_1!$F$2,54)</f>
        <v>#VALUE!</v>
      </c>
    </row>
    <row r="109" spans="7:13" x14ac:dyDescent="0.3">
      <c r="L109" s="13"/>
      <c r="M109" s="18" t="e">
        <f>_xll.PTreeNodeValue(treeCalc_1!$F$2,54)</f>
        <v>#VALUE!</v>
      </c>
    </row>
    <row r="110" spans="7:13" x14ac:dyDescent="0.3">
      <c r="H110" s="17" t="e">
        <v>#VALUE!</v>
      </c>
      <c r="I110" s="15" t="s">
        <v>146</v>
      </c>
    </row>
    <row r="111" spans="7:13" x14ac:dyDescent="0.3">
      <c r="H111" s="13"/>
      <c r="I111" s="16" t="e">
        <f>_xll.PTreeNodeValue(treeCalc_1!$F$2,55)</f>
        <v>#VALUE!</v>
      </c>
    </row>
    <row r="112" spans="7:13" x14ac:dyDescent="0.3">
      <c r="I112" s="17" t="e">
        <v>#VALUE!</v>
      </c>
      <c r="J112" s="15" t="s">
        <v>133</v>
      </c>
    </row>
    <row r="113" spans="6:13" x14ac:dyDescent="0.3">
      <c r="I113" s="13"/>
      <c r="J113" s="16" t="e">
        <f>_xll.PTreeNodeValue(treeCalc_1!$F$2,56)</f>
        <v>#VALUE!</v>
      </c>
    </row>
    <row r="114" spans="6:13" x14ac:dyDescent="0.3">
      <c r="J114" s="17" t="e">
        <v>#VALUE!</v>
      </c>
      <c r="K114" s="15" t="s">
        <v>132</v>
      </c>
    </row>
    <row r="115" spans="6:13" x14ac:dyDescent="0.3">
      <c r="J115" s="13"/>
      <c r="K115" s="16" t="e">
        <f>_xll.PTreeNodeValue(treeCalc_1!$F$2,57)</f>
        <v>#VALUE!</v>
      </c>
    </row>
    <row r="116" spans="6:13" x14ac:dyDescent="0.3">
      <c r="K116" s="17" t="e">
        <v>#VALUE!</v>
      </c>
      <c r="L116" s="15" t="s">
        <v>134</v>
      </c>
    </row>
    <row r="117" spans="6:13" x14ac:dyDescent="0.3">
      <c r="K117" s="13"/>
      <c r="L117" s="16" t="e">
        <f>_xll.PTreeNodeValue(treeCalc_1!$F$2,58)</f>
        <v>#VALUE!</v>
      </c>
    </row>
    <row r="118" spans="6:13" x14ac:dyDescent="0.3">
      <c r="L118" s="17" t="e">
        <v>#VALUE!</v>
      </c>
      <c r="M118" s="19" t="e">
        <f>_xll.PTreeNodeProbability(treeCalc_1!$F$2,59)</f>
        <v>#VALUE!</v>
      </c>
    </row>
    <row r="119" spans="6:13" x14ac:dyDescent="0.3">
      <c r="L119" s="13"/>
      <c r="M119" s="18" t="e">
        <f>_xll.PTreeNodeValue(treeCalc_1!$F$2,59)</f>
        <v>#VALUE!</v>
      </c>
    </row>
    <row r="120" spans="6:13" x14ac:dyDescent="0.3">
      <c r="F120" s="17" t="e">
        <v>#VALUE!</v>
      </c>
      <c r="G120" s="15" t="s">
        <v>144</v>
      </c>
    </row>
    <row r="121" spans="6:13" x14ac:dyDescent="0.3">
      <c r="F121" s="13"/>
      <c r="G121" s="16" t="e">
        <f>_xll.PTreeNodeValue(treeCalc_1!$F$2,60)</f>
        <v>#VALUE!</v>
      </c>
    </row>
    <row r="122" spans="6:13" x14ac:dyDescent="0.3">
      <c r="I122" s="17" t="e">
        <v>#VALUE!</v>
      </c>
      <c r="J122" s="15" t="s">
        <v>133</v>
      </c>
    </row>
    <row r="123" spans="6:13" x14ac:dyDescent="0.3">
      <c r="I123" s="13"/>
      <c r="J123" s="16" t="e">
        <f>_xll.PTreeNodeValue(treeCalc_1!$F$2,61)</f>
        <v>#VALUE!</v>
      </c>
    </row>
    <row r="124" spans="6:13" x14ac:dyDescent="0.3">
      <c r="J124" s="17" t="e">
        <v>#VALUE!</v>
      </c>
      <c r="K124" s="15" t="s">
        <v>132</v>
      </c>
    </row>
    <row r="125" spans="6:13" x14ac:dyDescent="0.3">
      <c r="J125" s="13"/>
      <c r="K125" s="16" t="e">
        <f>_xll.PTreeNodeValue(treeCalc_1!$F$2,62)</f>
        <v>#VALUE!</v>
      </c>
    </row>
    <row r="126" spans="6:13" x14ac:dyDescent="0.3">
      <c r="K126" s="17" t="e">
        <v>#VALUE!</v>
      </c>
      <c r="L126" s="15" t="s">
        <v>134</v>
      </c>
    </row>
    <row r="127" spans="6:13" x14ac:dyDescent="0.3">
      <c r="K127" s="13"/>
      <c r="L127" s="16" t="e">
        <f>_xll.PTreeNodeValue(treeCalc_1!$F$2,63)</f>
        <v>#VALUE!</v>
      </c>
    </row>
    <row r="128" spans="6:13" x14ac:dyDescent="0.3">
      <c r="L128" s="17" t="e">
        <v>#VALUE!</v>
      </c>
      <c r="M128" s="19" t="e">
        <f>_xll.PTreeNodeProbability(treeCalc_1!$F$2,64)</f>
        <v>#VALUE!</v>
      </c>
    </row>
    <row r="129" spans="7:13" x14ac:dyDescent="0.3">
      <c r="L129" s="13"/>
      <c r="M129" s="18" t="e">
        <f>_xll.PTreeNodeValue(treeCalc_1!$F$2,64)</f>
        <v>#VALUE!</v>
      </c>
    </row>
    <row r="130" spans="7:13" x14ac:dyDescent="0.3">
      <c r="H130" s="17" t="e">
        <v>#VALUE!</v>
      </c>
      <c r="I130" s="15" t="s">
        <v>146</v>
      </c>
    </row>
    <row r="131" spans="7:13" x14ac:dyDescent="0.3">
      <c r="H131" s="13"/>
      <c r="I131" s="16" t="e">
        <f>_xll.PTreeNodeValue(treeCalc_1!$F$2,65)</f>
        <v>#VALUE!</v>
      </c>
    </row>
    <row r="132" spans="7:13" x14ac:dyDescent="0.3">
      <c r="I132" s="17" t="e">
        <v>#VALUE!</v>
      </c>
      <c r="J132" s="15" t="s">
        <v>133</v>
      </c>
    </row>
    <row r="133" spans="7:13" x14ac:dyDescent="0.3">
      <c r="I133" s="13"/>
      <c r="J133" s="16" t="e">
        <f>_xll.PTreeNodeValue(treeCalc_1!$F$2,66)</f>
        <v>#VALUE!</v>
      </c>
    </row>
    <row r="134" spans="7:13" x14ac:dyDescent="0.3">
      <c r="J134" s="17" t="e">
        <v>#VALUE!</v>
      </c>
      <c r="K134" s="15" t="s">
        <v>132</v>
      </c>
    </row>
    <row r="135" spans="7:13" x14ac:dyDescent="0.3">
      <c r="J135" s="13"/>
      <c r="K135" s="16" t="e">
        <f>_xll.PTreeNodeValue(treeCalc_1!$F$2,67)</f>
        <v>#VALUE!</v>
      </c>
    </row>
    <row r="136" spans="7:13" x14ac:dyDescent="0.3">
      <c r="K136" s="17" t="e">
        <v>#VALUE!</v>
      </c>
      <c r="L136" s="15" t="s">
        <v>134</v>
      </c>
    </row>
    <row r="137" spans="7:13" x14ac:dyDescent="0.3">
      <c r="K137" s="13"/>
      <c r="L137" s="16" t="e">
        <f>_xll.PTreeNodeValue(treeCalc_1!$F$2,68)</f>
        <v>#VALUE!</v>
      </c>
    </row>
    <row r="138" spans="7:13" x14ac:dyDescent="0.3">
      <c r="L138" s="17" t="e">
        <v>#VALUE!</v>
      </c>
      <c r="M138" s="19" t="e">
        <f>_xll.PTreeNodeProbability(treeCalc_1!$F$2,69)</f>
        <v>#VALUE!</v>
      </c>
    </row>
    <row r="139" spans="7:13" x14ac:dyDescent="0.3">
      <c r="L139" s="13"/>
      <c r="M139" s="18" t="e">
        <f>_xll.PTreeNodeValue(treeCalc_1!$F$2,69)</f>
        <v>#VALUE!</v>
      </c>
    </row>
    <row r="140" spans="7:13" x14ac:dyDescent="0.3">
      <c r="G140" s="17" t="e">
        <v>#VALUE!</v>
      </c>
      <c r="H140" s="15" t="s">
        <v>145</v>
      </c>
    </row>
    <row r="141" spans="7:13" x14ac:dyDescent="0.3">
      <c r="G141" s="13"/>
      <c r="H141" s="16" t="e">
        <f>_xll.PTreeNodeValue(treeCalc_1!$F$2,70)</f>
        <v>#VALUE!</v>
      </c>
    </row>
    <row r="142" spans="7:13" x14ac:dyDescent="0.3">
      <c r="I142" s="17" t="e">
        <v>#VALUE!</v>
      </c>
      <c r="J142" s="15" t="s">
        <v>133</v>
      </c>
    </row>
    <row r="143" spans="7:13" x14ac:dyDescent="0.3">
      <c r="I143" s="13"/>
      <c r="J143" s="16" t="e">
        <f>_xll.PTreeNodeValue(treeCalc_1!$F$2,71)</f>
        <v>#VALUE!</v>
      </c>
    </row>
    <row r="144" spans="7:13" x14ac:dyDescent="0.3">
      <c r="J144" s="17" t="e">
        <v>#VALUE!</v>
      </c>
      <c r="K144" s="15" t="s">
        <v>132</v>
      </c>
    </row>
    <row r="145" spans="4:13" x14ac:dyDescent="0.3">
      <c r="J145" s="13"/>
      <c r="K145" s="16" t="e">
        <f>_xll.PTreeNodeValue(treeCalc_1!$F$2,72)</f>
        <v>#VALUE!</v>
      </c>
    </row>
    <row r="146" spans="4:13" x14ac:dyDescent="0.3">
      <c r="K146" s="17" t="e">
        <v>#VALUE!</v>
      </c>
      <c r="L146" s="15" t="s">
        <v>134</v>
      </c>
    </row>
    <row r="147" spans="4:13" x14ac:dyDescent="0.3">
      <c r="K147" s="13"/>
      <c r="L147" s="16" t="e">
        <f>_xll.PTreeNodeValue(treeCalc_1!$F$2,73)</f>
        <v>#VALUE!</v>
      </c>
    </row>
    <row r="148" spans="4:13" x14ac:dyDescent="0.3">
      <c r="L148" s="17" t="e">
        <v>#VALUE!</v>
      </c>
      <c r="M148" s="19" t="e">
        <f>_xll.PTreeNodeProbability(treeCalc_1!$F$2,74)</f>
        <v>#VALUE!</v>
      </c>
    </row>
    <row r="149" spans="4:13" x14ac:dyDescent="0.3">
      <c r="L149" s="13"/>
      <c r="M149" s="18" t="e">
        <f>_xll.PTreeNodeValue(treeCalc_1!$F$2,74)</f>
        <v>#VALUE!</v>
      </c>
    </row>
    <row r="150" spans="4:13" x14ac:dyDescent="0.3">
      <c r="H150" s="17" t="e">
        <v>#VALUE!</v>
      </c>
      <c r="I150" s="15" t="s">
        <v>146</v>
      </c>
    </row>
    <row r="151" spans="4:13" x14ac:dyDescent="0.3">
      <c r="H151" s="13"/>
      <c r="I151" s="16" t="e">
        <f>_xll.PTreeNodeValue(treeCalc_1!$F$2,75)</f>
        <v>#VALUE!</v>
      </c>
    </row>
    <row r="152" spans="4:13" x14ac:dyDescent="0.3">
      <c r="I152" s="17" t="e">
        <v>#VALUE!</v>
      </c>
      <c r="J152" s="15" t="s">
        <v>133</v>
      </c>
    </row>
    <row r="153" spans="4:13" x14ac:dyDescent="0.3">
      <c r="I153" s="13"/>
      <c r="J153" s="16" t="e">
        <f>_xll.PTreeNodeValue(treeCalc_1!$F$2,76)</f>
        <v>#VALUE!</v>
      </c>
    </row>
    <row r="154" spans="4:13" x14ac:dyDescent="0.3">
      <c r="J154" s="17" t="e">
        <v>#VALUE!</v>
      </c>
      <c r="K154" s="15" t="s">
        <v>132</v>
      </c>
    </row>
    <row r="155" spans="4:13" x14ac:dyDescent="0.3">
      <c r="J155" s="13"/>
      <c r="K155" s="16" t="e">
        <f>_xll.PTreeNodeValue(treeCalc_1!$F$2,77)</f>
        <v>#VALUE!</v>
      </c>
    </row>
    <row r="156" spans="4:13" x14ac:dyDescent="0.3">
      <c r="K156" s="17" t="e">
        <v>#VALUE!</v>
      </c>
      <c r="L156" s="15" t="s">
        <v>134</v>
      </c>
    </row>
    <row r="157" spans="4:13" x14ac:dyDescent="0.3">
      <c r="K157" s="13"/>
      <c r="L157" s="16" t="e">
        <f>_xll.PTreeNodeValue(treeCalc_1!$F$2,78)</f>
        <v>#VALUE!</v>
      </c>
    </row>
    <row r="158" spans="4:13" x14ac:dyDescent="0.3">
      <c r="L158" s="17" t="e">
        <v>#VALUE!</v>
      </c>
      <c r="M158" s="19" t="e">
        <f>_xll.PTreeNodeProbability(treeCalc_1!$F$2,79)</f>
        <v>#VALUE!</v>
      </c>
    </row>
    <row r="159" spans="4:13" x14ac:dyDescent="0.3">
      <c r="L159" s="13"/>
      <c r="M159" s="18" t="e">
        <f>_xll.PTreeNodeValue(treeCalc_1!$F$2,79)</f>
        <v>#VALUE!</v>
      </c>
    </row>
    <row r="160" spans="4:13" x14ac:dyDescent="0.3">
      <c r="D160" s="14" t="e">
        <f>_xll.PTreeNodeDecision(treeCalc_1!$F$2,80)</f>
        <v>#VALUE!</v>
      </c>
      <c r="E160" s="15" t="s">
        <v>143</v>
      </c>
    </row>
    <row r="161" spans="4:13" x14ac:dyDescent="0.3">
      <c r="D161" s="13"/>
      <c r="E161" s="16" t="e">
        <f>_xll.PTreeNodeValue(treeCalc_1!$F$2,80)</f>
        <v>#VALUE!</v>
      </c>
    </row>
    <row r="162" spans="4:13" x14ac:dyDescent="0.3">
      <c r="I162" s="17" t="e">
        <v>#VALUE!</v>
      </c>
      <c r="J162" s="15" t="s">
        <v>133</v>
      </c>
    </row>
    <row r="163" spans="4:13" x14ac:dyDescent="0.3">
      <c r="I163" s="13"/>
      <c r="J163" s="16" t="e">
        <f>_xll.PTreeNodeValue(treeCalc_1!$F$2,81)</f>
        <v>#VALUE!</v>
      </c>
    </row>
    <row r="164" spans="4:13" x14ac:dyDescent="0.3">
      <c r="J164" s="17" t="e">
        <v>#VALUE!</v>
      </c>
      <c r="K164" s="15" t="s">
        <v>132</v>
      </c>
    </row>
    <row r="165" spans="4:13" x14ac:dyDescent="0.3">
      <c r="J165" s="13"/>
      <c r="K165" s="16" t="e">
        <f>_xll.PTreeNodeValue(treeCalc_1!$F$2,82)</f>
        <v>#VALUE!</v>
      </c>
    </row>
    <row r="166" spans="4:13" x14ac:dyDescent="0.3">
      <c r="K166" s="17" t="e">
        <v>#VALUE!</v>
      </c>
      <c r="L166" s="15" t="s">
        <v>134</v>
      </c>
    </row>
    <row r="167" spans="4:13" x14ac:dyDescent="0.3">
      <c r="K167" s="13"/>
      <c r="L167" s="16" t="e">
        <f>_xll.PTreeNodeValue(treeCalc_1!$F$2,83)</f>
        <v>#VALUE!</v>
      </c>
    </row>
    <row r="168" spans="4:13" x14ac:dyDescent="0.3">
      <c r="L168" s="17" t="e">
        <v>#VALUE!</v>
      </c>
      <c r="M168" s="19" t="e">
        <f>_xll.PTreeNodeProbability(treeCalc_1!$F$2,84)</f>
        <v>#VALUE!</v>
      </c>
    </row>
    <row r="169" spans="4:13" x14ac:dyDescent="0.3">
      <c r="L169" s="13"/>
      <c r="M169" s="18" t="e">
        <f>_xll.PTreeNodeValue(treeCalc_1!$F$2,84)</f>
        <v>#VALUE!</v>
      </c>
    </row>
    <row r="170" spans="4:13" x14ac:dyDescent="0.3">
      <c r="H170" s="17" t="e">
        <v>#VALUE!</v>
      </c>
      <c r="I170" s="15" t="s">
        <v>146</v>
      </c>
    </row>
    <row r="171" spans="4:13" x14ac:dyDescent="0.3">
      <c r="H171" s="13"/>
      <c r="I171" s="16" t="e">
        <f>_xll.PTreeNodeValue(treeCalc_1!$F$2,85)</f>
        <v>#VALUE!</v>
      </c>
    </row>
    <row r="172" spans="4:13" x14ac:dyDescent="0.3">
      <c r="I172" s="17" t="e">
        <v>#VALUE!</v>
      </c>
      <c r="J172" s="15" t="s">
        <v>133</v>
      </c>
    </row>
    <row r="173" spans="4:13" x14ac:dyDescent="0.3">
      <c r="I173" s="13"/>
      <c r="J173" s="16" t="e">
        <f>_xll.PTreeNodeValue(treeCalc_1!$F$2,86)</f>
        <v>#VALUE!</v>
      </c>
    </row>
    <row r="174" spans="4:13" x14ac:dyDescent="0.3">
      <c r="J174" s="17" t="e">
        <v>#VALUE!</v>
      </c>
      <c r="K174" s="15" t="s">
        <v>132</v>
      </c>
    </row>
    <row r="175" spans="4:13" x14ac:dyDescent="0.3">
      <c r="J175" s="13"/>
      <c r="K175" s="16" t="e">
        <f>_xll.PTreeNodeValue(treeCalc_1!$F$2,87)</f>
        <v>#VALUE!</v>
      </c>
    </row>
    <row r="176" spans="4:13" x14ac:dyDescent="0.3">
      <c r="K176" s="17" t="e">
        <v>#VALUE!</v>
      </c>
      <c r="L176" s="15" t="s">
        <v>134</v>
      </c>
    </row>
    <row r="177" spans="7:13" x14ac:dyDescent="0.3">
      <c r="K177" s="13"/>
      <c r="L177" s="16" t="e">
        <f>_xll.PTreeNodeValue(treeCalc_1!$F$2,88)</f>
        <v>#VALUE!</v>
      </c>
    </row>
    <row r="178" spans="7:13" x14ac:dyDescent="0.3">
      <c r="L178" s="17" t="e">
        <v>#VALUE!</v>
      </c>
      <c r="M178" s="19" t="e">
        <f>_xll.PTreeNodeProbability(treeCalc_1!$F$2,89)</f>
        <v>#VALUE!</v>
      </c>
    </row>
    <row r="179" spans="7:13" x14ac:dyDescent="0.3">
      <c r="L179" s="13"/>
      <c r="M179" s="18" t="e">
        <f>_xll.PTreeNodeValue(treeCalc_1!$F$2,89)</f>
        <v>#VALUE!</v>
      </c>
    </row>
    <row r="180" spans="7:13" x14ac:dyDescent="0.3">
      <c r="G180" s="17" t="e">
        <v>#VALUE!</v>
      </c>
      <c r="H180" s="15" t="s">
        <v>145</v>
      </c>
    </row>
    <row r="181" spans="7:13" x14ac:dyDescent="0.3">
      <c r="G181" s="13"/>
      <c r="H181" s="16" t="e">
        <f>_xll.PTreeNodeValue(treeCalc_1!$F$2,90)</f>
        <v>#VALUE!</v>
      </c>
    </row>
    <row r="182" spans="7:13" x14ac:dyDescent="0.3">
      <c r="I182" s="17" t="e">
        <v>#VALUE!</v>
      </c>
      <c r="J182" s="15" t="s">
        <v>133</v>
      </c>
    </row>
    <row r="183" spans="7:13" x14ac:dyDescent="0.3">
      <c r="I183" s="13"/>
      <c r="J183" s="16" t="e">
        <f>_xll.PTreeNodeValue(treeCalc_1!$F$2,91)</f>
        <v>#VALUE!</v>
      </c>
    </row>
    <row r="184" spans="7:13" x14ac:dyDescent="0.3">
      <c r="J184" s="17" t="e">
        <v>#VALUE!</v>
      </c>
      <c r="K184" s="15" t="s">
        <v>132</v>
      </c>
    </row>
    <row r="185" spans="7:13" x14ac:dyDescent="0.3">
      <c r="J185" s="13"/>
      <c r="K185" s="16" t="e">
        <f>_xll.PTreeNodeValue(treeCalc_1!$F$2,92)</f>
        <v>#VALUE!</v>
      </c>
    </row>
    <row r="186" spans="7:13" x14ac:dyDescent="0.3">
      <c r="K186" s="17" t="e">
        <v>#VALUE!</v>
      </c>
      <c r="L186" s="15" t="s">
        <v>134</v>
      </c>
    </row>
    <row r="187" spans="7:13" x14ac:dyDescent="0.3">
      <c r="K187" s="13"/>
      <c r="L187" s="16" t="e">
        <f>_xll.PTreeNodeValue(treeCalc_1!$F$2,93)</f>
        <v>#VALUE!</v>
      </c>
    </row>
    <row r="188" spans="7:13" x14ac:dyDescent="0.3">
      <c r="L188" s="17" t="e">
        <v>#VALUE!</v>
      </c>
      <c r="M188" s="19" t="e">
        <f>_xll.PTreeNodeProbability(treeCalc_1!$F$2,94)</f>
        <v>#VALUE!</v>
      </c>
    </row>
    <row r="189" spans="7:13" x14ac:dyDescent="0.3">
      <c r="L189" s="13"/>
      <c r="M189" s="18" t="e">
        <f>_xll.PTreeNodeValue(treeCalc_1!$F$2,94)</f>
        <v>#VALUE!</v>
      </c>
    </row>
    <row r="190" spans="7:13" x14ac:dyDescent="0.3">
      <c r="H190" s="17" t="e">
        <v>#VALUE!</v>
      </c>
      <c r="I190" s="15" t="s">
        <v>146</v>
      </c>
    </row>
    <row r="191" spans="7:13" x14ac:dyDescent="0.3">
      <c r="H191" s="13"/>
      <c r="I191" s="16" t="e">
        <f>_xll.PTreeNodeValue(treeCalc_1!$F$2,95)</f>
        <v>#VALUE!</v>
      </c>
    </row>
    <row r="192" spans="7:13" x14ac:dyDescent="0.3">
      <c r="I192" s="17" t="e">
        <v>#VALUE!</v>
      </c>
      <c r="J192" s="15" t="s">
        <v>133</v>
      </c>
    </row>
    <row r="193" spans="6:13" x14ac:dyDescent="0.3">
      <c r="I193" s="13"/>
      <c r="J193" s="16" t="e">
        <f>_xll.PTreeNodeValue(treeCalc_1!$F$2,96)</f>
        <v>#VALUE!</v>
      </c>
    </row>
    <row r="194" spans="6:13" x14ac:dyDescent="0.3">
      <c r="J194" s="17" t="e">
        <v>#VALUE!</v>
      </c>
      <c r="K194" s="15" t="s">
        <v>132</v>
      </c>
    </row>
    <row r="195" spans="6:13" x14ac:dyDescent="0.3">
      <c r="J195" s="13"/>
      <c r="K195" s="16" t="e">
        <f>_xll.PTreeNodeValue(treeCalc_1!$F$2,97)</f>
        <v>#VALUE!</v>
      </c>
    </row>
    <row r="196" spans="6:13" x14ac:dyDescent="0.3">
      <c r="K196" s="17" t="e">
        <v>#VALUE!</v>
      </c>
      <c r="L196" s="15" t="s">
        <v>134</v>
      </c>
    </row>
    <row r="197" spans="6:13" x14ac:dyDescent="0.3">
      <c r="K197" s="13"/>
      <c r="L197" s="16" t="e">
        <f>_xll.PTreeNodeValue(treeCalc_1!$F$2,98)</f>
        <v>#VALUE!</v>
      </c>
    </row>
    <row r="198" spans="6:13" x14ac:dyDescent="0.3">
      <c r="L198" s="17" t="e">
        <v>#VALUE!</v>
      </c>
      <c r="M198" s="19" t="e">
        <f>_xll.PTreeNodeProbability(treeCalc_1!$F$2,99)</f>
        <v>#VALUE!</v>
      </c>
    </row>
    <row r="199" spans="6:13" x14ac:dyDescent="0.3">
      <c r="L199" s="13"/>
      <c r="M199" s="18" t="e">
        <f>_xll.PTreeNodeValue(treeCalc_1!$F$2,99)</f>
        <v>#VALUE!</v>
      </c>
    </row>
    <row r="200" spans="6:13" x14ac:dyDescent="0.3">
      <c r="F200" s="17" t="e">
        <v>#VALUE!</v>
      </c>
      <c r="G200" s="15" t="s">
        <v>144</v>
      </c>
    </row>
    <row r="201" spans="6:13" x14ac:dyDescent="0.3">
      <c r="F201" s="13"/>
      <c r="G201" s="16" t="e">
        <f>_xll.PTreeNodeValue(treeCalc_1!$F$2,100)</f>
        <v>#VALUE!</v>
      </c>
    </row>
    <row r="202" spans="6:13" x14ac:dyDescent="0.3">
      <c r="I202" s="17" t="e">
        <v>#VALUE!</v>
      </c>
      <c r="J202" s="15" t="s">
        <v>133</v>
      </c>
    </row>
    <row r="203" spans="6:13" x14ac:dyDescent="0.3">
      <c r="I203" s="13"/>
      <c r="J203" s="16" t="e">
        <f>_xll.PTreeNodeValue(treeCalc_1!$F$2,101)</f>
        <v>#VALUE!</v>
      </c>
    </row>
    <row r="204" spans="6:13" x14ac:dyDescent="0.3">
      <c r="J204" s="17" t="e">
        <v>#VALUE!</v>
      </c>
      <c r="K204" s="15" t="s">
        <v>132</v>
      </c>
    </row>
    <row r="205" spans="6:13" x14ac:dyDescent="0.3">
      <c r="J205" s="13"/>
      <c r="K205" s="16" t="e">
        <f>_xll.PTreeNodeValue(treeCalc_1!$F$2,102)</f>
        <v>#VALUE!</v>
      </c>
    </row>
    <row r="206" spans="6:13" x14ac:dyDescent="0.3">
      <c r="K206" s="17" t="e">
        <v>#VALUE!</v>
      </c>
      <c r="L206" s="15" t="s">
        <v>134</v>
      </c>
    </row>
    <row r="207" spans="6:13" x14ac:dyDescent="0.3">
      <c r="K207" s="13"/>
      <c r="L207" s="16" t="e">
        <f>_xll.PTreeNodeValue(treeCalc_1!$F$2,103)</f>
        <v>#VALUE!</v>
      </c>
    </row>
    <row r="208" spans="6:13" x14ac:dyDescent="0.3">
      <c r="L208" s="17" t="e">
        <v>#VALUE!</v>
      </c>
      <c r="M208" s="19" t="e">
        <f>_xll.PTreeNodeProbability(treeCalc_1!$F$2,104)</f>
        <v>#VALUE!</v>
      </c>
    </row>
    <row r="209" spans="7:13" x14ac:dyDescent="0.3">
      <c r="L209" s="13"/>
      <c r="M209" s="18" t="e">
        <f>_xll.PTreeNodeValue(treeCalc_1!$F$2,104)</f>
        <v>#VALUE!</v>
      </c>
    </row>
    <row r="210" spans="7:13" x14ac:dyDescent="0.3">
      <c r="H210" s="17" t="e">
        <v>#VALUE!</v>
      </c>
      <c r="I210" s="15" t="s">
        <v>146</v>
      </c>
    </row>
    <row r="211" spans="7:13" x14ac:dyDescent="0.3">
      <c r="H211" s="13"/>
      <c r="I211" s="16" t="e">
        <f>_xll.PTreeNodeValue(treeCalc_1!$F$2,105)</f>
        <v>#VALUE!</v>
      </c>
    </row>
    <row r="212" spans="7:13" x14ac:dyDescent="0.3">
      <c r="I212" s="17" t="e">
        <v>#VALUE!</v>
      </c>
      <c r="J212" s="15" t="s">
        <v>133</v>
      </c>
    </row>
    <row r="213" spans="7:13" x14ac:dyDescent="0.3">
      <c r="I213" s="13"/>
      <c r="J213" s="16" t="e">
        <f>_xll.PTreeNodeValue(treeCalc_1!$F$2,106)</f>
        <v>#VALUE!</v>
      </c>
    </row>
    <row r="214" spans="7:13" x14ac:dyDescent="0.3">
      <c r="J214" s="17" t="e">
        <v>#VALUE!</v>
      </c>
      <c r="K214" s="15" t="s">
        <v>132</v>
      </c>
    </row>
    <row r="215" spans="7:13" x14ac:dyDescent="0.3">
      <c r="J215" s="13"/>
      <c r="K215" s="16" t="e">
        <f>_xll.PTreeNodeValue(treeCalc_1!$F$2,107)</f>
        <v>#VALUE!</v>
      </c>
    </row>
    <row r="216" spans="7:13" x14ac:dyDescent="0.3">
      <c r="K216" s="17" t="e">
        <v>#VALUE!</v>
      </c>
      <c r="L216" s="15" t="s">
        <v>134</v>
      </c>
    </row>
    <row r="217" spans="7:13" x14ac:dyDescent="0.3">
      <c r="K217" s="13"/>
      <c r="L217" s="16" t="e">
        <f>_xll.PTreeNodeValue(treeCalc_1!$F$2,108)</f>
        <v>#VALUE!</v>
      </c>
    </row>
    <row r="218" spans="7:13" x14ac:dyDescent="0.3">
      <c r="L218" s="17" t="e">
        <v>#VALUE!</v>
      </c>
      <c r="M218" s="19" t="e">
        <f>_xll.PTreeNodeProbability(treeCalc_1!$F$2,109)</f>
        <v>#VALUE!</v>
      </c>
    </row>
    <row r="219" spans="7:13" x14ac:dyDescent="0.3">
      <c r="L219" s="13"/>
      <c r="M219" s="18" t="e">
        <f>_xll.PTreeNodeValue(treeCalc_1!$F$2,109)</f>
        <v>#VALUE!</v>
      </c>
    </row>
    <row r="220" spans="7:13" x14ac:dyDescent="0.3">
      <c r="G220" s="17" t="e">
        <v>#VALUE!</v>
      </c>
      <c r="H220" s="15" t="s">
        <v>145</v>
      </c>
    </row>
    <row r="221" spans="7:13" x14ac:dyDescent="0.3">
      <c r="G221" s="13"/>
      <c r="H221" s="16" t="e">
        <f>_xll.PTreeNodeValue(treeCalc_1!$F$2,110)</f>
        <v>#VALUE!</v>
      </c>
    </row>
    <row r="222" spans="7:13" x14ac:dyDescent="0.3">
      <c r="I222" s="17" t="e">
        <v>#VALUE!</v>
      </c>
      <c r="J222" s="15" t="s">
        <v>133</v>
      </c>
    </row>
    <row r="223" spans="7:13" x14ac:dyDescent="0.3">
      <c r="I223" s="13"/>
      <c r="J223" s="16" t="e">
        <f>_xll.PTreeNodeValue(treeCalc_1!$F$2,111)</f>
        <v>#VALUE!</v>
      </c>
    </row>
    <row r="224" spans="7:13" x14ac:dyDescent="0.3">
      <c r="J224" s="17" t="e">
        <v>#VALUE!</v>
      </c>
      <c r="K224" s="15" t="s">
        <v>132</v>
      </c>
    </row>
    <row r="225" spans="5:13" x14ac:dyDescent="0.3">
      <c r="J225" s="13"/>
      <c r="K225" s="16" t="e">
        <f>_xll.PTreeNodeValue(treeCalc_1!$F$2,112)</f>
        <v>#VALUE!</v>
      </c>
    </row>
    <row r="226" spans="5:13" x14ac:dyDescent="0.3">
      <c r="K226" s="17" t="e">
        <v>#VALUE!</v>
      </c>
      <c r="L226" s="15" t="s">
        <v>134</v>
      </c>
    </row>
    <row r="227" spans="5:13" x14ac:dyDescent="0.3">
      <c r="K227" s="13"/>
      <c r="L227" s="16" t="e">
        <f>_xll.PTreeNodeValue(treeCalc_1!$F$2,113)</f>
        <v>#VALUE!</v>
      </c>
    </row>
    <row r="228" spans="5:13" x14ac:dyDescent="0.3">
      <c r="L228" s="17" t="e">
        <v>#VALUE!</v>
      </c>
      <c r="M228" s="19" t="e">
        <f>_xll.PTreeNodeProbability(treeCalc_1!$F$2,114)</f>
        <v>#VALUE!</v>
      </c>
    </row>
    <row r="229" spans="5:13" x14ac:dyDescent="0.3">
      <c r="L229" s="13"/>
      <c r="M229" s="18" t="e">
        <f>_xll.PTreeNodeValue(treeCalc_1!$F$2,114)</f>
        <v>#VALUE!</v>
      </c>
    </row>
    <row r="230" spans="5:13" x14ac:dyDescent="0.3">
      <c r="H230" s="17" t="e">
        <v>#VALUE!</v>
      </c>
      <c r="I230" s="15" t="s">
        <v>146</v>
      </c>
    </row>
    <row r="231" spans="5:13" x14ac:dyDescent="0.3">
      <c r="H231" s="13"/>
      <c r="I231" s="16" t="e">
        <f>_xll.PTreeNodeValue(treeCalc_1!$F$2,115)</f>
        <v>#VALUE!</v>
      </c>
    </row>
    <row r="232" spans="5:13" x14ac:dyDescent="0.3">
      <c r="I232" s="17" t="e">
        <v>#VALUE!</v>
      </c>
      <c r="J232" s="15" t="s">
        <v>133</v>
      </c>
    </row>
    <row r="233" spans="5:13" x14ac:dyDescent="0.3">
      <c r="I233" s="13"/>
      <c r="J233" s="16" t="e">
        <f>_xll.PTreeNodeValue(treeCalc_1!$F$2,116)</f>
        <v>#VALUE!</v>
      </c>
    </row>
    <row r="234" spans="5:13" x14ac:dyDescent="0.3">
      <c r="J234" s="17" t="e">
        <v>#VALUE!</v>
      </c>
      <c r="K234" s="15" t="s">
        <v>132</v>
      </c>
    </row>
    <row r="235" spans="5:13" x14ac:dyDescent="0.3">
      <c r="J235" s="13"/>
      <c r="K235" s="16" t="e">
        <f>_xll.PTreeNodeValue(treeCalc_1!$F$2,117)</f>
        <v>#VALUE!</v>
      </c>
    </row>
    <row r="236" spans="5:13" x14ac:dyDescent="0.3">
      <c r="K236" s="17" t="e">
        <v>#VALUE!</v>
      </c>
      <c r="L236" s="15" t="s">
        <v>134</v>
      </c>
    </row>
    <row r="237" spans="5:13" x14ac:dyDescent="0.3">
      <c r="K237" s="13"/>
      <c r="L237" s="16" t="e">
        <f>_xll.PTreeNodeValue(treeCalc_1!$F$2,118)</f>
        <v>#VALUE!</v>
      </c>
    </row>
    <row r="238" spans="5:13" x14ac:dyDescent="0.3">
      <c r="L238" s="17" t="e">
        <v>#VALUE!</v>
      </c>
      <c r="M238" s="19" t="e">
        <f>_xll.PTreeNodeProbability(treeCalc_1!$F$2,119)</f>
        <v>#VALUE!</v>
      </c>
    </row>
    <row r="239" spans="5:13" x14ac:dyDescent="0.3">
      <c r="L239" s="13"/>
      <c r="M239" s="18" t="e">
        <f>_xll.PTreeNodeValue(treeCalc_1!$F$2,119)</f>
        <v>#VALUE!</v>
      </c>
    </row>
    <row r="240" spans="5:13" x14ac:dyDescent="0.3">
      <c r="E240" s="17" t="e">
        <v>#VALUE!</v>
      </c>
      <c r="F240" s="15" t="s">
        <v>141</v>
      </c>
    </row>
    <row r="241" spans="5:13" x14ac:dyDescent="0.3">
      <c r="E241" s="13"/>
      <c r="F241" s="16" t="e">
        <f>_xll.PTreeNodeValue(treeCalc_1!$F$2,120)</f>
        <v>#VALUE!</v>
      </c>
    </row>
    <row r="242" spans="5:13" x14ac:dyDescent="0.3">
      <c r="I242" s="17" t="e">
        <v>#VALUE!</v>
      </c>
      <c r="J242" s="15" t="s">
        <v>133</v>
      </c>
    </row>
    <row r="243" spans="5:13" x14ac:dyDescent="0.3">
      <c r="I243" s="13"/>
      <c r="J243" s="16" t="e">
        <f>_xll.PTreeNodeValue(treeCalc_1!$F$2,121)</f>
        <v>#VALUE!</v>
      </c>
    </row>
    <row r="244" spans="5:13" x14ac:dyDescent="0.3">
      <c r="J244" s="17" t="e">
        <v>#VALUE!</v>
      </c>
      <c r="K244" s="15" t="s">
        <v>132</v>
      </c>
    </row>
    <row r="245" spans="5:13" x14ac:dyDescent="0.3">
      <c r="J245" s="13"/>
      <c r="K245" s="16" t="e">
        <f>_xll.PTreeNodeValue(treeCalc_1!$F$2,122)</f>
        <v>#VALUE!</v>
      </c>
    </row>
    <row r="246" spans="5:13" x14ac:dyDescent="0.3">
      <c r="K246" s="17" t="e">
        <v>#VALUE!</v>
      </c>
      <c r="L246" s="15" t="s">
        <v>134</v>
      </c>
    </row>
    <row r="247" spans="5:13" x14ac:dyDescent="0.3">
      <c r="K247" s="13"/>
      <c r="L247" s="16" t="e">
        <f>_xll.PTreeNodeValue(treeCalc_1!$F$2,123)</f>
        <v>#VALUE!</v>
      </c>
    </row>
    <row r="248" spans="5:13" x14ac:dyDescent="0.3">
      <c r="L248" s="17" t="e">
        <v>#VALUE!</v>
      </c>
      <c r="M248" s="19" t="e">
        <f>_xll.PTreeNodeProbability(treeCalc_1!$F$2,124)</f>
        <v>#VALUE!</v>
      </c>
    </row>
    <row r="249" spans="5:13" x14ac:dyDescent="0.3">
      <c r="L249" s="13"/>
      <c r="M249" s="18" t="e">
        <f>_xll.PTreeNodeValue(treeCalc_1!$F$2,124)</f>
        <v>#VALUE!</v>
      </c>
    </row>
    <row r="250" spans="5:13" x14ac:dyDescent="0.3">
      <c r="H250" s="17" t="e">
        <v>#VALUE!</v>
      </c>
      <c r="I250" s="15" t="s">
        <v>146</v>
      </c>
    </row>
    <row r="251" spans="5:13" x14ac:dyDescent="0.3">
      <c r="H251" s="13"/>
      <c r="I251" s="16" t="e">
        <f>_xll.PTreeNodeValue(treeCalc_1!$F$2,125)</f>
        <v>#VALUE!</v>
      </c>
    </row>
    <row r="252" spans="5:13" x14ac:dyDescent="0.3">
      <c r="I252" s="17" t="e">
        <v>#VALUE!</v>
      </c>
      <c r="J252" s="15" t="s">
        <v>133</v>
      </c>
    </row>
    <row r="253" spans="5:13" x14ac:dyDescent="0.3">
      <c r="I253" s="13"/>
      <c r="J253" s="16" t="e">
        <f>_xll.PTreeNodeValue(treeCalc_1!$F$2,126)</f>
        <v>#VALUE!</v>
      </c>
    </row>
    <row r="254" spans="5:13" x14ac:dyDescent="0.3">
      <c r="J254" s="17" t="e">
        <v>#VALUE!</v>
      </c>
      <c r="K254" s="15" t="s">
        <v>132</v>
      </c>
    </row>
    <row r="255" spans="5:13" x14ac:dyDescent="0.3">
      <c r="J255" s="13"/>
      <c r="K255" s="16" t="e">
        <f>_xll.PTreeNodeValue(treeCalc_1!$F$2,127)</f>
        <v>#VALUE!</v>
      </c>
    </row>
    <row r="256" spans="5:13" x14ac:dyDescent="0.3">
      <c r="K256" s="17" t="e">
        <v>#VALUE!</v>
      </c>
      <c r="L256" s="15" t="s">
        <v>134</v>
      </c>
    </row>
    <row r="257" spans="7:13" x14ac:dyDescent="0.3">
      <c r="K257" s="13"/>
      <c r="L257" s="16" t="e">
        <f>_xll.PTreeNodeValue(treeCalc_1!$F$2,128)</f>
        <v>#VALUE!</v>
      </c>
    </row>
    <row r="258" spans="7:13" x14ac:dyDescent="0.3">
      <c r="L258" s="17" t="e">
        <v>#VALUE!</v>
      </c>
      <c r="M258" s="19" t="e">
        <f>_xll.PTreeNodeProbability(treeCalc_1!$F$2,129)</f>
        <v>#VALUE!</v>
      </c>
    </row>
    <row r="259" spans="7:13" x14ac:dyDescent="0.3">
      <c r="L259" s="13"/>
      <c r="M259" s="18" t="e">
        <f>_xll.PTreeNodeValue(treeCalc_1!$F$2,129)</f>
        <v>#VALUE!</v>
      </c>
    </row>
    <row r="260" spans="7:13" x14ac:dyDescent="0.3">
      <c r="G260" s="17" t="e">
        <v>#VALUE!</v>
      </c>
      <c r="H260" s="15" t="s">
        <v>145</v>
      </c>
    </row>
    <row r="261" spans="7:13" x14ac:dyDescent="0.3">
      <c r="G261" s="13"/>
      <c r="H261" s="16" t="e">
        <f>_xll.PTreeNodeValue(treeCalc_1!$F$2,130)</f>
        <v>#VALUE!</v>
      </c>
    </row>
    <row r="262" spans="7:13" x14ac:dyDescent="0.3">
      <c r="I262" s="17" t="e">
        <v>#VALUE!</v>
      </c>
      <c r="J262" s="15" t="s">
        <v>133</v>
      </c>
    </row>
    <row r="263" spans="7:13" x14ac:dyDescent="0.3">
      <c r="I263" s="13"/>
      <c r="J263" s="16" t="e">
        <f>_xll.PTreeNodeValue(treeCalc_1!$F$2,131)</f>
        <v>#VALUE!</v>
      </c>
    </row>
    <row r="264" spans="7:13" x14ac:dyDescent="0.3">
      <c r="J264" s="17" t="e">
        <v>#VALUE!</v>
      </c>
      <c r="K264" s="15" t="s">
        <v>132</v>
      </c>
    </row>
    <row r="265" spans="7:13" x14ac:dyDescent="0.3">
      <c r="J265" s="13"/>
      <c r="K265" s="16" t="e">
        <f>_xll.PTreeNodeValue(treeCalc_1!$F$2,132)</f>
        <v>#VALUE!</v>
      </c>
    </row>
    <row r="266" spans="7:13" x14ac:dyDescent="0.3">
      <c r="K266" s="17" t="e">
        <v>#VALUE!</v>
      </c>
      <c r="L266" s="15" t="s">
        <v>134</v>
      </c>
    </row>
    <row r="267" spans="7:13" x14ac:dyDescent="0.3">
      <c r="K267" s="13"/>
      <c r="L267" s="16" t="e">
        <f>_xll.PTreeNodeValue(treeCalc_1!$F$2,133)</f>
        <v>#VALUE!</v>
      </c>
    </row>
    <row r="268" spans="7:13" x14ac:dyDescent="0.3">
      <c r="L268" s="17" t="e">
        <v>#VALUE!</v>
      </c>
      <c r="M268" s="19" t="e">
        <f>_xll.PTreeNodeProbability(treeCalc_1!$F$2,134)</f>
        <v>#VALUE!</v>
      </c>
    </row>
    <row r="269" spans="7:13" x14ac:dyDescent="0.3">
      <c r="L269" s="13"/>
      <c r="M269" s="18" t="e">
        <f>_xll.PTreeNodeValue(treeCalc_1!$F$2,134)</f>
        <v>#VALUE!</v>
      </c>
    </row>
    <row r="270" spans="7:13" x14ac:dyDescent="0.3">
      <c r="H270" s="17" t="e">
        <v>#VALUE!</v>
      </c>
      <c r="I270" s="15" t="s">
        <v>146</v>
      </c>
    </row>
    <row r="271" spans="7:13" x14ac:dyDescent="0.3">
      <c r="H271" s="13"/>
      <c r="I271" s="16" t="e">
        <f>_xll.PTreeNodeValue(treeCalc_1!$F$2,135)</f>
        <v>#VALUE!</v>
      </c>
    </row>
    <row r="272" spans="7:13" x14ac:dyDescent="0.3">
      <c r="I272" s="17" t="e">
        <v>#VALUE!</v>
      </c>
      <c r="J272" s="15" t="s">
        <v>133</v>
      </c>
    </row>
    <row r="273" spans="6:13" x14ac:dyDescent="0.3">
      <c r="I273" s="13"/>
      <c r="J273" s="16" t="e">
        <f>_xll.PTreeNodeValue(treeCalc_1!$F$2,136)</f>
        <v>#VALUE!</v>
      </c>
    </row>
    <row r="274" spans="6:13" x14ac:dyDescent="0.3">
      <c r="J274" s="17" t="e">
        <v>#VALUE!</v>
      </c>
      <c r="K274" s="15" t="s">
        <v>132</v>
      </c>
    </row>
    <row r="275" spans="6:13" x14ac:dyDescent="0.3">
      <c r="J275" s="13"/>
      <c r="K275" s="16" t="e">
        <f>_xll.PTreeNodeValue(treeCalc_1!$F$2,137)</f>
        <v>#VALUE!</v>
      </c>
    </row>
    <row r="276" spans="6:13" x14ac:dyDescent="0.3">
      <c r="K276" s="17" t="e">
        <v>#VALUE!</v>
      </c>
      <c r="L276" s="15" t="s">
        <v>134</v>
      </c>
    </row>
    <row r="277" spans="6:13" x14ac:dyDescent="0.3">
      <c r="K277" s="13"/>
      <c r="L277" s="16" t="e">
        <f>_xll.PTreeNodeValue(treeCalc_1!$F$2,138)</f>
        <v>#VALUE!</v>
      </c>
    </row>
    <row r="278" spans="6:13" x14ac:dyDescent="0.3">
      <c r="L278" s="17" t="e">
        <v>#VALUE!</v>
      </c>
      <c r="M278" s="19" t="e">
        <f>_xll.PTreeNodeProbability(treeCalc_1!$F$2,139)</f>
        <v>#VALUE!</v>
      </c>
    </row>
    <row r="279" spans="6:13" x14ac:dyDescent="0.3">
      <c r="L279" s="13"/>
      <c r="M279" s="18" t="e">
        <f>_xll.PTreeNodeValue(treeCalc_1!$F$2,139)</f>
        <v>#VALUE!</v>
      </c>
    </row>
    <row r="280" spans="6:13" x14ac:dyDescent="0.3">
      <c r="F280" s="17" t="e">
        <v>#VALUE!</v>
      </c>
      <c r="G280" s="15" t="s">
        <v>144</v>
      </c>
    </row>
    <row r="281" spans="6:13" x14ac:dyDescent="0.3">
      <c r="F281" s="13"/>
      <c r="G281" s="16" t="e">
        <f>_xll.PTreeNodeValue(treeCalc_1!$F$2,140)</f>
        <v>#VALUE!</v>
      </c>
    </row>
    <row r="282" spans="6:13" x14ac:dyDescent="0.3">
      <c r="I282" s="17" t="e">
        <v>#VALUE!</v>
      </c>
      <c r="J282" s="15" t="s">
        <v>133</v>
      </c>
    </row>
    <row r="283" spans="6:13" x14ac:dyDescent="0.3">
      <c r="I283" s="13"/>
      <c r="J283" s="16" t="e">
        <f>_xll.PTreeNodeValue(treeCalc_1!$F$2,141)</f>
        <v>#VALUE!</v>
      </c>
    </row>
    <row r="284" spans="6:13" x14ac:dyDescent="0.3">
      <c r="J284" s="17" t="e">
        <v>#VALUE!</v>
      </c>
      <c r="K284" s="15" t="s">
        <v>132</v>
      </c>
    </row>
    <row r="285" spans="6:13" x14ac:dyDescent="0.3">
      <c r="J285" s="13"/>
      <c r="K285" s="16" t="e">
        <f>_xll.PTreeNodeValue(treeCalc_1!$F$2,142)</f>
        <v>#VALUE!</v>
      </c>
    </row>
    <row r="286" spans="6:13" x14ac:dyDescent="0.3">
      <c r="K286" s="17" t="e">
        <v>#VALUE!</v>
      </c>
      <c r="L286" s="15" t="s">
        <v>134</v>
      </c>
    </row>
    <row r="287" spans="6:13" x14ac:dyDescent="0.3">
      <c r="K287" s="13"/>
      <c r="L287" s="16" t="e">
        <f>_xll.PTreeNodeValue(treeCalc_1!$F$2,143)</f>
        <v>#VALUE!</v>
      </c>
    </row>
    <row r="288" spans="6:13" x14ac:dyDescent="0.3">
      <c r="L288" s="17" t="e">
        <v>#VALUE!</v>
      </c>
      <c r="M288" s="19" t="e">
        <f>_xll.PTreeNodeProbability(treeCalc_1!$F$2,144)</f>
        <v>#VALUE!</v>
      </c>
    </row>
    <row r="289" spans="7:13" x14ac:dyDescent="0.3">
      <c r="L289" s="13"/>
      <c r="M289" s="18" t="e">
        <f>_xll.PTreeNodeValue(treeCalc_1!$F$2,144)</f>
        <v>#VALUE!</v>
      </c>
    </row>
    <row r="290" spans="7:13" x14ac:dyDescent="0.3">
      <c r="H290" s="17" t="e">
        <v>#VALUE!</v>
      </c>
      <c r="I290" s="15" t="s">
        <v>146</v>
      </c>
    </row>
    <row r="291" spans="7:13" x14ac:dyDescent="0.3">
      <c r="H291" s="13"/>
      <c r="I291" s="16" t="e">
        <f>_xll.PTreeNodeValue(treeCalc_1!$F$2,145)</f>
        <v>#VALUE!</v>
      </c>
    </row>
    <row r="292" spans="7:13" x14ac:dyDescent="0.3">
      <c r="I292" s="17" t="e">
        <v>#VALUE!</v>
      </c>
      <c r="J292" s="15" t="s">
        <v>133</v>
      </c>
    </row>
    <row r="293" spans="7:13" x14ac:dyDescent="0.3">
      <c r="I293" s="13"/>
      <c r="J293" s="16" t="e">
        <f>_xll.PTreeNodeValue(treeCalc_1!$F$2,146)</f>
        <v>#VALUE!</v>
      </c>
    </row>
    <row r="294" spans="7:13" x14ac:dyDescent="0.3">
      <c r="J294" s="17" t="e">
        <v>#VALUE!</v>
      </c>
      <c r="K294" s="15" t="s">
        <v>132</v>
      </c>
    </row>
    <row r="295" spans="7:13" x14ac:dyDescent="0.3">
      <c r="J295" s="13"/>
      <c r="K295" s="16" t="e">
        <f>_xll.PTreeNodeValue(treeCalc_1!$F$2,147)</f>
        <v>#VALUE!</v>
      </c>
    </row>
    <row r="296" spans="7:13" x14ac:dyDescent="0.3">
      <c r="K296" s="17" t="e">
        <v>#VALUE!</v>
      </c>
      <c r="L296" s="15" t="s">
        <v>134</v>
      </c>
    </row>
    <row r="297" spans="7:13" x14ac:dyDescent="0.3">
      <c r="K297" s="13"/>
      <c r="L297" s="16" t="e">
        <f>_xll.PTreeNodeValue(treeCalc_1!$F$2,148)</f>
        <v>#VALUE!</v>
      </c>
    </row>
    <row r="298" spans="7:13" x14ac:dyDescent="0.3">
      <c r="L298" s="17" t="e">
        <v>#VALUE!</v>
      </c>
      <c r="M298" s="19" t="e">
        <f>_xll.PTreeNodeProbability(treeCalc_1!$F$2,149)</f>
        <v>#VALUE!</v>
      </c>
    </row>
    <row r="299" spans="7:13" x14ac:dyDescent="0.3">
      <c r="L299" s="13"/>
      <c r="M299" s="18" t="e">
        <f>_xll.PTreeNodeValue(treeCalc_1!$F$2,149)</f>
        <v>#VALUE!</v>
      </c>
    </row>
    <row r="300" spans="7:13" x14ac:dyDescent="0.3">
      <c r="G300" s="17" t="e">
        <v>#VALUE!</v>
      </c>
      <c r="H300" s="15" t="s">
        <v>145</v>
      </c>
    </row>
    <row r="301" spans="7:13" x14ac:dyDescent="0.3">
      <c r="G301" s="13"/>
      <c r="H301" s="16" t="e">
        <f>_xll.PTreeNodeValue(treeCalc_1!$F$2,150)</f>
        <v>#VALUE!</v>
      </c>
    </row>
    <row r="302" spans="7:13" x14ac:dyDescent="0.3">
      <c r="I302" s="17" t="e">
        <v>#VALUE!</v>
      </c>
      <c r="J302" s="15" t="s">
        <v>133</v>
      </c>
    </row>
    <row r="303" spans="7:13" x14ac:dyDescent="0.3">
      <c r="I303" s="13"/>
      <c r="J303" s="16" t="e">
        <f>_xll.PTreeNodeValue(treeCalc_1!$F$2,151)</f>
        <v>#VALUE!</v>
      </c>
    </row>
    <row r="304" spans="7:13" x14ac:dyDescent="0.3">
      <c r="J304" s="17" t="e">
        <v>#VALUE!</v>
      </c>
      <c r="K304" s="15" t="s">
        <v>132</v>
      </c>
    </row>
    <row r="305" spans="3:13" x14ac:dyDescent="0.3">
      <c r="J305" s="13"/>
      <c r="K305" s="16" t="e">
        <f>_xll.PTreeNodeValue(treeCalc_1!$F$2,152)</f>
        <v>#VALUE!</v>
      </c>
    </row>
    <row r="306" spans="3:13" x14ac:dyDescent="0.3">
      <c r="K306" s="17" t="e">
        <v>#VALUE!</v>
      </c>
      <c r="L306" s="15" t="s">
        <v>134</v>
      </c>
    </row>
    <row r="307" spans="3:13" x14ac:dyDescent="0.3">
      <c r="K307" s="13"/>
      <c r="L307" s="16" t="e">
        <f>_xll.PTreeNodeValue(treeCalc_1!$F$2,153)</f>
        <v>#VALUE!</v>
      </c>
    </row>
    <row r="308" spans="3:13" x14ac:dyDescent="0.3">
      <c r="L308" s="17" t="e">
        <v>#VALUE!</v>
      </c>
      <c r="M308" s="19" t="e">
        <f>_xll.PTreeNodeProbability(treeCalc_1!$F$2,154)</f>
        <v>#VALUE!</v>
      </c>
    </row>
    <row r="309" spans="3:13" x14ac:dyDescent="0.3">
      <c r="L309" s="13"/>
      <c r="M309" s="18" t="e">
        <f>_xll.PTreeNodeValue(treeCalc_1!$F$2,154)</f>
        <v>#VALUE!</v>
      </c>
    </row>
    <row r="310" spans="3:13" x14ac:dyDescent="0.3">
      <c r="H310" s="17" t="e">
        <v>#VALUE!</v>
      </c>
      <c r="I310" s="15" t="s">
        <v>146</v>
      </c>
    </row>
    <row r="311" spans="3:13" x14ac:dyDescent="0.3">
      <c r="H311" s="13"/>
      <c r="I311" s="16" t="e">
        <f>_xll.PTreeNodeValue(treeCalc_1!$F$2,155)</f>
        <v>#VALUE!</v>
      </c>
    </row>
    <row r="312" spans="3:13" x14ac:dyDescent="0.3">
      <c r="I312" s="17" t="e">
        <v>#VALUE!</v>
      </c>
      <c r="J312" s="15" t="s">
        <v>133</v>
      </c>
    </row>
    <row r="313" spans="3:13" x14ac:dyDescent="0.3">
      <c r="I313" s="13"/>
      <c r="J313" s="16" t="e">
        <f>_xll.PTreeNodeValue(treeCalc_1!$F$2,156)</f>
        <v>#VALUE!</v>
      </c>
    </row>
    <row r="314" spans="3:13" x14ac:dyDescent="0.3">
      <c r="J314" s="17" t="e">
        <v>#VALUE!</v>
      </c>
      <c r="K314" s="15" t="s">
        <v>132</v>
      </c>
    </row>
    <row r="315" spans="3:13" x14ac:dyDescent="0.3">
      <c r="J315" s="13"/>
      <c r="K315" s="16" t="e">
        <f>_xll.PTreeNodeValue(treeCalc_1!$F$2,157)</f>
        <v>#VALUE!</v>
      </c>
    </row>
    <row r="316" spans="3:13" x14ac:dyDescent="0.3">
      <c r="K316" s="17" t="e">
        <v>#VALUE!</v>
      </c>
      <c r="L316" s="15" t="s">
        <v>134</v>
      </c>
    </row>
    <row r="317" spans="3:13" x14ac:dyDescent="0.3">
      <c r="K317" s="13"/>
      <c r="L317" s="16" t="e">
        <f>_xll.PTreeNodeValue(treeCalc_1!$F$2,158)</f>
        <v>#VALUE!</v>
      </c>
    </row>
    <row r="318" spans="3:13" x14ac:dyDescent="0.3">
      <c r="L318" s="17" t="e">
        <v>#VALUE!</v>
      </c>
      <c r="M318" s="19" t="e">
        <f>_xll.PTreeNodeProbability(treeCalc_1!$F$2,159)</f>
        <v>#VALUE!</v>
      </c>
    </row>
    <row r="319" spans="3:13" x14ac:dyDescent="0.3">
      <c r="L319" s="13"/>
      <c r="M319" s="18" t="e">
        <f>_xll.PTreeNodeValue(treeCalc_1!$F$2,159)</f>
        <v>#VALUE!</v>
      </c>
    </row>
    <row r="320" spans="3:13" x14ac:dyDescent="0.3">
      <c r="C320" s="14" t="e">
        <f>_xll.PTreeNodeDecision(treeCalc_1!$F$2,160)</f>
        <v>#VALUE!</v>
      </c>
      <c r="D320" s="11" t="s">
        <v>139</v>
      </c>
    </row>
    <row r="321" spans="3:13" x14ac:dyDescent="0.3">
      <c r="C321" s="13"/>
      <c r="D321" s="12" t="e">
        <f>_xll.PTreeNodeValue(treeCalc_1!$F$2,160)</f>
        <v>#VALUE!</v>
      </c>
    </row>
    <row r="322" spans="3:13" x14ac:dyDescent="0.3">
      <c r="I322" s="17" t="e">
        <v>#VALUE!</v>
      </c>
      <c r="J322" s="15" t="s">
        <v>133</v>
      </c>
    </row>
    <row r="323" spans="3:13" x14ac:dyDescent="0.3">
      <c r="I323" s="13"/>
      <c r="J323" s="16" t="e">
        <f>_xll.PTreeNodeValue(treeCalc_1!$F$2,161)</f>
        <v>#VALUE!</v>
      </c>
    </row>
    <row r="324" spans="3:13" x14ac:dyDescent="0.3">
      <c r="J324" s="17" t="e">
        <v>#VALUE!</v>
      </c>
      <c r="K324" s="15" t="s">
        <v>132</v>
      </c>
    </row>
    <row r="325" spans="3:13" x14ac:dyDescent="0.3">
      <c r="J325" s="13"/>
      <c r="K325" s="16" t="e">
        <f>_xll.PTreeNodeValue(treeCalc_1!$F$2,162)</f>
        <v>#VALUE!</v>
      </c>
    </row>
    <row r="326" spans="3:13" x14ac:dyDescent="0.3">
      <c r="K326" s="17" t="e">
        <v>#VALUE!</v>
      </c>
      <c r="L326" s="15" t="s">
        <v>134</v>
      </c>
    </row>
    <row r="327" spans="3:13" x14ac:dyDescent="0.3">
      <c r="K327" s="13"/>
      <c r="L327" s="16" t="e">
        <f>_xll.PTreeNodeValue(treeCalc_1!$F$2,163)</f>
        <v>#VALUE!</v>
      </c>
    </row>
    <row r="328" spans="3:13" x14ac:dyDescent="0.3">
      <c r="L328" s="17" t="e">
        <v>#VALUE!</v>
      </c>
      <c r="M328" s="19" t="e">
        <f>_xll.PTreeNodeProbability(treeCalc_1!$F$2,164)</f>
        <v>#VALUE!</v>
      </c>
    </row>
    <row r="329" spans="3:13" x14ac:dyDescent="0.3">
      <c r="L329" s="13"/>
      <c r="M329" s="18" t="e">
        <f>_xll.PTreeNodeValue(treeCalc_1!$F$2,164)</f>
        <v>#VALUE!</v>
      </c>
    </row>
    <row r="330" spans="3:13" x14ac:dyDescent="0.3">
      <c r="H330" s="17" t="e">
        <v>#VALUE!</v>
      </c>
      <c r="I330" s="15" t="s">
        <v>146</v>
      </c>
    </row>
    <row r="331" spans="3:13" x14ac:dyDescent="0.3">
      <c r="H331" s="13"/>
      <c r="I331" s="16" t="e">
        <f>_xll.PTreeNodeValue(treeCalc_1!$F$2,165)</f>
        <v>#VALUE!</v>
      </c>
    </row>
    <row r="332" spans="3:13" x14ac:dyDescent="0.3">
      <c r="I332" s="17" t="e">
        <v>#VALUE!</v>
      </c>
      <c r="J332" s="15" t="s">
        <v>133</v>
      </c>
    </row>
    <row r="333" spans="3:13" x14ac:dyDescent="0.3">
      <c r="I333" s="13"/>
      <c r="J333" s="16" t="e">
        <f>_xll.PTreeNodeValue(treeCalc_1!$F$2,166)</f>
        <v>#VALUE!</v>
      </c>
    </row>
    <row r="334" spans="3:13" x14ac:dyDescent="0.3">
      <c r="J334" s="17" t="e">
        <v>#VALUE!</v>
      </c>
      <c r="K334" s="15" t="s">
        <v>132</v>
      </c>
    </row>
    <row r="335" spans="3:13" x14ac:dyDescent="0.3">
      <c r="J335" s="13"/>
      <c r="K335" s="16" t="e">
        <f>_xll.PTreeNodeValue(treeCalc_1!$F$2,167)</f>
        <v>#VALUE!</v>
      </c>
    </row>
    <row r="336" spans="3:13" x14ac:dyDescent="0.3">
      <c r="K336" s="17" t="e">
        <v>#VALUE!</v>
      </c>
      <c r="L336" s="15" t="s">
        <v>134</v>
      </c>
    </row>
    <row r="337" spans="7:13" x14ac:dyDescent="0.3">
      <c r="K337" s="13"/>
      <c r="L337" s="16" t="e">
        <f>_xll.PTreeNodeValue(treeCalc_1!$F$2,168)</f>
        <v>#VALUE!</v>
      </c>
    </row>
    <row r="338" spans="7:13" x14ac:dyDescent="0.3">
      <c r="L338" s="17" t="e">
        <v>#VALUE!</v>
      </c>
      <c r="M338" s="19" t="e">
        <f>_xll.PTreeNodeProbability(treeCalc_1!$F$2,169)</f>
        <v>#VALUE!</v>
      </c>
    </row>
    <row r="339" spans="7:13" x14ac:dyDescent="0.3">
      <c r="L339" s="13"/>
      <c r="M339" s="18" t="e">
        <f>_xll.PTreeNodeValue(treeCalc_1!$F$2,169)</f>
        <v>#VALUE!</v>
      </c>
    </row>
    <row r="340" spans="7:13" x14ac:dyDescent="0.3">
      <c r="G340" s="17" t="e">
        <v>#VALUE!</v>
      </c>
      <c r="H340" s="15" t="s">
        <v>145</v>
      </c>
    </row>
    <row r="341" spans="7:13" x14ac:dyDescent="0.3">
      <c r="G341" s="13"/>
      <c r="H341" s="16" t="e">
        <f>_xll.PTreeNodeValue(treeCalc_1!$F$2,170)</f>
        <v>#VALUE!</v>
      </c>
    </row>
    <row r="342" spans="7:13" x14ac:dyDescent="0.3">
      <c r="I342" s="17" t="e">
        <v>#VALUE!</v>
      </c>
      <c r="J342" s="15" t="s">
        <v>133</v>
      </c>
    </row>
    <row r="343" spans="7:13" x14ac:dyDescent="0.3">
      <c r="I343" s="13"/>
      <c r="J343" s="16" t="e">
        <f>_xll.PTreeNodeValue(treeCalc_1!$F$2,171)</f>
        <v>#VALUE!</v>
      </c>
    </row>
    <row r="344" spans="7:13" x14ac:dyDescent="0.3">
      <c r="J344" s="17" t="e">
        <v>#VALUE!</v>
      </c>
      <c r="K344" s="15" t="s">
        <v>132</v>
      </c>
    </row>
    <row r="345" spans="7:13" x14ac:dyDescent="0.3">
      <c r="J345" s="13"/>
      <c r="K345" s="16" t="e">
        <f>_xll.PTreeNodeValue(treeCalc_1!$F$2,172)</f>
        <v>#VALUE!</v>
      </c>
    </row>
    <row r="346" spans="7:13" x14ac:dyDescent="0.3">
      <c r="K346" s="17" t="e">
        <v>#VALUE!</v>
      </c>
      <c r="L346" s="15" t="s">
        <v>134</v>
      </c>
    </row>
    <row r="347" spans="7:13" x14ac:dyDescent="0.3">
      <c r="K347" s="13"/>
      <c r="L347" s="16" t="e">
        <f>_xll.PTreeNodeValue(treeCalc_1!$F$2,173)</f>
        <v>#VALUE!</v>
      </c>
    </row>
    <row r="348" spans="7:13" x14ac:dyDescent="0.3">
      <c r="L348" s="17" t="e">
        <v>#VALUE!</v>
      </c>
      <c r="M348" s="19" t="e">
        <f>_xll.PTreeNodeProbability(treeCalc_1!$F$2,174)</f>
        <v>#VALUE!</v>
      </c>
    </row>
    <row r="349" spans="7:13" x14ac:dyDescent="0.3">
      <c r="L349" s="13"/>
      <c r="M349" s="18" t="e">
        <f>_xll.PTreeNodeValue(treeCalc_1!$F$2,174)</f>
        <v>#VALUE!</v>
      </c>
    </row>
    <row r="350" spans="7:13" x14ac:dyDescent="0.3">
      <c r="H350" s="17" t="e">
        <v>#VALUE!</v>
      </c>
      <c r="I350" s="15" t="s">
        <v>146</v>
      </c>
    </row>
    <row r="351" spans="7:13" x14ac:dyDescent="0.3">
      <c r="H351" s="13"/>
      <c r="I351" s="16" t="e">
        <f>_xll.PTreeNodeValue(treeCalc_1!$F$2,175)</f>
        <v>#VALUE!</v>
      </c>
    </row>
    <row r="352" spans="7:13" x14ac:dyDescent="0.3">
      <c r="I352" s="17" t="e">
        <v>#VALUE!</v>
      </c>
      <c r="J352" s="15" t="s">
        <v>133</v>
      </c>
    </row>
    <row r="353" spans="6:13" x14ac:dyDescent="0.3">
      <c r="I353" s="13"/>
      <c r="J353" s="16" t="e">
        <f>_xll.PTreeNodeValue(treeCalc_1!$F$2,176)</f>
        <v>#VALUE!</v>
      </c>
    </row>
    <row r="354" spans="6:13" x14ac:dyDescent="0.3">
      <c r="J354" s="17" t="e">
        <v>#VALUE!</v>
      </c>
      <c r="K354" s="15" t="s">
        <v>132</v>
      </c>
    </row>
    <row r="355" spans="6:13" x14ac:dyDescent="0.3">
      <c r="J355" s="13"/>
      <c r="K355" s="16" t="e">
        <f>_xll.PTreeNodeValue(treeCalc_1!$F$2,177)</f>
        <v>#VALUE!</v>
      </c>
    </row>
    <row r="356" spans="6:13" x14ac:dyDescent="0.3">
      <c r="K356" s="17" t="e">
        <v>#VALUE!</v>
      </c>
      <c r="L356" s="15" t="s">
        <v>134</v>
      </c>
    </row>
    <row r="357" spans="6:13" x14ac:dyDescent="0.3">
      <c r="K357" s="13"/>
      <c r="L357" s="16" t="e">
        <f>_xll.PTreeNodeValue(treeCalc_1!$F$2,178)</f>
        <v>#VALUE!</v>
      </c>
    </row>
    <row r="358" spans="6:13" x14ac:dyDescent="0.3">
      <c r="L358" s="17" t="e">
        <v>#VALUE!</v>
      </c>
      <c r="M358" s="19" t="e">
        <f>_xll.PTreeNodeProbability(treeCalc_1!$F$2,179)</f>
        <v>#VALUE!</v>
      </c>
    </row>
    <row r="359" spans="6:13" x14ac:dyDescent="0.3">
      <c r="L359" s="13"/>
      <c r="M359" s="18" t="e">
        <f>_xll.PTreeNodeValue(treeCalc_1!$F$2,179)</f>
        <v>#VALUE!</v>
      </c>
    </row>
    <row r="360" spans="6:13" x14ac:dyDescent="0.3">
      <c r="F360" s="17" t="e">
        <v>#VALUE!</v>
      </c>
      <c r="G360" s="15" t="s">
        <v>144</v>
      </c>
    </row>
    <row r="361" spans="6:13" x14ac:dyDescent="0.3">
      <c r="F361" s="13"/>
      <c r="G361" s="16" t="e">
        <f>_xll.PTreeNodeValue(treeCalc_1!$F$2,180)</f>
        <v>#VALUE!</v>
      </c>
    </row>
    <row r="362" spans="6:13" x14ac:dyDescent="0.3">
      <c r="I362" s="17" t="e">
        <v>#VALUE!</v>
      </c>
      <c r="J362" s="15" t="s">
        <v>133</v>
      </c>
    </row>
    <row r="363" spans="6:13" x14ac:dyDescent="0.3">
      <c r="I363" s="13"/>
      <c r="J363" s="16" t="e">
        <f>_xll.PTreeNodeValue(treeCalc_1!$F$2,181)</f>
        <v>#VALUE!</v>
      </c>
    </row>
    <row r="364" spans="6:13" x14ac:dyDescent="0.3">
      <c r="J364" s="17" t="e">
        <v>#VALUE!</v>
      </c>
      <c r="K364" s="15" t="s">
        <v>132</v>
      </c>
    </row>
    <row r="365" spans="6:13" x14ac:dyDescent="0.3">
      <c r="J365" s="13"/>
      <c r="K365" s="16" t="e">
        <f>_xll.PTreeNodeValue(treeCalc_1!$F$2,182)</f>
        <v>#VALUE!</v>
      </c>
    </row>
    <row r="366" spans="6:13" x14ac:dyDescent="0.3">
      <c r="K366" s="17" t="e">
        <v>#VALUE!</v>
      </c>
      <c r="L366" s="15" t="s">
        <v>134</v>
      </c>
    </row>
    <row r="367" spans="6:13" x14ac:dyDescent="0.3">
      <c r="K367" s="13"/>
      <c r="L367" s="16" t="e">
        <f>_xll.PTreeNodeValue(treeCalc_1!$F$2,183)</f>
        <v>#VALUE!</v>
      </c>
    </row>
    <row r="368" spans="6:13" x14ac:dyDescent="0.3">
      <c r="L368" s="17" t="e">
        <v>#VALUE!</v>
      </c>
      <c r="M368" s="19" t="e">
        <f>_xll.PTreeNodeProbability(treeCalc_1!$F$2,184)</f>
        <v>#VALUE!</v>
      </c>
    </row>
    <row r="369" spans="7:13" x14ac:dyDescent="0.3">
      <c r="L369" s="13"/>
      <c r="M369" s="18" t="e">
        <f>_xll.PTreeNodeValue(treeCalc_1!$F$2,184)</f>
        <v>#VALUE!</v>
      </c>
    </row>
    <row r="370" spans="7:13" x14ac:dyDescent="0.3">
      <c r="H370" s="17" t="e">
        <v>#VALUE!</v>
      </c>
      <c r="I370" s="15" t="s">
        <v>146</v>
      </c>
    </row>
    <row r="371" spans="7:13" x14ac:dyDescent="0.3">
      <c r="H371" s="13"/>
      <c r="I371" s="16" t="e">
        <f>_xll.PTreeNodeValue(treeCalc_1!$F$2,185)</f>
        <v>#VALUE!</v>
      </c>
    </row>
    <row r="372" spans="7:13" x14ac:dyDescent="0.3">
      <c r="I372" s="17" t="e">
        <v>#VALUE!</v>
      </c>
      <c r="J372" s="15" t="s">
        <v>133</v>
      </c>
    </row>
    <row r="373" spans="7:13" x14ac:dyDescent="0.3">
      <c r="I373" s="13"/>
      <c r="J373" s="16" t="e">
        <f>_xll.PTreeNodeValue(treeCalc_1!$F$2,186)</f>
        <v>#VALUE!</v>
      </c>
    </row>
    <row r="374" spans="7:13" x14ac:dyDescent="0.3">
      <c r="J374" s="17" t="e">
        <v>#VALUE!</v>
      </c>
      <c r="K374" s="15" t="s">
        <v>132</v>
      </c>
    </row>
    <row r="375" spans="7:13" x14ac:dyDescent="0.3">
      <c r="J375" s="13"/>
      <c r="K375" s="16" t="e">
        <f>_xll.PTreeNodeValue(treeCalc_1!$F$2,187)</f>
        <v>#VALUE!</v>
      </c>
    </row>
    <row r="376" spans="7:13" x14ac:dyDescent="0.3">
      <c r="K376" s="17" t="e">
        <v>#VALUE!</v>
      </c>
      <c r="L376" s="15" t="s">
        <v>134</v>
      </c>
    </row>
    <row r="377" spans="7:13" x14ac:dyDescent="0.3">
      <c r="K377" s="13"/>
      <c r="L377" s="16" t="e">
        <f>_xll.PTreeNodeValue(treeCalc_1!$F$2,188)</f>
        <v>#VALUE!</v>
      </c>
    </row>
    <row r="378" spans="7:13" x14ac:dyDescent="0.3">
      <c r="L378" s="17" t="e">
        <v>#VALUE!</v>
      </c>
      <c r="M378" s="19" t="e">
        <f>_xll.PTreeNodeProbability(treeCalc_1!$F$2,189)</f>
        <v>#VALUE!</v>
      </c>
    </row>
    <row r="379" spans="7:13" x14ac:dyDescent="0.3">
      <c r="L379" s="13"/>
      <c r="M379" s="18" t="e">
        <f>_xll.PTreeNodeValue(treeCalc_1!$F$2,189)</f>
        <v>#VALUE!</v>
      </c>
    </row>
    <row r="380" spans="7:13" x14ac:dyDescent="0.3">
      <c r="G380" s="17" t="e">
        <v>#VALUE!</v>
      </c>
      <c r="H380" s="15" t="s">
        <v>145</v>
      </c>
    </row>
    <row r="381" spans="7:13" x14ac:dyDescent="0.3">
      <c r="G381" s="13"/>
      <c r="H381" s="16" t="e">
        <f>_xll.PTreeNodeValue(treeCalc_1!$F$2,190)</f>
        <v>#VALUE!</v>
      </c>
    </row>
    <row r="382" spans="7:13" x14ac:dyDescent="0.3">
      <c r="I382" s="17" t="e">
        <v>#VALUE!</v>
      </c>
      <c r="J382" s="15" t="s">
        <v>133</v>
      </c>
    </row>
    <row r="383" spans="7:13" x14ac:dyDescent="0.3">
      <c r="I383" s="13"/>
      <c r="J383" s="16" t="e">
        <f>_xll.PTreeNodeValue(treeCalc_1!$F$2,191)</f>
        <v>#VALUE!</v>
      </c>
    </row>
    <row r="384" spans="7:13" x14ac:dyDescent="0.3">
      <c r="J384" s="17" t="e">
        <v>#VALUE!</v>
      </c>
      <c r="K384" s="15" t="s">
        <v>132</v>
      </c>
    </row>
    <row r="385" spans="5:13" x14ac:dyDescent="0.3">
      <c r="J385" s="13"/>
      <c r="K385" s="16" t="e">
        <f>_xll.PTreeNodeValue(treeCalc_1!$F$2,192)</f>
        <v>#VALUE!</v>
      </c>
    </row>
    <row r="386" spans="5:13" x14ac:dyDescent="0.3">
      <c r="K386" s="17" t="e">
        <v>#VALUE!</v>
      </c>
      <c r="L386" s="15" t="s">
        <v>134</v>
      </c>
    </row>
    <row r="387" spans="5:13" x14ac:dyDescent="0.3">
      <c r="K387" s="13"/>
      <c r="L387" s="16" t="e">
        <f>_xll.PTreeNodeValue(treeCalc_1!$F$2,193)</f>
        <v>#VALUE!</v>
      </c>
    </row>
    <row r="388" spans="5:13" x14ac:dyDescent="0.3">
      <c r="L388" s="17" t="e">
        <v>#VALUE!</v>
      </c>
      <c r="M388" s="19" t="e">
        <f>_xll.PTreeNodeProbability(treeCalc_1!$F$2,194)</f>
        <v>#VALUE!</v>
      </c>
    </row>
    <row r="389" spans="5:13" x14ac:dyDescent="0.3">
      <c r="L389" s="13"/>
      <c r="M389" s="18" t="e">
        <f>_xll.PTreeNodeValue(treeCalc_1!$F$2,194)</f>
        <v>#VALUE!</v>
      </c>
    </row>
    <row r="390" spans="5:13" x14ac:dyDescent="0.3">
      <c r="H390" s="17" t="e">
        <v>#VALUE!</v>
      </c>
      <c r="I390" s="15" t="s">
        <v>146</v>
      </c>
    </row>
    <row r="391" spans="5:13" x14ac:dyDescent="0.3">
      <c r="H391" s="13"/>
      <c r="I391" s="16" t="e">
        <f>_xll.PTreeNodeValue(treeCalc_1!$F$2,195)</f>
        <v>#VALUE!</v>
      </c>
    </row>
    <row r="392" spans="5:13" x14ac:dyDescent="0.3">
      <c r="I392" s="17" t="e">
        <v>#VALUE!</v>
      </c>
      <c r="J392" s="15" t="s">
        <v>133</v>
      </c>
    </row>
    <row r="393" spans="5:13" x14ac:dyDescent="0.3">
      <c r="I393" s="13"/>
      <c r="J393" s="16" t="e">
        <f>_xll.PTreeNodeValue(treeCalc_1!$F$2,196)</f>
        <v>#VALUE!</v>
      </c>
    </row>
    <row r="394" spans="5:13" x14ac:dyDescent="0.3">
      <c r="J394" s="17" t="e">
        <v>#VALUE!</v>
      </c>
      <c r="K394" s="15" t="s">
        <v>132</v>
      </c>
    </row>
    <row r="395" spans="5:13" x14ac:dyDescent="0.3">
      <c r="J395" s="13"/>
      <c r="K395" s="16" t="e">
        <f>_xll.PTreeNodeValue(treeCalc_1!$F$2,197)</f>
        <v>#VALUE!</v>
      </c>
    </row>
    <row r="396" spans="5:13" x14ac:dyDescent="0.3">
      <c r="K396" s="17" t="e">
        <v>#VALUE!</v>
      </c>
      <c r="L396" s="15" t="s">
        <v>134</v>
      </c>
    </row>
    <row r="397" spans="5:13" x14ac:dyDescent="0.3">
      <c r="K397" s="13"/>
      <c r="L397" s="16" t="e">
        <f>_xll.PTreeNodeValue(treeCalc_1!$F$2,198)</f>
        <v>#VALUE!</v>
      </c>
    </row>
    <row r="398" spans="5:13" x14ac:dyDescent="0.3">
      <c r="L398" s="17" t="e">
        <v>#VALUE!</v>
      </c>
      <c r="M398" s="19" t="e">
        <f>_xll.PTreeNodeProbability(treeCalc_1!$F$2,199)</f>
        <v>#VALUE!</v>
      </c>
    </row>
    <row r="399" spans="5:13" x14ac:dyDescent="0.3">
      <c r="L399" s="13"/>
      <c r="M399" s="18" t="e">
        <f>_xll.PTreeNodeValue(treeCalc_1!$F$2,199)</f>
        <v>#VALUE!</v>
      </c>
    </row>
    <row r="400" spans="5:13" x14ac:dyDescent="0.3">
      <c r="E400" s="17" t="e">
        <v>#VALUE!</v>
      </c>
      <c r="F400" s="15" t="s">
        <v>141</v>
      </c>
    </row>
    <row r="401" spans="5:13" x14ac:dyDescent="0.3">
      <c r="E401" s="13"/>
      <c r="F401" s="16" t="e">
        <f>_xll.PTreeNodeValue(treeCalc_1!$F$2,200)</f>
        <v>#VALUE!</v>
      </c>
    </row>
    <row r="402" spans="5:13" x14ac:dyDescent="0.3">
      <c r="I402" s="17" t="e">
        <v>#VALUE!</v>
      </c>
      <c r="J402" s="15" t="s">
        <v>133</v>
      </c>
    </row>
    <row r="403" spans="5:13" x14ac:dyDescent="0.3">
      <c r="I403" s="13"/>
      <c r="J403" s="16" t="e">
        <f>_xll.PTreeNodeValue(treeCalc_1!$F$2,201)</f>
        <v>#VALUE!</v>
      </c>
    </row>
    <row r="404" spans="5:13" x14ac:dyDescent="0.3">
      <c r="J404" s="17" t="e">
        <v>#VALUE!</v>
      </c>
      <c r="K404" s="15" t="s">
        <v>132</v>
      </c>
    </row>
    <row r="405" spans="5:13" x14ac:dyDescent="0.3">
      <c r="J405" s="13"/>
      <c r="K405" s="16" t="e">
        <f>_xll.PTreeNodeValue(treeCalc_1!$F$2,202)</f>
        <v>#VALUE!</v>
      </c>
    </row>
    <row r="406" spans="5:13" x14ac:dyDescent="0.3">
      <c r="K406" s="17" t="e">
        <v>#VALUE!</v>
      </c>
      <c r="L406" s="15" t="s">
        <v>134</v>
      </c>
    </row>
    <row r="407" spans="5:13" x14ac:dyDescent="0.3">
      <c r="K407" s="13"/>
      <c r="L407" s="16" t="e">
        <f>_xll.PTreeNodeValue(treeCalc_1!$F$2,203)</f>
        <v>#VALUE!</v>
      </c>
    </row>
    <row r="408" spans="5:13" x14ac:dyDescent="0.3">
      <c r="L408" s="17" t="e">
        <v>#VALUE!</v>
      </c>
      <c r="M408" s="19" t="e">
        <f>_xll.PTreeNodeProbability(treeCalc_1!$F$2,204)</f>
        <v>#VALUE!</v>
      </c>
    </row>
    <row r="409" spans="5:13" x14ac:dyDescent="0.3">
      <c r="L409" s="13"/>
      <c r="M409" s="18" t="e">
        <f>_xll.PTreeNodeValue(treeCalc_1!$F$2,204)</f>
        <v>#VALUE!</v>
      </c>
    </row>
    <row r="410" spans="5:13" x14ac:dyDescent="0.3">
      <c r="H410" s="17" t="e">
        <v>#VALUE!</v>
      </c>
      <c r="I410" s="15" t="s">
        <v>146</v>
      </c>
    </row>
    <row r="411" spans="5:13" x14ac:dyDescent="0.3">
      <c r="H411" s="13"/>
      <c r="I411" s="16" t="e">
        <f>_xll.PTreeNodeValue(treeCalc_1!$F$2,205)</f>
        <v>#VALUE!</v>
      </c>
    </row>
    <row r="412" spans="5:13" x14ac:dyDescent="0.3">
      <c r="I412" s="17" t="e">
        <v>#VALUE!</v>
      </c>
      <c r="J412" s="15" t="s">
        <v>133</v>
      </c>
    </row>
    <row r="413" spans="5:13" x14ac:dyDescent="0.3">
      <c r="I413" s="13"/>
      <c r="J413" s="16" t="e">
        <f>_xll.PTreeNodeValue(treeCalc_1!$F$2,206)</f>
        <v>#VALUE!</v>
      </c>
    </row>
    <row r="414" spans="5:13" x14ac:dyDescent="0.3">
      <c r="J414" s="17" t="e">
        <v>#VALUE!</v>
      </c>
      <c r="K414" s="15" t="s">
        <v>132</v>
      </c>
    </row>
    <row r="415" spans="5:13" x14ac:dyDescent="0.3">
      <c r="J415" s="13"/>
      <c r="K415" s="16" t="e">
        <f>_xll.PTreeNodeValue(treeCalc_1!$F$2,207)</f>
        <v>#VALUE!</v>
      </c>
    </row>
    <row r="416" spans="5:13" x14ac:dyDescent="0.3">
      <c r="K416" s="17" t="e">
        <v>#VALUE!</v>
      </c>
      <c r="L416" s="15" t="s">
        <v>134</v>
      </c>
    </row>
    <row r="417" spans="7:13" x14ac:dyDescent="0.3">
      <c r="K417" s="13"/>
      <c r="L417" s="16" t="e">
        <f>_xll.PTreeNodeValue(treeCalc_1!$F$2,208)</f>
        <v>#VALUE!</v>
      </c>
    </row>
    <row r="418" spans="7:13" x14ac:dyDescent="0.3">
      <c r="L418" s="17" t="e">
        <v>#VALUE!</v>
      </c>
      <c r="M418" s="19" t="e">
        <f>_xll.PTreeNodeProbability(treeCalc_1!$F$2,209)</f>
        <v>#VALUE!</v>
      </c>
    </row>
    <row r="419" spans="7:13" x14ac:dyDescent="0.3">
      <c r="L419" s="13"/>
      <c r="M419" s="18" t="e">
        <f>_xll.PTreeNodeValue(treeCalc_1!$F$2,209)</f>
        <v>#VALUE!</v>
      </c>
    </row>
    <row r="420" spans="7:13" x14ac:dyDescent="0.3">
      <c r="G420" s="17" t="e">
        <v>#VALUE!</v>
      </c>
      <c r="H420" s="15" t="s">
        <v>145</v>
      </c>
    </row>
    <row r="421" spans="7:13" x14ac:dyDescent="0.3">
      <c r="G421" s="13"/>
      <c r="H421" s="16" t="e">
        <f>_xll.PTreeNodeValue(treeCalc_1!$F$2,210)</f>
        <v>#VALUE!</v>
      </c>
    </row>
    <row r="422" spans="7:13" x14ac:dyDescent="0.3">
      <c r="I422" s="17" t="e">
        <v>#VALUE!</v>
      </c>
      <c r="J422" s="15" t="s">
        <v>133</v>
      </c>
    </row>
    <row r="423" spans="7:13" x14ac:dyDescent="0.3">
      <c r="I423" s="13"/>
      <c r="J423" s="16" t="e">
        <f>_xll.PTreeNodeValue(treeCalc_1!$F$2,211)</f>
        <v>#VALUE!</v>
      </c>
    </row>
    <row r="424" spans="7:13" x14ac:dyDescent="0.3">
      <c r="J424" s="17" t="e">
        <v>#VALUE!</v>
      </c>
      <c r="K424" s="15" t="s">
        <v>132</v>
      </c>
    </row>
    <row r="425" spans="7:13" x14ac:dyDescent="0.3">
      <c r="J425" s="13"/>
      <c r="K425" s="16" t="e">
        <f>_xll.PTreeNodeValue(treeCalc_1!$F$2,212)</f>
        <v>#VALUE!</v>
      </c>
    </row>
    <row r="426" spans="7:13" x14ac:dyDescent="0.3">
      <c r="K426" s="17" t="e">
        <v>#VALUE!</v>
      </c>
      <c r="L426" s="15" t="s">
        <v>134</v>
      </c>
    </row>
    <row r="427" spans="7:13" x14ac:dyDescent="0.3">
      <c r="K427" s="13"/>
      <c r="L427" s="16" t="e">
        <f>_xll.PTreeNodeValue(treeCalc_1!$F$2,213)</f>
        <v>#VALUE!</v>
      </c>
    </row>
    <row r="428" spans="7:13" x14ac:dyDescent="0.3">
      <c r="L428" s="17" t="e">
        <v>#VALUE!</v>
      </c>
      <c r="M428" s="19" t="e">
        <f>_xll.PTreeNodeProbability(treeCalc_1!$F$2,214)</f>
        <v>#VALUE!</v>
      </c>
    </row>
    <row r="429" spans="7:13" x14ac:dyDescent="0.3">
      <c r="L429" s="13"/>
      <c r="M429" s="18" t="e">
        <f>_xll.PTreeNodeValue(treeCalc_1!$F$2,214)</f>
        <v>#VALUE!</v>
      </c>
    </row>
    <row r="430" spans="7:13" x14ac:dyDescent="0.3">
      <c r="H430" s="17" t="e">
        <v>#VALUE!</v>
      </c>
      <c r="I430" s="15" t="s">
        <v>146</v>
      </c>
    </row>
    <row r="431" spans="7:13" x14ac:dyDescent="0.3">
      <c r="H431" s="13"/>
      <c r="I431" s="16" t="e">
        <f>_xll.PTreeNodeValue(treeCalc_1!$F$2,215)</f>
        <v>#VALUE!</v>
      </c>
    </row>
    <row r="432" spans="7:13" x14ac:dyDescent="0.3">
      <c r="I432" s="17" t="e">
        <v>#VALUE!</v>
      </c>
      <c r="J432" s="15" t="s">
        <v>133</v>
      </c>
    </row>
    <row r="433" spans="6:13" x14ac:dyDescent="0.3">
      <c r="I433" s="13"/>
      <c r="J433" s="16" t="e">
        <f>_xll.PTreeNodeValue(treeCalc_1!$F$2,216)</f>
        <v>#VALUE!</v>
      </c>
    </row>
    <row r="434" spans="6:13" x14ac:dyDescent="0.3">
      <c r="J434" s="17" t="e">
        <v>#VALUE!</v>
      </c>
      <c r="K434" s="15" t="s">
        <v>132</v>
      </c>
    </row>
    <row r="435" spans="6:13" x14ac:dyDescent="0.3">
      <c r="J435" s="13"/>
      <c r="K435" s="16" t="e">
        <f>_xll.PTreeNodeValue(treeCalc_1!$F$2,217)</f>
        <v>#VALUE!</v>
      </c>
    </row>
    <row r="436" spans="6:13" x14ac:dyDescent="0.3">
      <c r="K436" s="17" t="e">
        <v>#VALUE!</v>
      </c>
      <c r="L436" s="15" t="s">
        <v>134</v>
      </c>
    </row>
    <row r="437" spans="6:13" x14ac:dyDescent="0.3">
      <c r="K437" s="13"/>
      <c r="L437" s="16" t="e">
        <f>_xll.PTreeNodeValue(treeCalc_1!$F$2,218)</f>
        <v>#VALUE!</v>
      </c>
    </row>
    <row r="438" spans="6:13" x14ac:dyDescent="0.3">
      <c r="L438" s="17" t="e">
        <v>#VALUE!</v>
      </c>
      <c r="M438" s="19" t="e">
        <f>_xll.PTreeNodeProbability(treeCalc_1!$F$2,219)</f>
        <v>#VALUE!</v>
      </c>
    </row>
    <row r="439" spans="6:13" x14ac:dyDescent="0.3">
      <c r="L439" s="13"/>
      <c r="M439" s="18" t="e">
        <f>_xll.PTreeNodeValue(treeCalc_1!$F$2,219)</f>
        <v>#VALUE!</v>
      </c>
    </row>
    <row r="440" spans="6:13" x14ac:dyDescent="0.3">
      <c r="F440" s="17" t="e">
        <v>#VALUE!</v>
      </c>
      <c r="G440" s="15" t="s">
        <v>144</v>
      </c>
    </row>
    <row r="441" spans="6:13" x14ac:dyDescent="0.3">
      <c r="F441" s="13"/>
      <c r="G441" s="16" t="e">
        <f>_xll.PTreeNodeValue(treeCalc_1!$F$2,220)</f>
        <v>#VALUE!</v>
      </c>
    </row>
    <row r="442" spans="6:13" x14ac:dyDescent="0.3">
      <c r="I442" s="17" t="e">
        <v>#VALUE!</v>
      </c>
      <c r="J442" s="15" t="s">
        <v>133</v>
      </c>
    </row>
    <row r="443" spans="6:13" x14ac:dyDescent="0.3">
      <c r="I443" s="13"/>
      <c r="J443" s="16" t="e">
        <f>_xll.PTreeNodeValue(treeCalc_1!$F$2,221)</f>
        <v>#VALUE!</v>
      </c>
    </row>
    <row r="444" spans="6:13" x14ac:dyDescent="0.3">
      <c r="J444" s="17" t="e">
        <v>#VALUE!</v>
      </c>
      <c r="K444" s="15" t="s">
        <v>132</v>
      </c>
    </row>
    <row r="445" spans="6:13" x14ac:dyDescent="0.3">
      <c r="J445" s="13"/>
      <c r="K445" s="16" t="e">
        <f>_xll.PTreeNodeValue(treeCalc_1!$F$2,222)</f>
        <v>#VALUE!</v>
      </c>
    </row>
    <row r="446" spans="6:13" x14ac:dyDescent="0.3">
      <c r="K446" s="17" t="e">
        <v>#VALUE!</v>
      </c>
      <c r="L446" s="15" t="s">
        <v>134</v>
      </c>
    </row>
    <row r="447" spans="6:13" x14ac:dyDescent="0.3">
      <c r="K447" s="13"/>
      <c r="L447" s="16" t="e">
        <f>_xll.PTreeNodeValue(treeCalc_1!$F$2,223)</f>
        <v>#VALUE!</v>
      </c>
    </row>
    <row r="448" spans="6:13" x14ac:dyDescent="0.3">
      <c r="L448" s="17" t="e">
        <v>#VALUE!</v>
      </c>
      <c r="M448" s="19" t="e">
        <f>_xll.PTreeNodeProbability(treeCalc_1!$F$2,224)</f>
        <v>#VALUE!</v>
      </c>
    </row>
    <row r="449" spans="7:13" x14ac:dyDescent="0.3">
      <c r="L449" s="13"/>
      <c r="M449" s="18" t="e">
        <f>_xll.PTreeNodeValue(treeCalc_1!$F$2,224)</f>
        <v>#VALUE!</v>
      </c>
    </row>
    <row r="450" spans="7:13" x14ac:dyDescent="0.3">
      <c r="H450" s="17" t="e">
        <v>#VALUE!</v>
      </c>
      <c r="I450" s="15" t="s">
        <v>146</v>
      </c>
    </row>
    <row r="451" spans="7:13" x14ac:dyDescent="0.3">
      <c r="H451" s="13"/>
      <c r="I451" s="16" t="e">
        <f>_xll.PTreeNodeValue(treeCalc_1!$F$2,225)</f>
        <v>#VALUE!</v>
      </c>
    </row>
    <row r="452" spans="7:13" x14ac:dyDescent="0.3">
      <c r="I452" s="17" t="e">
        <v>#VALUE!</v>
      </c>
      <c r="J452" s="15" t="s">
        <v>133</v>
      </c>
    </row>
    <row r="453" spans="7:13" x14ac:dyDescent="0.3">
      <c r="I453" s="13"/>
      <c r="J453" s="16" t="e">
        <f>_xll.PTreeNodeValue(treeCalc_1!$F$2,226)</f>
        <v>#VALUE!</v>
      </c>
    </row>
    <row r="454" spans="7:13" x14ac:dyDescent="0.3">
      <c r="J454" s="17" t="e">
        <v>#VALUE!</v>
      </c>
      <c r="K454" s="15" t="s">
        <v>132</v>
      </c>
    </row>
    <row r="455" spans="7:13" x14ac:dyDescent="0.3">
      <c r="J455" s="13"/>
      <c r="K455" s="16" t="e">
        <f>_xll.PTreeNodeValue(treeCalc_1!$F$2,227)</f>
        <v>#VALUE!</v>
      </c>
    </row>
    <row r="456" spans="7:13" x14ac:dyDescent="0.3">
      <c r="K456" s="17" t="e">
        <v>#VALUE!</v>
      </c>
      <c r="L456" s="15" t="s">
        <v>134</v>
      </c>
    </row>
    <row r="457" spans="7:13" x14ac:dyDescent="0.3">
      <c r="K457" s="13"/>
      <c r="L457" s="16" t="e">
        <f>_xll.PTreeNodeValue(treeCalc_1!$F$2,228)</f>
        <v>#VALUE!</v>
      </c>
    </row>
    <row r="458" spans="7:13" x14ac:dyDescent="0.3">
      <c r="L458" s="17" t="e">
        <v>#VALUE!</v>
      </c>
      <c r="M458" s="19" t="e">
        <f>_xll.PTreeNodeProbability(treeCalc_1!$F$2,229)</f>
        <v>#VALUE!</v>
      </c>
    </row>
    <row r="459" spans="7:13" x14ac:dyDescent="0.3">
      <c r="L459" s="13"/>
      <c r="M459" s="18" t="e">
        <f>_xll.PTreeNodeValue(treeCalc_1!$F$2,229)</f>
        <v>#VALUE!</v>
      </c>
    </row>
    <row r="460" spans="7:13" x14ac:dyDescent="0.3">
      <c r="G460" s="17" t="e">
        <v>#VALUE!</v>
      </c>
      <c r="H460" s="15" t="s">
        <v>145</v>
      </c>
    </row>
    <row r="461" spans="7:13" x14ac:dyDescent="0.3">
      <c r="G461" s="13"/>
      <c r="H461" s="16" t="e">
        <f>_xll.PTreeNodeValue(treeCalc_1!$F$2,230)</f>
        <v>#VALUE!</v>
      </c>
    </row>
    <row r="462" spans="7:13" x14ac:dyDescent="0.3">
      <c r="I462" s="17" t="e">
        <v>#VALUE!</v>
      </c>
      <c r="J462" s="15" t="s">
        <v>133</v>
      </c>
    </row>
    <row r="463" spans="7:13" x14ac:dyDescent="0.3">
      <c r="I463" s="13"/>
      <c r="J463" s="16" t="e">
        <f>_xll.PTreeNodeValue(treeCalc_1!$F$2,231)</f>
        <v>#VALUE!</v>
      </c>
    </row>
    <row r="464" spans="7:13" x14ac:dyDescent="0.3">
      <c r="J464" s="17" t="e">
        <v>#VALUE!</v>
      </c>
      <c r="K464" s="15" t="s">
        <v>132</v>
      </c>
    </row>
    <row r="465" spans="4:13" x14ac:dyDescent="0.3">
      <c r="J465" s="13"/>
      <c r="K465" s="16" t="e">
        <f>_xll.PTreeNodeValue(treeCalc_1!$F$2,232)</f>
        <v>#VALUE!</v>
      </c>
    </row>
    <row r="466" spans="4:13" x14ac:dyDescent="0.3">
      <c r="K466" s="17" t="e">
        <v>#VALUE!</v>
      </c>
      <c r="L466" s="15" t="s">
        <v>134</v>
      </c>
    </row>
    <row r="467" spans="4:13" x14ac:dyDescent="0.3">
      <c r="K467" s="13"/>
      <c r="L467" s="16" t="e">
        <f>_xll.PTreeNodeValue(treeCalc_1!$F$2,233)</f>
        <v>#VALUE!</v>
      </c>
    </row>
    <row r="468" spans="4:13" x14ac:dyDescent="0.3">
      <c r="L468" s="17" t="e">
        <v>#VALUE!</v>
      </c>
      <c r="M468" s="19" t="e">
        <f>_xll.PTreeNodeProbability(treeCalc_1!$F$2,234)</f>
        <v>#VALUE!</v>
      </c>
    </row>
    <row r="469" spans="4:13" x14ac:dyDescent="0.3">
      <c r="L469" s="13"/>
      <c r="M469" s="18" t="e">
        <f>_xll.PTreeNodeValue(treeCalc_1!$F$2,234)</f>
        <v>#VALUE!</v>
      </c>
    </row>
    <row r="470" spans="4:13" x14ac:dyDescent="0.3">
      <c r="H470" s="17" t="e">
        <v>#VALUE!</v>
      </c>
      <c r="I470" s="15" t="s">
        <v>146</v>
      </c>
    </row>
    <row r="471" spans="4:13" x14ac:dyDescent="0.3">
      <c r="H471" s="13"/>
      <c r="I471" s="16" t="e">
        <f>_xll.PTreeNodeValue(treeCalc_1!$F$2,235)</f>
        <v>#VALUE!</v>
      </c>
    </row>
    <row r="472" spans="4:13" x14ac:dyDescent="0.3">
      <c r="I472" s="17" t="e">
        <v>#VALUE!</v>
      </c>
      <c r="J472" s="15" t="s">
        <v>133</v>
      </c>
    </row>
    <row r="473" spans="4:13" x14ac:dyDescent="0.3">
      <c r="I473" s="13"/>
      <c r="J473" s="16" t="e">
        <f>_xll.PTreeNodeValue(treeCalc_1!$F$2,236)</f>
        <v>#VALUE!</v>
      </c>
    </row>
    <row r="474" spans="4:13" x14ac:dyDescent="0.3">
      <c r="J474" s="17" t="e">
        <v>#VALUE!</v>
      </c>
      <c r="K474" s="15" t="s">
        <v>132</v>
      </c>
    </row>
    <row r="475" spans="4:13" x14ac:dyDescent="0.3">
      <c r="J475" s="13"/>
      <c r="K475" s="16" t="e">
        <f>_xll.PTreeNodeValue(treeCalc_1!$F$2,237)</f>
        <v>#VALUE!</v>
      </c>
    </row>
    <row r="476" spans="4:13" x14ac:dyDescent="0.3">
      <c r="K476" s="17" t="e">
        <v>#VALUE!</v>
      </c>
      <c r="L476" s="15" t="s">
        <v>134</v>
      </c>
    </row>
    <row r="477" spans="4:13" x14ac:dyDescent="0.3">
      <c r="K477" s="13"/>
      <c r="L477" s="16" t="e">
        <f>_xll.PTreeNodeValue(treeCalc_1!$F$2,238)</f>
        <v>#VALUE!</v>
      </c>
    </row>
    <row r="478" spans="4:13" x14ac:dyDescent="0.3">
      <c r="L478" s="17" t="e">
        <v>#VALUE!</v>
      </c>
      <c r="M478" s="19" t="e">
        <f>_xll.PTreeNodeProbability(treeCalc_1!$F$2,239)</f>
        <v>#VALUE!</v>
      </c>
    </row>
    <row r="479" spans="4:13" x14ac:dyDescent="0.3">
      <c r="L479" s="13"/>
      <c r="M479" s="18" t="e">
        <f>_xll.PTreeNodeValue(treeCalc_1!$F$2,239)</f>
        <v>#VALUE!</v>
      </c>
    </row>
    <row r="480" spans="4:13" x14ac:dyDescent="0.3">
      <c r="D480" s="14" t="e">
        <f>_xll.PTreeNodeDecision(treeCalc_1!$F$2,240)</f>
        <v>#VALUE!</v>
      </c>
      <c r="E480" s="15" t="s">
        <v>143</v>
      </c>
    </row>
    <row r="481" spans="4:13" x14ac:dyDescent="0.3">
      <c r="D481" s="13"/>
      <c r="E481" s="16" t="e">
        <f>_xll.PTreeNodeValue(treeCalc_1!$F$2,240)</f>
        <v>#VALUE!</v>
      </c>
    </row>
    <row r="482" spans="4:13" x14ac:dyDescent="0.3">
      <c r="I482" s="17" t="e">
        <v>#VALUE!</v>
      </c>
      <c r="J482" s="15" t="s">
        <v>133</v>
      </c>
    </row>
    <row r="483" spans="4:13" x14ac:dyDescent="0.3">
      <c r="I483" s="13"/>
      <c r="J483" s="16" t="e">
        <f>_xll.PTreeNodeValue(treeCalc_1!$F$2,241)</f>
        <v>#VALUE!</v>
      </c>
    </row>
    <row r="484" spans="4:13" x14ac:dyDescent="0.3">
      <c r="J484" s="17" t="e">
        <v>#VALUE!</v>
      </c>
      <c r="K484" s="15" t="s">
        <v>132</v>
      </c>
    </row>
    <row r="485" spans="4:13" x14ac:dyDescent="0.3">
      <c r="J485" s="13"/>
      <c r="K485" s="16" t="e">
        <f>_xll.PTreeNodeValue(treeCalc_1!$F$2,242)</f>
        <v>#VALUE!</v>
      </c>
    </row>
    <row r="486" spans="4:13" x14ac:dyDescent="0.3">
      <c r="K486" s="17" t="e">
        <v>#VALUE!</v>
      </c>
      <c r="L486" s="15" t="s">
        <v>134</v>
      </c>
    </row>
    <row r="487" spans="4:13" x14ac:dyDescent="0.3">
      <c r="K487" s="13"/>
      <c r="L487" s="16" t="e">
        <f>_xll.PTreeNodeValue(treeCalc_1!$F$2,243)</f>
        <v>#VALUE!</v>
      </c>
    </row>
    <row r="488" spans="4:13" x14ac:dyDescent="0.3">
      <c r="L488" s="17" t="e">
        <v>#VALUE!</v>
      </c>
      <c r="M488" s="19" t="e">
        <f>_xll.PTreeNodeProbability(treeCalc_1!$F$2,244)</f>
        <v>#VALUE!</v>
      </c>
    </row>
    <row r="489" spans="4:13" x14ac:dyDescent="0.3">
      <c r="L489" s="13"/>
      <c r="M489" s="18" t="e">
        <f>_xll.PTreeNodeValue(treeCalc_1!$F$2,244)</f>
        <v>#VALUE!</v>
      </c>
    </row>
    <row r="490" spans="4:13" x14ac:dyDescent="0.3">
      <c r="H490" s="17" t="e">
        <v>#VALUE!</v>
      </c>
      <c r="I490" s="15" t="s">
        <v>146</v>
      </c>
    </row>
    <row r="491" spans="4:13" x14ac:dyDescent="0.3">
      <c r="H491" s="13"/>
      <c r="I491" s="16" t="e">
        <f>_xll.PTreeNodeValue(treeCalc_1!$F$2,245)</f>
        <v>#VALUE!</v>
      </c>
    </row>
    <row r="492" spans="4:13" x14ac:dyDescent="0.3">
      <c r="I492" s="17" t="e">
        <v>#VALUE!</v>
      </c>
      <c r="J492" s="15" t="s">
        <v>133</v>
      </c>
    </row>
    <row r="493" spans="4:13" x14ac:dyDescent="0.3">
      <c r="I493" s="13"/>
      <c r="J493" s="16" t="e">
        <f>_xll.PTreeNodeValue(treeCalc_1!$F$2,246)</f>
        <v>#VALUE!</v>
      </c>
    </row>
    <row r="494" spans="4:13" x14ac:dyDescent="0.3">
      <c r="J494" s="17" t="e">
        <v>#VALUE!</v>
      </c>
      <c r="K494" s="15" t="s">
        <v>132</v>
      </c>
    </row>
    <row r="495" spans="4:13" x14ac:dyDescent="0.3">
      <c r="J495" s="13"/>
      <c r="K495" s="16" t="e">
        <f>_xll.PTreeNodeValue(treeCalc_1!$F$2,247)</f>
        <v>#VALUE!</v>
      </c>
    </row>
    <row r="496" spans="4:13" x14ac:dyDescent="0.3">
      <c r="K496" s="17" t="e">
        <v>#VALUE!</v>
      </c>
      <c r="L496" s="15" t="s">
        <v>134</v>
      </c>
    </row>
    <row r="497" spans="7:13" x14ac:dyDescent="0.3">
      <c r="K497" s="13"/>
      <c r="L497" s="16" t="e">
        <f>_xll.PTreeNodeValue(treeCalc_1!$F$2,248)</f>
        <v>#VALUE!</v>
      </c>
    </row>
    <row r="498" spans="7:13" x14ac:dyDescent="0.3">
      <c r="L498" s="17" t="e">
        <v>#VALUE!</v>
      </c>
      <c r="M498" s="19" t="e">
        <f>_xll.PTreeNodeProbability(treeCalc_1!$F$2,249)</f>
        <v>#VALUE!</v>
      </c>
    </row>
    <row r="499" spans="7:13" x14ac:dyDescent="0.3">
      <c r="L499" s="13"/>
      <c r="M499" s="18" t="e">
        <f>_xll.PTreeNodeValue(treeCalc_1!$F$2,249)</f>
        <v>#VALUE!</v>
      </c>
    </row>
    <row r="500" spans="7:13" x14ac:dyDescent="0.3">
      <c r="G500" s="17" t="e">
        <v>#VALUE!</v>
      </c>
      <c r="H500" s="15" t="s">
        <v>145</v>
      </c>
    </row>
    <row r="501" spans="7:13" x14ac:dyDescent="0.3">
      <c r="G501" s="13"/>
      <c r="H501" s="16" t="e">
        <f>_xll.PTreeNodeValue(treeCalc_1!$F$2,250)</f>
        <v>#VALUE!</v>
      </c>
    </row>
    <row r="502" spans="7:13" x14ac:dyDescent="0.3">
      <c r="I502" s="17" t="e">
        <v>#VALUE!</v>
      </c>
      <c r="J502" s="15" t="s">
        <v>133</v>
      </c>
    </row>
    <row r="503" spans="7:13" x14ac:dyDescent="0.3">
      <c r="I503" s="13"/>
      <c r="J503" s="16" t="e">
        <f>_xll.PTreeNodeValue(treeCalc_1!$F$2,251)</f>
        <v>#VALUE!</v>
      </c>
    </row>
    <row r="504" spans="7:13" x14ac:dyDescent="0.3">
      <c r="J504" s="17" t="e">
        <v>#VALUE!</v>
      </c>
      <c r="K504" s="15" t="s">
        <v>132</v>
      </c>
    </row>
    <row r="505" spans="7:13" x14ac:dyDescent="0.3">
      <c r="J505" s="13"/>
      <c r="K505" s="16" t="e">
        <f>_xll.PTreeNodeValue(treeCalc_1!$F$2,252)</f>
        <v>#VALUE!</v>
      </c>
    </row>
    <row r="506" spans="7:13" x14ac:dyDescent="0.3">
      <c r="K506" s="17" t="e">
        <v>#VALUE!</v>
      </c>
      <c r="L506" s="15" t="s">
        <v>134</v>
      </c>
    </row>
    <row r="507" spans="7:13" x14ac:dyDescent="0.3">
      <c r="K507" s="13"/>
      <c r="L507" s="16" t="e">
        <f>_xll.PTreeNodeValue(treeCalc_1!$F$2,253)</f>
        <v>#VALUE!</v>
      </c>
    </row>
    <row r="508" spans="7:13" x14ac:dyDescent="0.3">
      <c r="L508" s="17" t="e">
        <v>#VALUE!</v>
      </c>
      <c r="M508" s="19" t="e">
        <f>_xll.PTreeNodeProbability(treeCalc_1!$F$2,254)</f>
        <v>#VALUE!</v>
      </c>
    </row>
    <row r="509" spans="7:13" x14ac:dyDescent="0.3">
      <c r="L509" s="13"/>
      <c r="M509" s="18" t="e">
        <f>_xll.PTreeNodeValue(treeCalc_1!$F$2,254)</f>
        <v>#VALUE!</v>
      </c>
    </row>
    <row r="510" spans="7:13" x14ac:dyDescent="0.3">
      <c r="H510" s="17" t="e">
        <v>#VALUE!</v>
      </c>
      <c r="I510" s="15" t="s">
        <v>146</v>
      </c>
    </row>
    <row r="511" spans="7:13" x14ac:dyDescent="0.3">
      <c r="H511" s="13"/>
      <c r="I511" s="16" t="e">
        <f>_xll.PTreeNodeValue(treeCalc_1!$F$2,255)</f>
        <v>#VALUE!</v>
      </c>
    </row>
    <row r="512" spans="7:13" x14ac:dyDescent="0.3">
      <c r="I512" s="17" t="e">
        <v>#VALUE!</v>
      </c>
      <c r="J512" s="15" t="s">
        <v>133</v>
      </c>
    </row>
    <row r="513" spans="6:13" x14ac:dyDescent="0.3">
      <c r="I513" s="13"/>
      <c r="J513" s="16" t="e">
        <f>_xll.PTreeNodeValue(treeCalc_1!$F$2,256)</f>
        <v>#VALUE!</v>
      </c>
    </row>
    <row r="514" spans="6:13" x14ac:dyDescent="0.3">
      <c r="J514" s="17" t="e">
        <v>#VALUE!</v>
      </c>
      <c r="K514" s="15" t="s">
        <v>132</v>
      </c>
    </row>
    <row r="515" spans="6:13" x14ac:dyDescent="0.3">
      <c r="J515" s="13"/>
      <c r="K515" s="16" t="e">
        <f>_xll.PTreeNodeValue(treeCalc_1!$F$2,257)</f>
        <v>#VALUE!</v>
      </c>
    </row>
    <row r="516" spans="6:13" x14ac:dyDescent="0.3">
      <c r="K516" s="17" t="e">
        <v>#VALUE!</v>
      </c>
      <c r="L516" s="15" t="s">
        <v>134</v>
      </c>
    </row>
    <row r="517" spans="6:13" x14ac:dyDescent="0.3">
      <c r="K517" s="13"/>
      <c r="L517" s="16" t="e">
        <f>_xll.PTreeNodeValue(treeCalc_1!$F$2,258)</f>
        <v>#VALUE!</v>
      </c>
    </row>
    <row r="518" spans="6:13" x14ac:dyDescent="0.3">
      <c r="L518" s="17" t="e">
        <v>#VALUE!</v>
      </c>
      <c r="M518" s="19" t="e">
        <f>_xll.PTreeNodeProbability(treeCalc_1!$F$2,259)</f>
        <v>#VALUE!</v>
      </c>
    </row>
    <row r="519" spans="6:13" x14ac:dyDescent="0.3">
      <c r="L519" s="13"/>
      <c r="M519" s="18" t="e">
        <f>_xll.PTreeNodeValue(treeCalc_1!$F$2,259)</f>
        <v>#VALUE!</v>
      </c>
    </row>
    <row r="520" spans="6:13" x14ac:dyDescent="0.3">
      <c r="F520" s="17" t="e">
        <v>#VALUE!</v>
      </c>
      <c r="G520" s="15" t="s">
        <v>144</v>
      </c>
    </row>
    <row r="521" spans="6:13" x14ac:dyDescent="0.3">
      <c r="F521" s="13"/>
      <c r="G521" s="16" t="e">
        <f>_xll.PTreeNodeValue(treeCalc_1!$F$2,260)</f>
        <v>#VALUE!</v>
      </c>
    </row>
    <row r="522" spans="6:13" x14ac:dyDescent="0.3">
      <c r="I522" s="17" t="e">
        <v>#VALUE!</v>
      </c>
      <c r="J522" s="15" t="s">
        <v>133</v>
      </c>
    </row>
    <row r="523" spans="6:13" x14ac:dyDescent="0.3">
      <c r="I523" s="13"/>
      <c r="J523" s="16" t="e">
        <f>_xll.PTreeNodeValue(treeCalc_1!$F$2,261)</f>
        <v>#VALUE!</v>
      </c>
    </row>
    <row r="524" spans="6:13" x14ac:dyDescent="0.3">
      <c r="J524" s="17" t="e">
        <v>#VALUE!</v>
      </c>
      <c r="K524" s="15" t="s">
        <v>132</v>
      </c>
    </row>
    <row r="525" spans="6:13" x14ac:dyDescent="0.3">
      <c r="J525" s="13"/>
      <c r="K525" s="16" t="e">
        <f>_xll.PTreeNodeValue(treeCalc_1!$F$2,262)</f>
        <v>#VALUE!</v>
      </c>
    </row>
    <row r="526" spans="6:13" x14ac:dyDescent="0.3">
      <c r="K526" s="17" t="e">
        <v>#VALUE!</v>
      </c>
      <c r="L526" s="15" t="s">
        <v>134</v>
      </c>
    </row>
    <row r="527" spans="6:13" x14ac:dyDescent="0.3">
      <c r="K527" s="13"/>
      <c r="L527" s="16" t="e">
        <f>_xll.PTreeNodeValue(treeCalc_1!$F$2,263)</f>
        <v>#VALUE!</v>
      </c>
    </row>
    <row r="528" spans="6:13" x14ac:dyDescent="0.3">
      <c r="L528" s="17" t="e">
        <v>#VALUE!</v>
      </c>
      <c r="M528" s="19" t="e">
        <f>_xll.PTreeNodeProbability(treeCalc_1!$F$2,264)</f>
        <v>#VALUE!</v>
      </c>
    </row>
    <row r="529" spans="7:13" x14ac:dyDescent="0.3">
      <c r="L529" s="13"/>
      <c r="M529" s="18" t="e">
        <f>_xll.PTreeNodeValue(treeCalc_1!$F$2,264)</f>
        <v>#VALUE!</v>
      </c>
    </row>
    <row r="530" spans="7:13" x14ac:dyDescent="0.3">
      <c r="H530" s="17" t="e">
        <v>#VALUE!</v>
      </c>
      <c r="I530" s="15" t="s">
        <v>146</v>
      </c>
    </row>
    <row r="531" spans="7:13" x14ac:dyDescent="0.3">
      <c r="H531" s="13"/>
      <c r="I531" s="16" t="e">
        <f>_xll.PTreeNodeValue(treeCalc_1!$F$2,265)</f>
        <v>#VALUE!</v>
      </c>
    </row>
    <row r="532" spans="7:13" x14ac:dyDescent="0.3">
      <c r="I532" s="17" t="e">
        <v>#VALUE!</v>
      </c>
      <c r="J532" s="15" t="s">
        <v>133</v>
      </c>
    </row>
    <row r="533" spans="7:13" x14ac:dyDescent="0.3">
      <c r="I533" s="13"/>
      <c r="J533" s="16" t="e">
        <f>_xll.PTreeNodeValue(treeCalc_1!$F$2,266)</f>
        <v>#VALUE!</v>
      </c>
    </row>
    <row r="534" spans="7:13" x14ac:dyDescent="0.3">
      <c r="J534" s="17" t="e">
        <v>#VALUE!</v>
      </c>
      <c r="K534" s="15" t="s">
        <v>132</v>
      </c>
    </row>
    <row r="535" spans="7:13" x14ac:dyDescent="0.3">
      <c r="J535" s="13"/>
      <c r="K535" s="16" t="e">
        <f>_xll.PTreeNodeValue(treeCalc_1!$F$2,267)</f>
        <v>#VALUE!</v>
      </c>
    </row>
    <row r="536" spans="7:13" x14ac:dyDescent="0.3">
      <c r="K536" s="17" t="e">
        <v>#VALUE!</v>
      </c>
      <c r="L536" s="15" t="s">
        <v>134</v>
      </c>
    </row>
    <row r="537" spans="7:13" x14ac:dyDescent="0.3">
      <c r="K537" s="13"/>
      <c r="L537" s="16" t="e">
        <f>_xll.PTreeNodeValue(treeCalc_1!$F$2,268)</f>
        <v>#VALUE!</v>
      </c>
    </row>
    <row r="538" spans="7:13" x14ac:dyDescent="0.3">
      <c r="L538" s="17" t="e">
        <v>#VALUE!</v>
      </c>
      <c r="M538" s="19" t="e">
        <f>_xll.PTreeNodeProbability(treeCalc_1!$F$2,269)</f>
        <v>#VALUE!</v>
      </c>
    </row>
    <row r="539" spans="7:13" x14ac:dyDescent="0.3">
      <c r="L539" s="13"/>
      <c r="M539" s="18" t="e">
        <f>_xll.PTreeNodeValue(treeCalc_1!$F$2,269)</f>
        <v>#VALUE!</v>
      </c>
    </row>
    <row r="540" spans="7:13" x14ac:dyDescent="0.3">
      <c r="G540" s="17" t="e">
        <v>#VALUE!</v>
      </c>
      <c r="H540" s="15" t="s">
        <v>145</v>
      </c>
    </row>
    <row r="541" spans="7:13" x14ac:dyDescent="0.3">
      <c r="G541" s="13"/>
      <c r="H541" s="16" t="e">
        <f>_xll.PTreeNodeValue(treeCalc_1!$F$2,270)</f>
        <v>#VALUE!</v>
      </c>
    </row>
    <row r="542" spans="7:13" x14ac:dyDescent="0.3">
      <c r="I542" s="17" t="e">
        <v>#VALUE!</v>
      </c>
      <c r="J542" s="15" t="s">
        <v>133</v>
      </c>
    </row>
    <row r="543" spans="7:13" x14ac:dyDescent="0.3">
      <c r="I543" s="13"/>
      <c r="J543" s="16" t="e">
        <f>_xll.PTreeNodeValue(treeCalc_1!$F$2,271)</f>
        <v>#VALUE!</v>
      </c>
    </row>
    <row r="544" spans="7:13" x14ac:dyDescent="0.3">
      <c r="J544" s="17" t="e">
        <v>#VALUE!</v>
      </c>
      <c r="K544" s="15" t="s">
        <v>132</v>
      </c>
    </row>
    <row r="545" spans="5:13" x14ac:dyDescent="0.3">
      <c r="J545" s="13"/>
      <c r="K545" s="16" t="e">
        <f>_xll.PTreeNodeValue(treeCalc_1!$F$2,272)</f>
        <v>#VALUE!</v>
      </c>
    </row>
    <row r="546" spans="5:13" x14ac:dyDescent="0.3">
      <c r="K546" s="17" t="e">
        <v>#VALUE!</v>
      </c>
      <c r="L546" s="15" t="s">
        <v>134</v>
      </c>
    </row>
    <row r="547" spans="5:13" x14ac:dyDescent="0.3">
      <c r="K547" s="13"/>
      <c r="L547" s="16" t="e">
        <f>_xll.PTreeNodeValue(treeCalc_1!$F$2,273)</f>
        <v>#VALUE!</v>
      </c>
    </row>
    <row r="548" spans="5:13" x14ac:dyDescent="0.3">
      <c r="L548" s="17" t="e">
        <v>#VALUE!</v>
      </c>
      <c r="M548" s="19" t="e">
        <f>_xll.PTreeNodeProbability(treeCalc_1!$F$2,274)</f>
        <v>#VALUE!</v>
      </c>
    </row>
    <row r="549" spans="5:13" x14ac:dyDescent="0.3">
      <c r="L549" s="13"/>
      <c r="M549" s="18" t="e">
        <f>_xll.PTreeNodeValue(treeCalc_1!$F$2,274)</f>
        <v>#VALUE!</v>
      </c>
    </row>
    <row r="550" spans="5:13" x14ac:dyDescent="0.3">
      <c r="H550" s="17" t="e">
        <v>#VALUE!</v>
      </c>
      <c r="I550" s="15" t="s">
        <v>146</v>
      </c>
    </row>
    <row r="551" spans="5:13" x14ac:dyDescent="0.3">
      <c r="H551" s="13"/>
      <c r="I551" s="16" t="e">
        <f>_xll.PTreeNodeValue(treeCalc_1!$F$2,275)</f>
        <v>#VALUE!</v>
      </c>
    </row>
    <row r="552" spans="5:13" x14ac:dyDescent="0.3">
      <c r="I552" s="17" t="e">
        <v>#VALUE!</v>
      </c>
      <c r="J552" s="15" t="s">
        <v>133</v>
      </c>
    </row>
    <row r="553" spans="5:13" x14ac:dyDescent="0.3">
      <c r="I553" s="13"/>
      <c r="J553" s="16" t="e">
        <f>_xll.PTreeNodeValue(treeCalc_1!$F$2,276)</f>
        <v>#VALUE!</v>
      </c>
    </row>
    <row r="554" spans="5:13" x14ac:dyDescent="0.3">
      <c r="J554" s="17" t="e">
        <v>#VALUE!</v>
      </c>
      <c r="K554" s="15" t="s">
        <v>132</v>
      </c>
    </row>
    <row r="555" spans="5:13" x14ac:dyDescent="0.3">
      <c r="J555" s="13"/>
      <c r="K555" s="16" t="e">
        <f>_xll.PTreeNodeValue(treeCalc_1!$F$2,277)</f>
        <v>#VALUE!</v>
      </c>
    </row>
    <row r="556" spans="5:13" x14ac:dyDescent="0.3">
      <c r="K556" s="17" t="e">
        <v>#VALUE!</v>
      </c>
      <c r="L556" s="15" t="s">
        <v>134</v>
      </c>
    </row>
    <row r="557" spans="5:13" x14ac:dyDescent="0.3">
      <c r="K557" s="13"/>
      <c r="L557" s="16" t="e">
        <f>_xll.PTreeNodeValue(treeCalc_1!$F$2,278)</f>
        <v>#VALUE!</v>
      </c>
    </row>
    <row r="558" spans="5:13" x14ac:dyDescent="0.3">
      <c r="L558" s="17" t="e">
        <v>#VALUE!</v>
      </c>
      <c r="M558" s="19" t="e">
        <f>_xll.PTreeNodeProbability(treeCalc_1!$F$2,279)</f>
        <v>#VALUE!</v>
      </c>
    </row>
    <row r="559" spans="5:13" x14ac:dyDescent="0.3">
      <c r="L559" s="13"/>
      <c r="M559" s="18" t="e">
        <f>_xll.PTreeNodeValue(treeCalc_1!$F$2,279)</f>
        <v>#VALUE!</v>
      </c>
    </row>
    <row r="560" spans="5:13" x14ac:dyDescent="0.3">
      <c r="E560" s="17" t="e">
        <v>#VALUE!</v>
      </c>
      <c r="F560" s="15" t="s">
        <v>141</v>
      </c>
    </row>
    <row r="561" spans="5:13" x14ac:dyDescent="0.3">
      <c r="E561" s="13"/>
      <c r="F561" s="16" t="e">
        <f>_xll.PTreeNodeValue(treeCalc_1!$F$2,280)</f>
        <v>#VALUE!</v>
      </c>
    </row>
    <row r="562" spans="5:13" x14ac:dyDescent="0.3">
      <c r="I562" s="17" t="e">
        <v>#VALUE!</v>
      </c>
      <c r="J562" s="15" t="s">
        <v>133</v>
      </c>
    </row>
    <row r="563" spans="5:13" x14ac:dyDescent="0.3">
      <c r="I563" s="13"/>
      <c r="J563" s="16" t="e">
        <f>_xll.PTreeNodeValue(treeCalc_1!$F$2,281)</f>
        <v>#VALUE!</v>
      </c>
    </row>
    <row r="564" spans="5:13" x14ac:dyDescent="0.3">
      <c r="J564" s="17" t="e">
        <v>#VALUE!</v>
      </c>
      <c r="K564" s="15" t="s">
        <v>132</v>
      </c>
    </row>
    <row r="565" spans="5:13" x14ac:dyDescent="0.3">
      <c r="J565" s="13"/>
      <c r="K565" s="16" t="e">
        <f>_xll.PTreeNodeValue(treeCalc_1!$F$2,282)</f>
        <v>#VALUE!</v>
      </c>
    </row>
    <row r="566" spans="5:13" x14ac:dyDescent="0.3">
      <c r="K566" s="17" t="e">
        <v>#VALUE!</v>
      </c>
      <c r="L566" s="15" t="s">
        <v>134</v>
      </c>
    </row>
    <row r="567" spans="5:13" x14ac:dyDescent="0.3">
      <c r="K567" s="13"/>
      <c r="L567" s="16" t="e">
        <f>_xll.PTreeNodeValue(treeCalc_1!$F$2,283)</f>
        <v>#VALUE!</v>
      </c>
    </row>
    <row r="568" spans="5:13" x14ac:dyDescent="0.3">
      <c r="L568" s="17" t="e">
        <v>#VALUE!</v>
      </c>
      <c r="M568" s="19" t="e">
        <f>_xll.PTreeNodeProbability(treeCalc_1!$F$2,284)</f>
        <v>#VALUE!</v>
      </c>
    </row>
    <row r="569" spans="5:13" x14ac:dyDescent="0.3">
      <c r="L569" s="13"/>
      <c r="M569" s="18" t="e">
        <f>_xll.PTreeNodeValue(treeCalc_1!$F$2,284)</f>
        <v>#VALUE!</v>
      </c>
    </row>
    <row r="570" spans="5:13" x14ac:dyDescent="0.3">
      <c r="H570" s="17" t="e">
        <v>#VALUE!</v>
      </c>
      <c r="I570" s="15" t="s">
        <v>146</v>
      </c>
    </row>
    <row r="571" spans="5:13" x14ac:dyDescent="0.3">
      <c r="H571" s="13"/>
      <c r="I571" s="16" t="e">
        <f>_xll.PTreeNodeValue(treeCalc_1!$F$2,285)</f>
        <v>#VALUE!</v>
      </c>
    </row>
    <row r="572" spans="5:13" x14ac:dyDescent="0.3">
      <c r="I572" s="17" t="e">
        <v>#VALUE!</v>
      </c>
      <c r="J572" s="15" t="s">
        <v>133</v>
      </c>
    </row>
    <row r="573" spans="5:13" x14ac:dyDescent="0.3">
      <c r="I573" s="13"/>
      <c r="J573" s="16" t="e">
        <f>_xll.PTreeNodeValue(treeCalc_1!$F$2,286)</f>
        <v>#VALUE!</v>
      </c>
    </row>
    <row r="574" spans="5:13" x14ac:dyDescent="0.3">
      <c r="J574" s="17" t="e">
        <v>#VALUE!</v>
      </c>
      <c r="K574" s="15" t="s">
        <v>132</v>
      </c>
    </row>
    <row r="575" spans="5:13" x14ac:dyDescent="0.3">
      <c r="J575" s="13"/>
      <c r="K575" s="16" t="e">
        <f>_xll.PTreeNodeValue(treeCalc_1!$F$2,287)</f>
        <v>#VALUE!</v>
      </c>
    </row>
    <row r="576" spans="5:13" x14ac:dyDescent="0.3">
      <c r="K576" s="17" t="e">
        <v>#VALUE!</v>
      </c>
      <c r="L576" s="15" t="s">
        <v>134</v>
      </c>
    </row>
    <row r="577" spans="7:13" x14ac:dyDescent="0.3">
      <c r="K577" s="13"/>
      <c r="L577" s="16" t="e">
        <f>_xll.PTreeNodeValue(treeCalc_1!$F$2,288)</f>
        <v>#VALUE!</v>
      </c>
    </row>
    <row r="578" spans="7:13" x14ac:dyDescent="0.3">
      <c r="L578" s="17" t="e">
        <v>#VALUE!</v>
      </c>
      <c r="M578" s="19" t="e">
        <f>_xll.PTreeNodeProbability(treeCalc_1!$F$2,289)</f>
        <v>#VALUE!</v>
      </c>
    </row>
    <row r="579" spans="7:13" x14ac:dyDescent="0.3">
      <c r="L579" s="13"/>
      <c r="M579" s="18" t="e">
        <f>_xll.PTreeNodeValue(treeCalc_1!$F$2,289)</f>
        <v>#VALUE!</v>
      </c>
    </row>
    <row r="580" spans="7:13" x14ac:dyDescent="0.3">
      <c r="G580" s="17" t="e">
        <v>#VALUE!</v>
      </c>
      <c r="H580" s="15" t="s">
        <v>145</v>
      </c>
    </row>
    <row r="581" spans="7:13" x14ac:dyDescent="0.3">
      <c r="G581" s="13"/>
      <c r="H581" s="16" t="e">
        <f>_xll.PTreeNodeValue(treeCalc_1!$F$2,290)</f>
        <v>#VALUE!</v>
      </c>
    </row>
    <row r="582" spans="7:13" x14ac:dyDescent="0.3">
      <c r="I582" s="17" t="e">
        <v>#VALUE!</v>
      </c>
      <c r="J582" s="15" t="s">
        <v>133</v>
      </c>
    </row>
    <row r="583" spans="7:13" x14ac:dyDescent="0.3">
      <c r="I583" s="13"/>
      <c r="J583" s="16" t="e">
        <f>_xll.PTreeNodeValue(treeCalc_1!$F$2,291)</f>
        <v>#VALUE!</v>
      </c>
    </row>
    <row r="584" spans="7:13" x14ac:dyDescent="0.3">
      <c r="J584" s="17" t="e">
        <v>#VALUE!</v>
      </c>
      <c r="K584" s="15" t="s">
        <v>132</v>
      </c>
    </row>
    <row r="585" spans="7:13" x14ac:dyDescent="0.3">
      <c r="J585" s="13"/>
      <c r="K585" s="16" t="e">
        <f>_xll.PTreeNodeValue(treeCalc_1!$F$2,292)</f>
        <v>#VALUE!</v>
      </c>
    </row>
    <row r="586" spans="7:13" x14ac:dyDescent="0.3">
      <c r="K586" s="17" t="e">
        <v>#VALUE!</v>
      </c>
      <c r="L586" s="15" t="s">
        <v>134</v>
      </c>
    </row>
    <row r="587" spans="7:13" x14ac:dyDescent="0.3">
      <c r="K587" s="13"/>
      <c r="L587" s="16" t="e">
        <f>_xll.PTreeNodeValue(treeCalc_1!$F$2,293)</f>
        <v>#VALUE!</v>
      </c>
    </row>
    <row r="588" spans="7:13" x14ac:dyDescent="0.3">
      <c r="L588" s="17" t="e">
        <v>#VALUE!</v>
      </c>
      <c r="M588" s="19" t="e">
        <f>_xll.PTreeNodeProbability(treeCalc_1!$F$2,294)</f>
        <v>#VALUE!</v>
      </c>
    </row>
    <row r="589" spans="7:13" x14ac:dyDescent="0.3">
      <c r="L589" s="13"/>
      <c r="M589" s="18" t="e">
        <f>_xll.PTreeNodeValue(treeCalc_1!$F$2,294)</f>
        <v>#VALUE!</v>
      </c>
    </row>
    <row r="590" spans="7:13" x14ac:dyDescent="0.3">
      <c r="H590" s="17" t="e">
        <v>#VALUE!</v>
      </c>
      <c r="I590" s="15" t="s">
        <v>146</v>
      </c>
    </row>
    <row r="591" spans="7:13" x14ac:dyDescent="0.3">
      <c r="H591" s="13"/>
      <c r="I591" s="16" t="e">
        <f>_xll.PTreeNodeValue(treeCalc_1!$F$2,295)</f>
        <v>#VALUE!</v>
      </c>
    </row>
    <row r="592" spans="7:13" x14ac:dyDescent="0.3">
      <c r="I592" s="17" t="e">
        <v>#VALUE!</v>
      </c>
      <c r="J592" s="15" t="s">
        <v>133</v>
      </c>
    </row>
    <row r="593" spans="6:13" x14ac:dyDescent="0.3">
      <c r="I593" s="13"/>
      <c r="J593" s="16" t="e">
        <f>_xll.PTreeNodeValue(treeCalc_1!$F$2,296)</f>
        <v>#VALUE!</v>
      </c>
    </row>
    <row r="594" spans="6:13" x14ac:dyDescent="0.3">
      <c r="J594" s="17" t="e">
        <v>#VALUE!</v>
      </c>
      <c r="K594" s="15" t="s">
        <v>132</v>
      </c>
    </row>
    <row r="595" spans="6:13" x14ac:dyDescent="0.3">
      <c r="J595" s="13"/>
      <c r="K595" s="16" t="e">
        <f>_xll.PTreeNodeValue(treeCalc_1!$F$2,297)</f>
        <v>#VALUE!</v>
      </c>
    </row>
    <row r="596" spans="6:13" x14ac:dyDescent="0.3">
      <c r="K596" s="17" t="e">
        <v>#VALUE!</v>
      </c>
      <c r="L596" s="15" t="s">
        <v>134</v>
      </c>
    </row>
    <row r="597" spans="6:13" x14ac:dyDescent="0.3">
      <c r="K597" s="13"/>
      <c r="L597" s="16" t="e">
        <f>_xll.PTreeNodeValue(treeCalc_1!$F$2,298)</f>
        <v>#VALUE!</v>
      </c>
    </row>
    <row r="598" spans="6:13" x14ac:dyDescent="0.3">
      <c r="L598" s="17" t="e">
        <v>#VALUE!</v>
      </c>
      <c r="M598" s="19" t="e">
        <f>_xll.PTreeNodeProbability(treeCalc_1!$F$2,299)</f>
        <v>#VALUE!</v>
      </c>
    </row>
    <row r="599" spans="6:13" x14ac:dyDescent="0.3">
      <c r="L599" s="13"/>
      <c r="M599" s="18" t="e">
        <f>_xll.PTreeNodeValue(treeCalc_1!$F$2,299)</f>
        <v>#VALUE!</v>
      </c>
    </row>
    <row r="600" spans="6:13" x14ac:dyDescent="0.3">
      <c r="F600" s="17" t="e">
        <v>#VALUE!</v>
      </c>
      <c r="G600" s="15" t="s">
        <v>144</v>
      </c>
    </row>
    <row r="601" spans="6:13" x14ac:dyDescent="0.3">
      <c r="F601" s="13"/>
      <c r="G601" s="16" t="e">
        <f>_xll.PTreeNodeValue(treeCalc_1!$F$2,300)</f>
        <v>#VALUE!</v>
      </c>
    </row>
    <row r="602" spans="6:13" x14ac:dyDescent="0.3">
      <c r="I602" s="17" t="e">
        <v>#VALUE!</v>
      </c>
      <c r="J602" s="15" t="s">
        <v>133</v>
      </c>
    </row>
    <row r="603" spans="6:13" x14ac:dyDescent="0.3">
      <c r="I603" s="13"/>
      <c r="J603" s="16" t="e">
        <f>_xll.PTreeNodeValue(treeCalc_1!$F$2,301)</f>
        <v>#VALUE!</v>
      </c>
    </row>
    <row r="604" spans="6:13" x14ac:dyDescent="0.3">
      <c r="J604" s="17" t="e">
        <v>#VALUE!</v>
      </c>
      <c r="K604" s="15" t="s">
        <v>132</v>
      </c>
    </row>
    <row r="605" spans="6:13" x14ac:dyDescent="0.3">
      <c r="J605" s="13"/>
      <c r="K605" s="16" t="e">
        <f>_xll.PTreeNodeValue(treeCalc_1!$F$2,302)</f>
        <v>#VALUE!</v>
      </c>
    </row>
    <row r="606" spans="6:13" x14ac:dyDescent="0.3">
      <c r="K606" s="17" t="e">
        <v>#VALUE!</v>
      </c>
      <c r="L606" s="15" t="s">
        <v>134</v>
      </c>
    </row>
    <row r="607" spans="6:13" x14ac:dyDescent="0.3">
      <c r="K607" s="13"/>
      <c r="L607" s="16" t="e">
        <f>_xll.PTreeNodeValue(treeCalc_1!$F$2,303)</f>
        <v>#VALUE!</v>
      </c>
    </row>
    <row r="608" spans="6:13" x14ac:dyDescent="0.3">
      <c r="L608" s="17" t="e">
        <v>#VALUE!</v>
      </c>
      <c r="M608" s="19" t="e">
        <f>_xll.PTreeNodeProbability(treeCalc_1!$F$2,304)</f>
        <v>#VALUE!</v>
      </c>
    </row>
    <row r="609" spans="7:13" x14ac:dyDescent="0.3">
      <c r="L609" s="13"/>
      <c r="M609" s="18" t="e">
        <f>_xll.PTreeNodeValue(treeCalc_1!$F$2,304)</f>
        <v>#VALUE!</v>
      </c>
    </row>
    <row r="610" spans="7:13" x14ac:dyDescent="0.3">
      <c r="H610" s="17" t="e">
        <v>#VALUE!</v>
      </c>
      <c r="I610" s="15" t="s">
        <v>146</v>
      </c>
    </row>
    <row r="611" spans="7:13" x14ac:dyDescent="0.3">
      <c r="H611" s="13"/>
      <c r="I611" s="16" t="e">
        <f>_xll.PTreeNodeValue(treeCalc_1!$F$2,305)</f>
        <v>#VALUE!</v>
      </c>
    </row>
    <row r="612" spans="7:13" x14ac:dyDescent="0.3">
      <c r="I612" s="17" t="e">
        <v>#VALUE!</v>
      </c>
      <c r="J612" s="15" t="s">
        <v>133</v>
      </c>
    </row>
    <row r="613" spans="7:13" x14ac:dyDescent="0.3">
      <c r="I613" s="13"/>
      <c r="J613" s="16" t="e">
        <f>_xll.PTreeNodeValue(treeCalc_1!$F$2,306)</f>
        <v>#VALUE!</v>
      </c>
    </row>
    <row r="614" spans="7:13" x14ac:dyDescent="0.3">
      <c r="J614" s="17" t="e">
        <v>#VALUE!</v>
      </c>
      <c r="K614" s="15" t="s">
        <v>132</v>
      </c>
    </row>
    <row r="615" spans="7:13" x14ac:dyDescent="0.3">
      <c r="J615" s="13"/>
      <c r="K615" s="16" t="e">
        <f>_xll.PTreeNodeValue(treeCalc_1!$F$2,307)</f>
        <v>#VALUE!</v>
      </c>
    </row>
    <row r="616" spans="7:13" x14ac:dyDescent="0.3">
      <c r="K616" s="17" t="e">
        <v>#VALUE!</v>
      </c>
      <c r="L616" s="15" t="s">
        <v>134</v>
      </c>
    </row>
    <row r="617" spans="7:13" x14ac:dyDescent="0.3">
      <c r="K617" s="13"/>
      <c r="L617" s="16" t="e">
        <f>_xll.PTreeNodeValue(treeCalc_1!$F$2,308)</f>
        <v>#VALUE!</v>
      </c>
    </row>
    <row r="618" spans="7:13" x14ac:dyDescent="0.3">
      <c r="L618" s="17" t="e">
        <v>#VALUE!</v>
      </c>
      <c r="M618" s="19" t="e">
        <f>_xll.PTreeNodeProbability(treeCalc_1!$F$2,309)</f>
        <v>#VALUE!</v>
      </c>
    </row>
    <row r="619" spans="7:13" x14ac:dyDescent="0.3">
      <c r="L619" s="13"/>
      <c r="M619" s="18" t="e">
        <f>_xll.PTreeNodeValue(treeCalc_1!$F$2,309)</f>
        <v>#VALUE!</v>
      </c>
    </row>
    <row r="620" spans="7:13" x14ac:dyDescent="0.3">
      <c r="G620" s="17" t="e">
        <v>#VALUE!</v>
      </c>
      <c r="H620" s="15" t="s">
        <v>145</v>
      </c>
    </row>
    <row r="621" spans="7:13" x14ac:dyDescent="0.3">
      <c r="G621" s="13"/>
      <c r="H621" s="16" t="e">
        <f>_xll.PTreeNodeValue(treeCalc_1!$F$2,310)</f>
        <v>#VALUE!</v>
      </c>
    </row>
    <row r="622" spans="7:13" x14ac:dyDescent="0.3">
      <c r="I622" s="17" t="e">
        <v>#VALUE!</v>
      </c>
      <c r="J622" s="15" t="s">
        <v>133</v>
      </c>
    </row>
    <row r="623" spans="7:13" x14ac:dyDescent="0.3">
      <c r="I623" s="13"/>
      <c r="J623" s="16" t="e">
        <f>_xll.PTreeNodeValue(treeCalc_1!$F$2,311)</f>
        <v>#VALUE!</v>
      </c>
    </row>
    <row r="624" spans="7:13" x14ac:dyDescent="0.3">
      <c r="J624" s="17" t="e">
        <v>#VALUE!</v>
      </c>
      <c r="K624" s="15" t="s">
        <v>132</v>
      </c>
    </row>
    <row r="625" spans="2:13" x14ac:dyDescent="0.3">
      <c r="J625" s="13"/>
      <c r="K625" s="16" t="e">
        <f>_xll.PTreeNodeValue(treeCalc_1!$F$2,312)</f>
        <v>#VALUE!</v>
      </c>
    </row>
    <row r="626" spans="2:13" x14ac:dyDescent="0.3">
      <c r="K626" s="17" t="e">
        <v>#VALUE!</v>
      </c>
      <c r="L626" s="15" t="s">
        <v>134</v>
      </c>
    </row>
    <row r="627" spans="2:13" x14ac:dyDescent="0.3">
      <c r="K627" s="13"/>
      <c r="L627" s="16" t="e">
        <f>_xll.PTreeNodeValue(treeCalc_1!$F$2,313)</f>
        <v>#VALUE!</v>
      </c>
    </row>
    <row r="628" spans="2:13" x14ac:dyDescent="0.3">
      <c r="L628" s="17" t="e">
        <v>#VALUE!</v>
      </c>
      <c r="M628" s="19" t="e">
        <f>_xll.PTreeNodeProbability(treeCalc_1!$F$2,314)</f>
        <v>#VALUE!</v>
      </c>
    </row>
    <row r="629" spans="2:13" x14ac:dyDescent="0.3">
      <c r="L629" s="13"/>
      <c r="M629" s="18" t="e">
        <f>_xll.PTreeNodeValue(treeCalc_1!$F$2,314)</f>
        <v>#VALUE!</v>
      </c>
    </row>
    <row r="630" spans="2:13" x14ac:dyDescent="0.3">
      <c r="H630" s="17" t="e">
        <v>#VALUE!</v>
      </c>
      <c r="I630" s="15" t="s">
        <v>146</v>
      </c>
    </row>
    <row r="631" spans="2:13" x14ac:dyDescent="0.3">
      <c r="H631" s="13"/>
      <c r="I631" s="16" t="e">
        <f>_xll.PTreeNodeValue(treeCalc_1!$F$2,315)</f>
        <v>#VALUE!</v>
      </c>
    </row>
    <row r="632" spans="2:13" x14ac:dyDescent="0.3">
      <c r="I632" s="17" t="e">
        <v>#VALUE!</v>
      </c>
      <c r="J632" s="15" t="s">
        <v>133</v>
      </c>
    </row>
    <row r="633" spans="2:13" x14ac:dyDescent="0.3">
      <c r="I633" s="13"/>
      <c r="J633" s="16" t="e">
        <f>_xll.PTreeNodeValue(treeCalc_1!$F$2,316)</f>
        <v>#VALUE!</v>
      </c>
    </row>
    <row r="634" spans="2:13" x14ac:dyDescent="0.3">
      <c r="J634" s="17" t="e">
        <v>#VALUE!</v>
      </c>
      <c r="K634" s="15" t="s">
        <v>132</v>
      </c>
    </row>
    <row r="635" spans="2:13" x14ac:dyDescent="0.3">
      <c r="J635" s="13"/>
      <c r="K635" s="16" t="e">
        <f>_xll.PTreeNodeValue(treeCalc_1!$F$2,317)</f>
        <v>#VALUE!</v>
      </c>
    </row>
    <row r="636" spans="2:13" x14ac:dyDescent="0.3">
      <c r="K636" s="17" t="e">
        <v>#VALUE!</v>
      </c>
      <c r="L636" s="15" t="s">
        <v>134</v>
      </c>
    </row>
    <row r="637" spans="2:13" x14ac:dyDescent="0.3">
      <c r="K637" s="13"/>
      <c r="L637" s="16" t="e">
        <f>_xll.PTreeNodeValue(treeCalc_1!$F$2,318)</f>
        <v>#VALUE!</v>
      </c>
    </row>
    <row r="638" spans="2:13" x14ac:dyDescent="0.3">
      <c r="L638" s="17" t="e">
        <v>#VALUE!</v>
      </c>
      <c r="M638" s="19" t="e">
        <f>_xll.PTreeNodeProbability(treeCalc_1!$F$2,319)</f>
        <v>#VALUE!</v>
      </c>
    </row>
    <row r="639" spans="2:13" x14ac:dyDescent="0.3">
      <c r="L639" s="13"/>
      <c r="M639" s="18" t="e">
        <f>_xll.PTreeNodeValue(treeCalc_1!$F$2,319)</f>
        <v>#VALUE!</v>
      </c>
    </row>
    <row r="640" spans="2:13" x14ac:dyDescent="0.3">
      <c r="B640" s="14" t="e">
        <f>_xll.PTreeNodeDecision(treeCalc_1!$F$2,320)</f>
        <v>#VALUE!</v>
      </c>
      <c r="C640" s="11" t="s">
        <v>140</v>
      </c>
    </row>
    <row r="641" spans="2:13" x14ac:dyDescent="0.3">
      <c r="B641" s="13"/>
      <c r="C641" s="12" t="e">
        <f>_xll.PTreeNodeValue(treeCalc_1!$F$2,320)</f>
        <v>#VALUE!</v>
      </c>
    </row>
    <row r="642" spans="2:13" x14ac:dyDescent="0.3">
      <c r="I642" s="17" t="e">
        <v>#VALUE!</v>
      </c>
      <c r="J642" s="15" t="s">
        <v>133</v>
      </c>
    </row>
    <row r="643" spans="2:13" x14ac:dyDescent="0.3">
      <c r="I643" s="13"/>
      <c r="J643" s="16" t="e">
        <f>_xll.PTreeNodeValue(treeCalc_1!$F$2,321)</f>
        <v>#VALUE!</v>
      </c>
    </row>
    <row r="644" spans="2:13" x14ac:dyDescent="0.3">
      <c r="J644" s="17" t="e">
        <v>#VALUE!</v>
      </c>
      <c r="K644" s="15" t="s">
        <v>132</v>
      </c>
    </row>
    <row r="645" spans="2:13" x14ac:dyDescent="0.3">
      <c r="J645" s="13"/>
      <c r="K645" s="16" t="e">
        <f>_xll.PTreeNodeValue(treeCalc_1!$F$2,322)</f>
        <v>#VALUE!</v>
      </c>
    </row>
    <row r="646" spans="2:13" x14ac:dyDescent="0.3">
      <c r="K646" s="17" t="e">
        <v>#VALUE!</v>
      </c>
      <c r="L646" s="15" t="s">
        <v>134</v>
      </c>
    </row>
    <row r="647" spans="2:13" x14ac:dyDescent="0.3">
      <c r="K647" s="13"/>
      <c r="L647" s="16" t="e">
        <f>_xll.PTreeNodeValue(treeCalc_1!$F$2,323)</f>
        <v>#VALUE!</v>
      </c>
    </row>
    <row r="648" spans="2:13" x14ac:dyDescent="0.3">
      <c r="L648" s="17" t="e">
        <v>#VALUE!</v>
      </c>
      <c r="M648" s="19" t="e">
        <f>_xll.PTreeNodeProbability(treeCalc_1!$F$2,324)</f>
        <v>#VALUE!</v>
      </c>
    </row>
    <row r="649" spans="2:13" x14ac:dyDescent="0.3">
      <c r="L649" s="13"/>
      <c r="M649" s="18" t="e">
        <f>_xll.PTreeNodeValue(treeCalc_1!$F$2,324)</f>
        <v>#VALUE!</v>
      </c>
    </row>
    <row r="650" spans="2:13" x14ac:dyDescent="0.3">
      <c r="H650" s="17" t="e">
        <v>#VALUE!</v>
      </c>
      <c r="I650" s="15" t="s">
        <v>146</v>
      </c>
    </row>
    <row r="651" spans="2:13" x14ac:dyDescent="0.3">
      <c r="H651" s="13"/>
      <c r="I651" s="16" t="e">
        <f>_xll.PTreeNodeValue(treeCalc_1!$F$2,325)</f>
        <v>#VALUE!</v>
      </c>
    </row>
    <row r="652" spans="2:13" x14ac:dyDescent="0.3">
      <c r="I652" s="17" t="e">
        <v>#VALUE!</v>
      </c>
      <c r="J652" s="15" t="s">
        <v>133</v>
      </c>
    </row>
    <row r="653" spans="2:13" x14ac:dyDescent="0.3">
      <c r="I653" s="13"/>
      <c r="J653" s="16" t="e">
        <f>_xll.PTreeNodeValue(treeCalc_1!$F$2,326)</f>
        <v>#VALUE!</v>
      </c>
    </row>
    <row r="654" spans="2:13" x14ac:dyDescent="0.3">
      <c r="J654" s="17" t="e">
        <v>#VALUE!</v>
      </c>
      <c r="K654" s="15" t="s">
        <v>132</v>
      </c>
    </row>
    <row r="655" spans="2:13" x14ac:dyDescent="0.3">
      <c r="J655" s="13"/>
      <c r="K655" s="16" t="e">
        <f>_xll.PTreeNodeValue(treeCalc_1!$F$2,327)</f>
        <v>#VALUE!</v>
      </c>
    </row>
    <row r="656" spans="2:13" x14ac:dyDescent="0.3">
      <c r="K656" s="17" t="e">
        <v>#VALUE!</v>
      </c>
      <c r="L656" s="15" t="s">
        <v>134</v>
      </c>
    </row>
    <row r="657" spans="7:13" x14ac:dyDescent="0.3">
      <c r="K657" s="13"/>
      <c r="L657" s="16" t="e">
        <f>_xll.PTreeNodeValue(treeCalc_1!$F$2,328)</f>
        <v>#VALUE!</v>
      </c>
    </row>
    <row r="658" spans="7:13" x14ac:dyDescent="0.3">
      <c r="L658" s="17" t="e">
        <v>#VALUE!</v>
      </c>
      <c r="M658" s="19" t="e">
        <f>_xll.PTreeNodeProbability(treeCalc_1!$F$2,329)</f>
        <v>#VALUE!</v>
      </c>
    </row>
    <row r="659" spans="7:13" x14ac:dyDescent="0.3">
      <c r="L659" s="13"/>
      <c r="M659" s="18" t="e">
        <f>_xll.PTreeNodeValue(treeCalc_1!$F$2,329)</f>
        <v>#VALUE!</v>
      </c>
    </row>
    <row r="660" spans="7:13" x14ac:dyDescent="0.3">
      <c r="G660" s="17" t="e">
        <v>#VALUE!</v>
      </c>
      <c r="H660" s="15" t="s">
        <v>145</v>
      </c>
    </row>
    <row r="661" spans="7:13" x14ac:dyDescent="0.3">
      <c r="G661" s="13"/>
      <c r="H661" s="16" t="e">
        <f>_xll.PTreeNodeValue(treeCalc_1!$F$2,330)</f>
        <v>#VALUE!</v>
      </c>
    </row>
    <row r="662" spans="7:13" x14ac:dyDescent="0.3">
      <c r="I662" s="17" t="e">
        <v>#VALUE!</v>
      </c>
      <c r="J662" s="15" t="s">
        <v>133</v>
      </c>
    </row>
    <row r="663" spans="7:13" x14ac:dyDescent="0.3">
      <c r="I663" s="13"/>
      <c r="J663" s="16" t="e">
        <f>_xll.PTreeNodeValue(treeCalc_1!$F$2,331)</f>
        <v>#VALUE!</v>
      </c>
    </row>
    <row r="664" spans="7:13" x14ac:dyDescent="0.3">
      <c r="J664" s="17" t="e">
        <v>#VALUE!</v>
      </c>
      <c r="K664" s="15" t="s">
        <v>132</v>
      </c>
    </row>
    <row r="665" spans="7:13" x14ac:dyDescent="0.3">
      <c r="J665" s="13"/>
      <c r="K665" s="16" t="e">
        <f>_xll.PTreeNodeValue(treeCalc_1!$F$2,332)</f>
        <v>#VALUE!</v>
      </c>
    </row>
    <row r="666" spans="7:13" x14ac:dyDescent="0.3">
      <c r="K666" s="17" t="e">
        <v>#VALUE!</v>
      </c>
      <c r="L666" s="15" t="s">
        <v>134</v>
      </c>
    </row>
    <row r="667" spans="7:13" x14ac:dyDescent="0.3">
      <c r="K667" s="13"/>
      <c r="L667" s="16" t="e">
        <f>_xll.PTreeNodeValue(treeCalc_1!$F$2,333)</f>
        <v>#VALUE!</v>
      </c>
    </row>
    <row r="668" spans="7:13" x14ac:dyDescent="0.3">
      <c r="L668" s="17" t="e">
        <v>#VALUE!</v>
      </c>
      <c r="M668" s="19" t="e">
        <f>_xll.PTreeNodeProbability(treeCalc_1!$F$2,334)</f>
        <v>#VALUE!</v>
      </c>
    </row>
    <row r="669" spans="7:13" x14ac:dyDescent="0.3">
      <c r="L669" s="13"/>
      <c r="M669" s="18" t="e">
        <f>_xll.PTreeNodeValue(treeCalc_1!$F$2,334)</f>
        <v>#VALUE!</v>
      </c>
    </row>
    <row r="670" spans="7:13" x14ac:dyDescent="0.3">
      <c r="H670" s="17" t="e">
        <v>#VALUE!</v>
      </c>
      <c r="I670" s="15" t="s">
        <v>146</v>
      </c>
    </row>
    <row r="671" spans="7:13" x14ac:dyDescent="0.3">
      <c r="H671" s="13"/>
      <c r="I671" s="16" t="e">
        <f>_xll.PTreeNodeValue(treeCalc_1!$F$2,335)</f>
        <v>#VALUE!</v>
      </c>
    </row>
    <row r="672" spans="7:13" x14ac:dyDescent="0.3">
      <c r="I672" s="17" t="e">
        <v>#VALUE!</v>
      </c>
      <c r="J672" s="15" t="s">
        <v>133</v>
      </c>
    </row>
    <row r="673" spans="6:13" x14ac:dyDescent="0.3">
      <c r="I673" s="13"/>
      <c r="J673" s="16" t="e">
        <f>_xll.PTreeNodeValue(treeCalc_1!$F$2,336)</f>
        <v>#VALUE!</v>
      </c>
    </row>
    <row r="674" spans="6:13" x14ac:dyDescent="0.3">
      <c r="J674" s="17" t="e">
        <v>#VALUE!</v>
      </c>
      <c r="K674" s="15" t="s">
        <v>132</v>
      </c>
    </row>
    <row r="675" spans="6:13" x14ac:dyDescent="0.3">
      <c r="J675" s="13"/>
      <c r="K675" s="16" t="e">
        <f>_xll.PTreeNodeValue(treeCalc_1!$F$2,337)</f>
        <v>#VALUE!</v>
      </c>
    </row>
    <row r="676" spans="6:13" x14ac:dyDescent="0.3">
      <c r="K676" s="17" t="e">
        <v>#VALUE!</v>
      </c>
      <c r="L676" s="15" t="s">
        <v>134</v>
      </c>
    </row>
    <row r="677" spans="6:13" x14ac:dyDescent="0.3">
      <c r="K677" s="13"/>
      <c r="L677" s="16" t="e">
        <f>_xll.PTreeNodeValue(treeCalc_1!$F$2,338)</f>
        <v>#VALUE!</v>
      </c>
    </row>
    <row r="678" spans="6:13" x14ac:dyDescent="0.3">
      <c r="L678" s="17" t="e">
        <v>#VALUE!</v>
      </c>
      <c r="M678" s="19" t="e">
        <f>_xll.PTreeNodeProbability(treeCalc_1!$F$2,339)</f>
        <v>#VALUE!</v>
      </c>
    </row>
    <row r="679" spans="6:13" x14ac:dyDescent="0.3">
      <c r="L679" s="13"/>
      <c r="M679" s="18" t="e">
        <f>_xll.PTreeNodeValue(treeCalc_1!$F$2,339)</f>
        <v>#VALUE!</v>
      </c>
    </row>
    <row r="680" spans="6:13" x14ac:dyDescent="0.3">
      <c r="F680" s="17" t="e">
        <v>#VALUE!</v>
      </c>
      <c r="G680" s="15" t="s">
        <v>144</v>
      </c>
    </row>
    <row r="681" spans="6:13" x14ac:dyDescent="0.3">
      <c r="F681" s="13"/>
      <c r="G681" s="16" t="e">
        <f>_xll.PTreeNodeValue(treeCalc_1!$F$2,340)</f>
        <v>#VALUE!</v>
      </c>
    </row>
    <row r="682" spans="6:13" x14ac:dyDescent="0.3">
      <c r="I682" s="17" t="e">
        <v>#VALUE!</v>
      </c>
      <c r="J682" s="15" t="s">
        <v>133</v>
      </c>
    </row>
    <row r="683" spans="6:13" x14ac:dyDescent="0.3">
      <c r="I683" s="13"/>
      <c r="J683" s="16" t="e">
        <f>_xll.PTreeNodeValue(treeCalc_1!$F$2,341)</f>
        <v>#VALUE!</v>
      </c>
    </row>
    <row r="684" spans="6:13" x14ac:dyDescent="0.3">
      <c r="J684" s="17" t="e">
        <v>#VALUE!</v>
      </c>
      <c r="K684" s="15" t="s">
        <v>132</v>
      </c>
    </row>
    <row r="685" spans="6:13" x14ac:dyDescent="0.3">
      <c r="J685" s="13"/>
      <c r="K685" s="16" t="e">
        <f>_xll.PTreeNodeValue(treeCalc_1!$F$2,342)</f>
        <v>#VALUE!</v>
      </c>
    </row>
    <row r="686" spans="6:13" x14ac:dyDescent="0.3">
      <c r="K686" s="17" t="e">
        <v>#VALUE!</v>
      </c>
      <c r="L686" s="15" t="s">
        <v>134</v>
      </c>
    </row>
    <row r="687" spans="6:13" x14ac:dyDescent="0.3">
      <c r="K687" s="13"/>
      <c r="L687" s="16" t="e">
        <f>_xll.PTreeNodeValue(treeCalc_1!$F$2,343)</f>
        <v>#VALUE!</v>
      </c>
    </row>
    <row r="688" spans="6:13" x14ac:dyDescent="0.3">
      <c r="L688" s="17" t="e">
        <v>#VALUE!</v>
      </c>
      <c r="M688" s="19" t="e">
        <f>_xll.PTreeNodeProbability(treeCalc_1!$F$2,344)</f>
        <v>#VALUE!</v>
      </c>
    </row>
    <row r="689" spans="7:13" x14ac:dyDescent="0.3">
      <c r="L689" s="13"/>
      <c r="M689" s="18" t="e">
        <f>_xll.PTreeNodeValue(treeCalc_1!$F$2,344)</f>
        <v>#VALUE!</v>
      </c>
    </row>
    <row r="690" spans="7:13" x14ac:dyDescent="0.3">
      <c r="H690" s="17" t="e">
        <v>#VALUE!</v>
      </c>
      <c r="I690" s="15" t="s">
        <v>146</v>
      </c>
    </row>
    <row r="691" spans="7:13" x14ac:dyDescent="0.3">
      <c r="H691" s="13"/>
      <c r="I691" s="16" t="e">
        <f>_xll.PTreeNodeValue(treeCalc_1!$F$2,345)</f>
        <v>#VALUE!</v>
      </c>
    </row>
    <row r="692" spans="7:13" x14ac:dyDescent="0.3">
      <c r="I692" s="17" t="e">
        <v>#VALUE!</v>
      </c>
      <c r="J692" s="15" t="s">
        <v>133</v>
      </c>
    </row>
    <row r="693" spans="7:13" x14ac:dyDescent="0.3">
      <c r="I693" s="13"/>
      <c r="J693" s="16" t="e">
        <f>_xll.PTreeNodeValue(treeCalc_1!$F$2,346)</f>
        <v>#VALUE!</v>
      </c>
    </row>
    <row r="694" spans="7:13" x14ac:dyDescent="0.3">
      <c r="J694" s="17" t="e">
        <v>#VALUE!</v>
      </c>
      <c r="K694" s="15" t="s">
        <v>132</v>
      </c>
    </row>
    <row r="695" spans="7:13" x14ac:dyDescent="0.3">
      <c r="J695" s="13"/>
      <c r="K695" s="16" t="e">
        <f>_xll.PTreeNodeValue(treeCalc_1!$F$2,347)</f>
        <v>#VALUE!</v>
      </c>
    </row>
    <row r="696" spans="7:13" x14ac:dyDescent="0.3">
      <c r="K696" s="17" t="e">
        <v>#VALUE!</v>
      </c>
      <c r="L696" s="15" t="s">
        <v>134</v>
      </c>
    </row>
    <row r="697" spans="7:13" x14ac:dyDescent="0.3">
      <c r="K697" s="13"/>
      <c r="L697" s="16" t="e">
        <f>_xll.PTreeNodeValue(treeCalc_1!$F$2,348)</f>
        <v>#VALUE!</v>
      </c>
    </row>
    <row r="698" spans="7:13" x14ac:dyDescent="0.3">
      <c r="L698" s="17" t="e">
        <v>#VALUE!</v>
      </c>
      <c r="M698" s="19" t="e">
        <f>_xll.PTreeNodeProbability(treeCalc_1!$F$2,349)</f>
        <v>#VALUE!</v>
      </c>
    </row>
    <row r="699" spans="7:13" x14ac:dyDescent="0.3">
      <c r="L699" s="13"/>
      <c r="M699" s="18" t="e">
        <f>_xll.PTreeNodeValue(treeCalc_1!$F$2,349)</f>
        <v>#VALUE!</v>
      </c>
    </row>
    <row r="700" spans="7:13" x14ac:dyDescent="0.3">
      <c r="G700" s="17" t="e">
        <v>#VALUE!</v>
      </c>
      <c r="H700" s="15" t="s">
        <v>145</v>
      </c>
    </row>
    <row r="701" spans="7:13" x14ac:dyDescent="0.3">
      <c r="G701" s="13"/>
      <c r="H701" s="16" t="e">
        <f>_xll.PTreeNodeValue(treeCalc_1!$F$2,350)</f>
        <v>#VALUE!</v>
      </c>
    </row>
    <row r="702" spans="7:13" x14ac:dyDescent="0.3">
      <c r="I702" s="17" t="e">
        <v>#VALUE!</v>
      </c>
      <c r="J702" s="15" t="s">
        <v>133</v>
      </c>
    </row>
    <row r="703" spans="7:13" x14ac:dyDescent="0.3">
      <c r="I703" s="13"/>
      <c r="J703" s="16" t="e">
        <f>_xll.PTreeNodeValue(treeCalc_1!$F$2,351)</f>
        <v>#VALUE!</v>
      </c>
    </row>
    <row r="704" spans="7:13" x14ac:dyDescent="0.3">
      <c r="J704" s="17" t="e">
        <v>#VALUE!</v>
      </c>
      <c r="K704" s="15" t="s">
        <v>132</v>
      </c>
    </row>
    <row r="705" spans="5:13" x14ac:dyDescent="0.3">
      <c r="J705" s="13"/>
      <c r="K705" s="16" t="e">
        <f>_xll.PTreeNodeValue(treeCalc_1!$F$2,352)</f>
        <v>#VALUE!</v>
      </c>
    </row>
    <row r="706" spans="5:13" x14ac:dyDescent="0.3">
      <c r="K706" s="17" t="e">
        <v>#VALUE!</v>
      </c>
      <c r="L706" s="15" t="s">
        <v>134</v>
      </c>
    </row>
    <row r="707" spans="5:13" x14ac:dyDescent="0.3">
      <c r="K707" s="13"/>
      <c r="L707" s="16" t="e">
        <f>_xll.PTreeNodeValue(treeCalc_1!$F$2,353)</f>
        <v>#VALUE!</v>
      </c>
    </row>
    <row r="708" spans="5:13" x14ac:dyDescent="0.3">
      <c r="L708" s="17" t="e">
        <v>#VALUE!</v>
      </c>
      <c r="M708" s="19" t="e">
        <f>_xll.PTreeNodeProbability(treeCalc_1!$F$2,354)</f>
        <v>#VALUE!</v>
      </c>
    </row>
    <row r="709" spans="5:13" x14ac:dyDescent="0.3">
      <c r="L709" s="13"/>
      <c r="M709" s="18" t="e">
        <f>_xll.PTreeNodeValue(treeCalc_1!$F$2,354)</f>
        <v>#VALUE!</v>
      </c>
    </row>
    <row r="710" spans="5:13" x14ac:dyDescent="0.3">
      <c r="H710" s="17" t="e">
        <v>#VALUE!</v>
      </c>
      <c r="I710" s="15" t="s">
        <v>146</v>
      </c>
    </row>
    <row r="711" spans="5:13" x14ac:dyDescent="0.3">
      <c r="H711" s="13"/>
      <c r="I711" s="16" t="e">
        <f>_xll.PTreeNodeValue(treeCalc_1!$F$2,355)</f>
        <v>#VALUE!</v>
      </c>
    </row>
    <row r="712" spans="5:13" x14ac:dyDescent="0.3">
      <c r="I712" s="17" t="e">
        <v>#VALUE!</v>
      </c>
      <c r="J712" s="15" t="s">
        <v>133</v>
      </c>
    </row>
    <row r="713" spans="5:13" x14ac:dyDescent="0.3">
      <c r="I713" s="13"/>
      <c r="J713" s="16" t="e">
        <f>_xll.PTreeNodeValue(treeCalc_1!$F$2,356)</f>
        <v>#VALUE!</v>
      </c>
    </row>
    <row r="714" spans="5:13" x14ac:dyDescent="0.3">
      <c r="J714" s="17" t="e">
        <v>#VALUE!</v>
      </c>
      <c r="K714" s="15" t="s">
        <v>132</v>
      </c>
    </row>
    <row r="715" spans="5:13" x14ac:dyDescent="0.3">
      <c r="J715" s="13"/>
      <c r="K715" s="16" t="e">
        <f>_xll.PTreeNodeValue(treeCalc_1!$F$2,357)</f>
        <v>#VALUE!</v>
      </c>
    </row>
    <row r="716" spans="5:13" x14ac:dyDescent="0.3">
      <c r="K716" s="17" t="e">
        <v>#VALUE!</v>
      </c>
      <c r="L716" s="15" t="s">
        <v>134</v>
      </c>
    </row>
    <row r="717" spans="5:13" x14ac:dyDescent="0.3">
      <c r="K717" s="13"/>
      <c r="L717" s="16" t="e">
        <f>_xll.PTreeNodeValue(treeCalc_1!$F$2,358)</f>
        <v>#VALUE!</v>
      </c>
    </row>
    <row r="718" spans="5:13" x14ac:dyDescent="0.3">
      <c r="L718" s="17" t="e">
        <v>#VALUE!</v>
      </c>
      <c r="M718" s="19" t="e">
        <f>_xll.PTreeNodeProbability(treeCalc_1!$F$2,359)</f>
        <v>#VALUE!</v>
      </c>
    </row>
    <row r="719" spans="5:13" x14ac:dyDescent="0.3">
      <c r="L719" s="13"/>
      <c r="M719" s="18" t="e">
        <f>_xll.PTreeNodeValue(treeCalc_1!$F$2,359)</f>
        <v>#VALUE!</v>
      </c>
    </row>
    <row r="720" spans="5:13" x14ac:dyDescent="0.3">
      <c r="E720" s="17" t="e">
        <v>#VALUE!</v>
      </c>
      <c r="F720" s="15" t="s">
        <v>141</v>
      </c>
    </row>
    <row r="721" spans="5:13" x14ac:dyDescent="0.3">
      <c r="E721" s="13"/>
      <c r="F721" s="16" t="e">
        <f>_xll.PTreeNodeValue(treeCalc_1!$F$2,360)</f>
        <v>#VALUE!</v>
      </c>
    </row>
    <row r="722" spans="5:13" x14ac:dyDescent="0.3">
      <c r="I722" s="17" t="e">
        <v>#VALUE!</v>
      </c>
      <c r="J722" s="15" t="s">
        <v>133</v>
      </c>
    </row>
    <row r="723" spans="5:13" x14ac:dyDescent="0.3">
      <c r="I723" s="13"/>
      <c r="J723" s="16" t="e">
        <f>_xll.PTreeNodeValue(treeCalc_1!$F$2,361)</f>
        <v>#VALUE!</v>
      </c>
    </row>
    <row r="724" spans="5:13" x14ac:dyDescent="0.3">
      <c r="J724" s="17" t="e">
        <v>#VALUE!</v>
      </c>
      <c r="K724" s="15" t="s">
        <v>132</v>
      </c>
    </row>
    <row r="725" spans="5:13" x14ac:dyDescent="0.3">
      <c r="J725" s="13"/>
      <c r="K725" s="16" t="e">
        <f>_xll.PTreeNodeValue(treeCalc_1!$F$2,362)</f>
        <v>#VALUE!</v>
      </c>
    </row>
    <row r="726" spans="5:13" x14ac:dyDescent="0.3">
      <c r="K726" s="17" t="e">
        <v>#VALUE!</v>
      </c>
      <c r="L726" s="15" t="s">
        <v>134</v>
      </c>
    </row>
    <row r="727" spans="5:13" x14ac:dyDescent="0.3">
      <c r="K727" s="13"/>
      <c r="L727" s="16" t="e">
        <f>_xll.PTreeNodeValue(treeCalc_1!$F$2,363)</f>
        <v>#VALUE!</v>
      </c>
    </row>
    <row r="728" spans="5:13" x14ac:dyDescent="0.3">
      <c r="L728" s="17" t="e">
        <v>#VALUE!</v>
      </c>
      <c r="M728" s="19" t="e">
        <f>_xll.PTreeNodeProbability(treeCalc_1!$F$2,364)</f>
        <v>#VALUE!</v>
      </c>
    </row>
    <row r="729" spans="5:13" x14ac:dyDescent="0.3">
      <c r="L729" s="13"/>
      <c r="M729" s="18" t="e">
        <f>_xll.PTreeNodeValue(treeCalc_1!$F$2,364)</f>
        <v>#VALUE!</v>
      </c>
    </row>
    <row r="730" spans="5:13" x14ac:dyDescent="0.3">
      <c r="H730" s="17" t="e">
        <v>#VALUE!</v>
      </c>
      <c r="I730" s="15" t="s">
        <v>146</v>
      </c>
    </row>
    <row r="731" spans="5:13" x14ac:dyDescent="0.3">
      <c r="H731" s="13"/>
      <c r="I731" s="16" t="e">
        <f>_xll.PTreeNodeValue(treeCalc_1!$F$2,365)</f>
        <v>#VALUE!</v>
      </c>
    </row>
    <row r="732" spans="5:13" x14ac:dyDescent="0.3">
      <c r="I732" s="17" t="e">
        <v>#VALUE!</v>
      </c>
      <c r="J732" s="15" t="s">
        <v>133</v>
      </c>
    </row>
    <row r="733" spans="5:13" x14ac:dyDescent="0.3">
      <c r="I733" s="13"/>
      <c r="J733" s="16" t="e">
        <f>_xll.PTreeNodeValue(treeCalc_1!$F$2,366)</f>
        <v>#VALUE!</v>
      </c>
    </row>
    <row r="734" spans="5:13" x14ac:dyDescent="0.3">
      <c r="J734" s="17" t="e">
        <v>#VALUE!</v>
      </c>
      <c r="K734" s="15" t="s">
        <v>132</v>
      </c>
    </row>
    <row r="735" spans="5:13" x14ac:dyDescent="0.3">
      <c r="J735" s="13"/>
      <c r="K735" s="16" t="e">
        <f>_xll.PTreeNodeValue(treeCalc_1!$F$2,367)</f>
        <v>#VALUE!</v>
      </c>
    </row>
    <row r="736" spans="5:13" x14ac:dyDescent="0.3">
      <c r="K736" s="17" t="e">
        <v>#VALUE!</v>
      </c>
      <c r="L736" s="15" t="s">
        <v>134</v>
      </c>
    </row>
    <row r="737" spans="7:13" x14ac:dyDescent="0.3">
      <c r="K737" s="13"/>
      <c r="L737" s="16" t="e">
        <f>_xll.PTreeNodeValue(treeCalc_1!$F$2,368)</f>
        <v>#VALUE!</v>
      </c>
    </row>
    <row r="738" spans="7:13" x14ac:dyDescent="0.3">
      <c r="L738" s="17" t="e">
        <v>#VALUE!</v>
      </c>
      <c r="M738" s="19" t="e">
        <f>_xll.PTreeNodeProbability(treeCalc_1!$F$2,369)</f>
        <v>#VALUE!</v>
      </c>
    </row>
    <row r="739" spans="7:13" x14ac:dyDescent="0.3">
      <c r="L739" s="13"/>
      <c r="M739" s="18" t="e">
        <f>_xll.PTreeNodeValue(treeCalc_1!$F$2,369)</f>
        <v>#VALUE!</v>
      </c>
    </row>
    <row r="740" spans="7:13" x14ac:dyDescent="0.3">
      <c r="G740" s="17" t="e">
        <v>#VALUE!</v>
      </c>
      <c r="H740" s="15" t="s">
        <v>145</v>
      </c>
    </row>
    <row r="741" spans="7:13" x14ac:dyDescent="0.3">
      <c r="G741" s="13"/>
      <c r="H741" s="16" t="e">
        <f>_xll.PTreeNodeValue(treeCalc_1!$F$2,370)</f>
        <v>#VALUE!</v>
      </c>
    </row>
    <row r="742" spans="7:13" x14ac:dyDescent="0.3">
      <c r="I742" s="17" t="e">
        <v>#VALUE!</v>
      </c>
      <c r="J742" s="15" t="s">
        <v>133</v>
      </c>
    </row>
    <row r="743" spans="7:13" x14ac:dyDescent="0.3">
      <c r="I743" s="13"/>
      <c r="J743" s="16" t="e">
        <f>_xll.PTreeNodeValue(treeCalc_1!$F$2,371)</f>
        <v>#VALUE!</v>
      </c>
    </row>
    <row r="744" spans="7:13" x14ac:dyDescent="0.3">
      <c r="J744" s="17" t="e">
        <v>#VALUE!</v>
      </c>
      <c r="K744" s="15" t="s">
        <v>132</v>
      </c>
    </row>
    <row r="745" spans="7:13" x14ac:dyDescent="0.3">
      <c r="J745" s="13"/>
      <c r="K745" s="16" t="e">
        <f>_xll.PTreeNodeValue(treeCalc_1!$F$2,372)</f>
        <v>#VALUE!</v>
      </c>
    </row>
    <row r="746" spans="7:13" x14ac:dyDescent="0.3">
      <c r="K746" s="17" t="e">
        <v>#VALUE!</v>
      </c>
      <c r="L746" s="15" t="s">
        <v>134</v>
      </c>
    </row>
    <row r="747" spans="7:13" x14ac:dyDescent="0.3">
      <c r="K747" s="13"/>
      <c r="L747" s="16" t="e">
        <f>_xll.PTreeNodeValue(treeCalc_1!$F$2,373)</f>
        <v>#VALUE!</v>
      </c>
    </row>
    <row r="748" spans="7:13" x14ac:dyDescent="0.3">
      <c r="L748" s="17" t="e">
        <v>#VALUE!</v>
      </c>
      <c r="M748" s="19" t="e">
        <f>_xll.PTreeNodeProbability(treeCalc_1!$F$2,374)</f>
        <v>#VALUE!</v>
      </c>
    </row>
    <row r="749" spans="7:13" x14ac:dyDescent="0.3">
      <c r="L749" s="13"/>
      <c r="M749" s="18" t="e">
        <f>_xll.PTreeNodeValue(treeCalc_1!$F$2,374)</f>
        <v>#VALUE!</v>
      </c>
    </row>
    <row r="750" spans="7:13" x14ac:dyDescent="0.3">
      <c r="H750" s="17" t="e">
        <v>#VALUE!</v>
      </c>
      <c r="I750" s="15" t="s">
        <v>146</v>
      </c>
    </row>
    <row r="751" spans="7:13" x14ac:dyDescent="0.3">
      <c r="H751" s="13"/>
      <c r="I751" s="16" t="e">
        <f>_xll.PTreeNodeValue(treeCalc_1!$F$2,375)</f>
        <v>#VALUE!</v>
      </c>
    </row>
    <row r="752" spans="7:13" x14ac:dyDescent="0.3">
      <c r="I752" s="17" t="e">
        <v>#VALUE!</v>
      </c>
      <c r="J752" s="15" t="s">
        <v>133</v>
      </c>
    </row>
    <row r="753" spans="6:13" x14ac:dyDescent="0.3">
      <c r="I753" s="13"/>
      <c r="J753" s="16" t="e">
        <f>_xll.PTreeNodeValue(treeCalc_1!$F$2,376)</f>
        <v>#VALUE!</v>
      </c>
    </row>
    <row r="754" spans="6:13" x14ac:dyDescent="0.3">
      <c r="J754" s="17" t="e">
        <v>#VALUE!</v>
      </c>
      <c r="K754" s="15" t="s">
        <v>132</v>
      </c>
    </row>
    <row r="755" spans="6:13" x14ac:dyDescent="0.3">
      <c r="J755" s="13"/>
      <c r="K755" s="16" t="e">
        <f>_xll.PTreeNodeValue(treeCalc_1!$F$2,377)</f>
        <v>#VALUE!</v>
      </c>
    </row>
    <row r="756" spans="6:13" x14ac:dyDescent="0.3">
      <c r="K756" s="17" t="e">
        <v>#VALUE!</v>
      </c>
      <c r="L756" s="15" t="s">
        <v>134</v>
      </c>
    </row>
    <row r="757" spans="6:13" x14ac:dyDescent="0.3">
      <c r="K757" s="13"/>
      <c r="L757" s="16" t="e">
        <f>_xll.PTreeNodeValue(treeCalc_1!$F$2,378)</f>
        <v>#VALUE!</v>
      </c>
    </row>
    <row r="758" spans="6:13" x14ac:dyDescent="0.3">
      <c r="L758" s="17" t="e">
        <v>#VALUE!</v>
      </c>
      <c r="M758" s="19" t="e">
        <f>_xll.PTreeNodeProbability(treeCalc_1!$F$2,379)</f>
        <v>#VALUE!</v>
      </c>
    </row>
    <row r="759" spans="6:13" x14ac:dyDescent="0.3">
      <c r="L759" s="13"/>
      <c r="M759" s="18" t="e">
        <f>_xll.PTreeNodeValue(treeCalc_1!$F$2,379)</f>
        <v>#VALUE!</v>
      </c>
    </row>
    <row r="760" spans="6:13" x14ac:dyDescent="0.3">
      <c r="F760" s="17" t="e">
        <v>#VALUE!</v>
      </c>
      <c r="G760" s="15" t="s">
        <v>144</v>
      </c>
    </row>
    <row r="761" spans="6:13" x14ac:dyDescent="0.3">
      <c r="F761" s="13"/>
      <c r="G761" s="16" t="e">
        <f>_xll.PTreeNodeValue(treeCalc_1!$F$2,380)</f>
        <v>#VALUE!</v>
      </c>
    </row>
    <row r="762" spans="6:13" x14ac:dyDescent="0.3">
      <c r="I762" s="17" t="e">
        <v>#VALUE!</v>
      </c>
      <c r="J762" s="15" t="s">
        <v>133</v>
      </c>
    </row>
    <row r="763" spans="6:13" x14ac:dyDescent="0.3">
      <c r="I763" s="13"/>
      <c r="J763" s="16" t="e">
        <f>_xll.PTreeNodeValue(treeCalc_1!$F$2,381)</f>
        <v>#VALUE!</v>
      </c>
    </row>
    <row r="764" spans="6:13" x14ac:dyDescent="0.3">
      <c r="J764" s="17" t="e">
        <v>#VALUE!</v>
      </c>
      <c r="K764" s="15" t="s">
        <v>132</v>
      </c>
    </row>
    <row r="765" spans="6:13" x14ac:dyDescent="0.3">
      <c r="J765" s="13"/>
      <c r="K765" s="16" t="e">
        <f>_xll.PTreeNodeValue(treeCalc_1!$F$2,382)</f>
        <v>#VALUE!</v>
      </c>
    </row>
    <row r="766" spans="6:13" x14ac:dyDescent="0.3">
      <c r="K766" s="17" t="e">
        <v>#VALUE!</v>
      </c>
      <c r="L766" s="15" t="s">
        <v>134</v>
      </c>
    </row>
    <row r="767" spans="6:13" x14ac:dyDescent="0.3">
      <c r="K767" s="13"/>
      <c r="L767" s="16" t="e">
        <f>_xll.PTreeNodeValue(treeCalc_1!$F$2,383)</f>
        <v>#VALUE!</v>
      </c>
    </row>
    <row r="768" spans="6:13" x14ac:dyDescent="0.3">
      <c r="L768" s="17" t="e">
        <v>#VALUE!</v>
      </c>
      <c r="M768" s="19" t="e">
        <f>_xll.PTreeNodeProbability(treeCalc_1!$F$2,384)</f>
        <v>#VALUE!</v>
      </c>
    </row>
    <row r="769" spans="7:13" x14ac:dyDescent="0.3">
      <c r="L769" s="13"/>
      <c r="M769" s="18" t="e">
        <f>_xll.PTreeNodeValue(treeCalc_1!$F$2,384)</f>
        <v>#VALUE!</v>
      </c>
    </row>
    <row r="770" spans="7:13" x14ac:dyDescent="0.3">
      <c r="H770" s="17" t="e">
        <v>#VALUE!</v>
      </c>
      <c r="I770" s="15" t="s">
        <v>146</v>
      </c>
    </row>
    <row r="771" spans="7:13" x14ac:dyDescent="0.3">
      <c r="H771" s="13"/>
      <c r="I771" s="16" t="e">
        <f>_xll.PTreeNodeValue(treeCalc_1!$F$2,385)</f>
        <v>#VALUE!</v>
      </c>
    </row>
    <row r="772" spans="7:13" x14ac:dyDescent="0.3">
      <c r="I772" s="17" t="e">
        <v>#VALUE!</v>
      </c>
      <c r="J772" s="15" t="s">
        <v>133</v>
      </c>
    </row>
    <row r="773" spans="7:13" x14ac:dyDescent="0.3">
      <c r="I773" s="13"/>
      <c r="J773" s="16" t="e">
        <f>_xll.PTreeNodeValue(treeCalc_1!$F$2,386)</f>
        <v>#VALUE!</v>
      </c>
    </row>
    <row r="774" spans="7:13" x14ac:dyDescent="0.3">
      <c r="J774" s="17" t="e">
        <v>#VALUE!</v>
      </c>
      <c r="K774" s="15" t="s">
        <v>132</v>
      </c>
    </row>
    <row r="775" spans="7:13" x14ac:dyDescent="0.3">
      <c r="J775" s="13"/>
      <c r="K775" s="16" t="e">
        <f>_xll.PTreeNodeValue(treeCalc_1!$F$2,387)</f>
        <v>#VALUE!</v>
      </c>
    </row>
    <row r="776" spans="7:13" x14ac:dyDescent="0.3">
      <c r="K776" s="17" t="e">
        <v>#VALUE!</v>
      </c>
      <c r="L776" s="15" t="s">
        <v>134</v>
      </c>
    </row>
    <row r="777" spans="7:13" x14ac:dyDescent="0.3">
      <c r="K777" s="13"/>
      <c r="L777" s="16" t="e">
        <f>_xll.PTreeNodeValue(treeCalc_1!$F$2,388)</f>
        <v>#VALUE!</v>
      </c>
    </row>
    <row r="778" spans="7:13" x14ac:dyDescent="0.3">
      <c r="L778" s="17" t="e">
        <v>#VALUE!</v>
      </c>
      <c r="M778" s="19" t="e">
        <f>_xll.PTreeNodeProbability(treeCalc_1!$F$2,389)</f>
        <v>#VALUE!</v>
      </c>
    </row>
    <row r="779" spans="7:13" x14ac:dyDescent="0.3">
      <c r="L779" s="13"/>
      <c r="M779" s="18" t="e">
        <f>_xll.PTreeNodeValue(treeCalc_1!$F$2,389)</f>
        <v>#VALUE!</v>
      </c>
    </row>
    <row r="780" spans="7:13" x14ac:dyDescent="0.3">
      <c r="G780" s="17" t="e">
        <v>#VALUE!</v>
      </c>
      <c r="H780" s="15" t="s">
        <v>145</v>
      </c>
    </row>
    <row r="781" spans="7:13" x14ac:dyDescent="0.3">
      <c r="G781" s="13"/>
      <c r="H781" s="16" t="e">
        <f>_xll.PTreeNodeValue(treeCalc_1!$F$2,390)</f>
        <v>#VALUE!</v>
      </c>
    </row>
    <row r="782" spans="7:13" x14ac:dyDescent="0.3">
      <c r="I782" s="17" t="e">
        <v>#VALUE!</v>
      </c>
      <c r="J782" s="15" t="s">
        <v>133</v>
      </c>
    </row>
    <row r="783" spans="7:13" x14ac:dyDescent="0.3">
      <c r="I783" s="13"/>
      <c r="J783" s="16" t="e">
        <f>_xll.PTreeNodeValue(treeCalc_1!$F$2,391)</f>
        <v>#VALUE!</v>
      </c>
    </row>
    <row r="784" spans="7:13" x14ac:dyDescent="0.3">
      <c r="J784" s="17" t="e">
        <v>#VALUE!</v>
      </c>
      <c r="K784" s="15" t="s">
        <v>132</v>
      </c>
    </row>
    <row r="785" spans="4:13" x14ac:dyDescent="0.3">
      <c r="J785" s="13"/>
      <c r="K785" s="16" t="e">
        <f>_xll.PTreeNodeValue(treeCalc_1!$F$2,392)</f>
        <v>#VALUE!</v>
      </c>
    </row>
    <row r="786" spans="4:13" x14ac:dyDescent="0.3">
      <c r="K786" s="17" t="e">
        <v>#VALUE!</v>
      </c>
      <c r="L786" s="15" t="s">
        <v>134</v>
      </c>
    </row>
    <row r="787" spans="4:13" x14ac:dyDescent="0.3">
      <c r="K787" s="13"/>
      <c r="L787" s="16" t="e">
        <f>_xll.PTreeNodeValue(treeCalc_1!$F$2,393)</f>
        <v>#VALUE!</v>
      </c>
    </row>
    <row r="788" spans="4:13" x14ac:dyDescent="0.3">
      <c r="L788" s="17" t="e">
        <v>#VALUE!</v>
      </c>
      <c r="M788" s="19" t="e">
        <f>_xll.PTreeNodeProbability(treeCalc_1!$F$2,394)</f>
        <v>#VALUE!</v>
      </c>
    </row>
    <row r="789" spans="4:13" x14ac:dyDescent="0.3">
      <c r="L789" s="13"/>
      <c r="M789" s="18" t="e">
        <f>_xll.PTreeNodeValue(treeCalc_1!$F$2,394)</f>
        <v>#VALUE!</v>
      </c>
    </row>
    <row r="790" spans="4:13" x14ac:dyDescent="0.3">
      <c r="H790" s="17" t="e">
        <v>#VALUE!</v>
      </c>
      <c r="I790" s="15" t="s">
        <v>146</v>
      </c>
    </row>
    <row r="791" spans="4:13" x14ac:dyDescent="0.3">
      <c r="H791" s="13"/>
      <c r="I791" s="16" t="e">
        <f>_xll.PTreeNodeValue(treeCalc_1!$F$2,395)</f>
        <v>#VALUE!</v>
      </c>
    </row>
    <row r="792" spans="4:13" x14ac:dyDescent="0.3">
      <c r="I792" s="17" t="e">
        <v>#VALUE!</v>
      </c>
      <c r="J792" s="15" t="s">
        <v>133</v>
      </c>
    </row>
    <row r="793" spans="4:13" x14ac:dyDescent="0.3">
      <c r="I793" s="13"/>
      <c r="J793" s="16" t="e">
        <f>_xll.PTreeNodeValue(treeCalc_1!$F$2,396)</f>
        <v>#VALUE!</v>
      </c>
    </row>
    <row r="794" spans="4:13" x14ac:dyDescent="0.3">
      <c r="J794" s="17" t="e">
        <v>#VALUE!</v>
      </c>
      <c r="K794" s="15" t="s">
        <v>132</v>
      </c>
    </row>
    <row r="795" spans="4:13" x14ac:dyDescent="0.3">
      <c r="J795" s="13"/>
      <c r="K795" s="16" t="e">
        <f>_xll.PTreeNodeValue(treeCalc_1!$F$2,397)</f>
        <v>#VALUE!</v>
      </c>
    </row>
    <row r="796" spans="4:13" x14ac:dyDescent="0.3">
      <c r="K796" s="17" t="e">
        <v>#VALUE!</v>
      </c>
      <c r="L796" s="15" t="s">
        <v>134</v>
      </c>
    </row>
    <row r="797" spans="4:13" x14ac:dyDescent="0.3">
      <c r="K797" s="13"/>
      <c r="L797" s="16" t="e">
        <f>_xll.PTreeNodeValue(treeCalc_1!$F$2,398)</f>
        <v>#VALUE!</v>
      </c>
    </row>
    <row r="798" spans="4:13" x14ac:dyDescent="0.3">
      <c r="L798" s="17" t="e">
        <v>#VALUE!</v>
      </c>
      <c r="M798" s="19" t="e">
        <f>_xll.PTreeNodeProbability(treeCalc_1!$F$2,399)</f>
        <v>#VALUE!</v>
      </c>
    </row>
    <row r="799" spans="4:13" x14ac:dyDescent="0.3">
      <c r="L799" s="13"/>
      <c r="M799" s="18" t="e">
        <f>_xll.PTreeNodeValue(treeCalc_1!$F$2,399)</f>
        <v>#VALUE!</v>
      </c>
    </row>
    <row r="800" spans="4:13" x14ac:dyDescent="0.3">
      <c r="D800" s="14" t="e">
        <f>_xll.PTreeNodeDecision(treeCalc_1!$F$2,400)</f>
        <v>#VALUE!</v>
      </c>
      <c r="E800" s="15" t="s">
        <v>143</v>
      </c>
    </row>
    <row r="801" spans="4:13" x14ac:dyDescent="0.3">
      <c r="D801" s="13"/>
      <c r="E801" s="16" t="e">
        <f>_xll.PTreeNodeValue(treeCalc_1!$F$2,400)</f>
        <v>#VALUE!</v>
      </c>
    </row>
    <row r="802" spans="4:13" x14ac:dyDescent="0.3">
      <c r="I802" s="17" t="e">
        <v>#VALUE!</v>
      </c>
      <c r="J802" s="15" t="s">
        <v>133</v>
      </c>
    </row>
    <row r="803" spans="4:13" x14ac:dyDescent="0.3">
      <c r="I803" s="13"/>
      <c r="J803" s="16" t="e">
        <f>_xll.PTreeNodeValue(treeCalc_1!$F$2,401)</f>
        <v>#VALUE!</v>
      </c>
    </row>
    <row r="804" spans="4:13" x14ac:dyDescent="0.3">
      <c r="J804" s="17" t="e">
        <v>#VALUE!</v>
      </c>
      <c r="K804" s="15" t="s">
        <v>132</v>
      </c>
    </row>
    <row r="805" spans="4:13" x14ac:dyDescent="0.3">
      <c r="J805" s="13"/>
      <c r="K805" s="16" t="e">
        <f>_xll.PTreeNodeValue(treeCalc_1!$F$2,402)</f>
        <v>#VALUE!</v>
      </c>
    </row>
    <row r="806" spans="4:13" x14ac:dyDescent="0.3">
      <c r="K806" s="17" t="e">
        <v>#VALUE!</v>
      </c>
      <c r="L806" s="15" t="s">
        <v>134</v>
      </c>
    </row>
    <row r="807" spans="4:13" x14ac:dyDescent="0.3">
      <c r="K807" s="13"/>
      <c r="L807" s="16" t="e">
        <f>_xll.PTreeNodeValue(treeCalc_1!$F$2,403)</f>
        <v>#VALUE!</v>
      </c>
    </row>
    <row r="808" spans="4:13" x14ac:dyDescent="0.3">
      <c r="L808" s="17" t="e">
        <v>#VALUE!</v>
      </c>
      <c r="M808" s="19" t="e">
        <f>_xll.PTreeNodeProbability(treeCalc_1!$F$2,404)</f>
        <v>#VALUE!</v>
      </c>
    </row>
    <row r="809" spans="4:13" x14ac:dyDescent="0.3">
      <c r="L809" s="13"/>
      <c r="M809" s="18" t="e">
        <f>_xll.PTreeNodeValue(treeCalc_1!$F$2,404)</f>
        <v>#VALUE!</v>
      </c>
    </row>
    <row r="810" spans="4:13" x14ac:dyDescent="0.3">
      <c r="H810" s="17" t="e">
        <v>#VALUE!</v>
      </c>
      <c r="I810" s="15" t="s">
        <v>146</v>
      </c>
    </row>
    <row r="811" spans="4:13" x14ac:dyDescent="0.3">
      <c r="H811" s="13"/>
      <c r="I811" s="16" t="e">
        <f>_xll.PTreeNodeValue(treeCalc_1!$F$2,405)</f>
        <v>#VALUE!</v>
      </c>
    </row>
    <row r="812" spans="4:13" x14ac:dyDescent="0.3">
      <c r="I812" s="17" t="e">
        <v>#VALUE!</v>
      </c>
      <c r="J812" s="15" t="s">
        <v>133</v>
      </c>
    </row>
    <row r="813" spans="4:13" x14ac:dyDescent="0.3">
      <c r="I813" s="13"/>
      <c r="J813" s="16" t="e">
        <f>_xll.PTreeNodeValue(treeCalc_1!$F$2,406)</f>
        <v>#VALUE!</v>
      </c>
    </row>
    <row r="814" spans="4:13" x14ac:dyDescent="0.3">
      <c r="J814" s="17" t="e">
        <v>#VALUE!</v>
      </c>
      <c r="K814" s="15" t="s">
        <v>132</v>
      </c>
    </row>
    <row r="815" spans="4:13" x14ac:dyDescent="0.3">
      <c r="J815" s="13"/>
      <c r="K815" s="16" t="e">
        <f>_xll.PTreeNodeValue(treeCalc_1!$F$2,407)</f>
        <v>#VALUE!</v>
      </c>
    </row>
    <row r="816" spans="4:13" x14ac:dyDescent="0.3">
      <c r="K816" s="17" t="e">
        <v>#VALUE!</v>
      </c>
      <c r="L816" s="15" t="s">
        <v>134</v>
      </c>
    </row>
    <row r="817" spans="7:13" x14ac:dyDescent="0.3">
      <c r="K817" s="13"/>
      <c r="L817" s="16" t="e">
        <f>_xll.PTreeNodeValue(treeCalc_1!$F$2,408)</f>
        <v>#VALUE!</v>
      </c>
    </row>
    <row r="818" spans="7:13" x14ac:dyDescent="0.3">
      <c r="L818" s="17" t="e">
        <v>#VALUE!</v>
      </c>
      <c r="M818" s="19" t="e">
        <f>_xll.PTreeNodeProbability(treeCalc_1!$F$2,409)</f>
        <v>#VALUE!</v>
      </c>
    </row>
    <row r="819" spans="7:13" x14ac:dyDescent="0.3">
      <c r="L819" s="13"/>
      <c r="M819" s="18" t="e">
        <f>_xll.PTreeNodeValue(treeCalc_1!$F$2,409)</f>
        <v>#VALUE!</v>
      </c>
    </row>
    <row r="820" spans="7:13" x14ac:dyDescent="0.3">
      <c r="G820" s="17" t="e">
        <v>#VALUE!</v>
      </c>
      <c r="H820" s="15" t="s">
        <v>145</v>
      </c>
    </row>
    <row r="821" spans="7:13" x14ac:dyDescent="0.3">
      <c r="G821" s="13"/>
      <c r="H821" s="16" t="e">
        <f>_xll.PTreeNodeValue(treeCalc_1!$F$2,410)</f>
        <v>#VALUE!</v>
      </c>
    </row>
    <row r="822" spans="7:13" x14ac:dyDescent="0.3">
      <c r="I822" s="17" t="e">
        <v>#VALUE!</v>
      </c>
      <c r="J822" s="15" t="s">
        <v>133</v>
      </c>
    </row>
    <row r="823" spans="7:13" x14ac:dyDescent="0.3">
      <c r="I823" s="13"/>
      <c r="J823" s="16" t="e">
        <f>_xll.PTreeNodeValue(treeCalc_1!$F$2,411)</f>
        <v>#VALUE!</v>
      </c>
    </row>
    <row r="824" spans="7:13" x14ac:dyDescent="0.3">
      <c r="J824" s="17" t="e">
        <v>#VALUE!</v>
      </c>
      <c r="K824" s="15" t="s">
        <v>132</v>
      </c>
    </row>
    <row r="825" spans="7:13" x14ac:dyDescent="0.3">
      <c r="J825" s="13"/>
      <c r="K825" s="16" t="e">
        <f>_xll.PTreeNodeValue(treeCalc_1!$F$2,412)</f>
        <v>#VALUE!</v>
      </c>
    </row>
    <row r="826" spans="7:13" x14ac:dyDescent="0.3">
      <c r="K826" s="17" t="e">
        <v>#VALUE!</v>
      </c>
      <c r="L826" s="15" t="s">
        <v>134</v>
      </c>
    </row>
    <row r="827" spans="7:13" x14ac:dyDescent="0.3">
      <c r="K827" s="13"/>
      <c r="L827" s="16" t="e">
        <f>_xll.PTreeNodeValue(treeCalc_1!$F$2,413)</f>
        <v>#VALUE!</v>
      </c>
    </row>
    <row r="828" spans="7:13" x14ac:dyDescent="0.3">
      <c r="L828" s="17" t="e">
        <v>#VALUE!</v>
      </c>
      <c r="M828" s="19" t="e">
        <f>_xll.PTreeNodeProbability(treeCalc_1!$F$2,414)</f>
        <v>#VALUE!</v>
      </c>
    </row>
    <row r="829" spans="7:13" x14ac:dyDescent="0.3">
      <c r="L829" s="13"/>
      <c r="M829" s="18" t="e">
        <f>_xll.PTreeNodeValue(treeCalc_1!$F$2,414)</f>
        <v>#VALUE!</v>
      </c>
    </row>
    <row r="830" spans="7:13" x14ac:dyDescent="0.3">
      <c r="H830" s="17" t="e">
        <v>#VALUE!</v>
      </c>
      <c r="I830" s="15" t="s">
        <v>146</v>
      </c>
    </row>
    <row r="831" spans="7:13" x14ac:dyDescent="0.3">
      <c r="H831" s="13"/>
      <c r="I831" s="16" t="e">
        <f>_xll.PTreeNodeValue(treeCalc_1!$F$2,415)</f>
        <v>#VALUE!</v>
      </c>
    </row>
    <row r="832" spans="7:13" x14ac:dyDescent="0.3">
      <c r="I832" s="17" t="e">
        <v>#VALUE!</v>
      </c>
      <c r="J832" s="15" t="s">
        <v>133</v>
      </c>
    </row>
    <row r="833" spans="6:13" x14ac:dyDescent="0.3">
      <c r="I833" s="13"/>
      <c r="J833" s="16" t="e">
        <f>_xll.PTreeNodeValue(treeCalc_1!$F$2,416)</f>
        <v>#VALUE!</v>
      </c>
    </row>
    <row r="834" spans="6:13" x14ac:dyDescent="0.3">
      <c r="J834" s="17" t="e">
        <v>#VALUE!</v>
      </c>
      <c r="K834" s="15" t="s">
        <v>132</v>
      </c>
    </row>
    <row r="835" spans="6:13" x14ac:dyDescent="0.3">
      <c r="J835" s="13"/>
      <c r="K835" s="16" t="e">
        <f>_xll.PTreeNodeValue(treeCalc_1!$F$2,417)</f>
        <v>#VALUE!</v>
      </c>
    </row>
    <row r="836" spans="6:13" x14ac:dyDescent="0.3">
      <c r="K836" s="17" t="e">
        <v>#VALUE!</v>
      </c>
      <c r="L836" s="15" t="s">
        <v>134</v>
      </c>
    </row>
    <row r="837" spans="6:13" x14ac:dyDescent="0.3">
      <c r="K837" s="13"/>
      <c r="L837" s="16" t="e">
        <f>_xll.PTreeNodeValue(treeCalc_1!$F$2,418)</f>
        <v>#VALUE!</v>
      </c>
    </row>
    <row r="838" spans="6:13" x14ac:dyDescent="0.3">
      <c r="L838" s="17" t="e">
        <v>#VALUE!</v>
      </c>
      <c r="M838" s="19" t="e">
        <f>_xll.PTreeNodeProbability(treeCalc_1!$F$2,419)</f>
        <v>#VALUE!</v>
      </c>
    </row>
    <row r="839" spans="6:13" x14ac:dyDescent="0.3">
      <c r="L839" s="13"/>
      <c r="M839" s="18" t="e">
        <f>_xll.PTreeNodeValue(treeCalc_1!$F$2,419)</f>
        <v>#VALUE!</v>
      </c>
    </row>
    <row r="840" spans="6:13" x14ac:dyDescent="0.3">
      <c r="F840" s="17" t="e">
        <v>#VALUE!</v>
      </c>
      <c r="G840" s="15" t="s">
        <v>144</v>
      </c>
    </row>
    <row r="841" spans="6:13" x14ac:dyDescent="0.3">
      <c r="F841" s="13"/>
      <c r="G841" s="16" t="e">
        <f>_xll.PTreeNodeValue(treeCalc_1!$F$2,420)</f>
        <v>#VALUE!</v>
      </c>
    </row>
    <row r="842" spans="6:13" x14ac:dyDescent="0.3">
      <c r="I842" s="17" t="e">
        <v>#VALUE!</v>
      </c>
      <c r="J842" s="15" t="s">
        <v>133</v>
      </c>
    </row>
    <row r="843" spans="6:13" x14ac:dyDescent="0.3">
      <c r="I843" s="13"/>
      <c r="J843" s="16" t="e">
        <f>_xll.PTreeNodeValue(treeCalc_1!$F$2,421)</f>
        <v>#VALUE!</v>
      </c>
    </row>
    <row r="844" spans="6:13" x14ac:dyDescent="0.3">
      <c r="J844" s="17" t="e">
        <v>#VALUE!</v>
      </c>
      <c r="K844" s="15" t="s">
        <v>132</v>
      </c>
    </row>
    <row r="845" spans="6:13" x14ac:dyDescent="0.3">
      <c r="J845" s="13"/>
      <c r="K845" s="16" t="e">
        <f>_xll.PTreeNodeValue(treeCalc_1!$F$2,422)</f>
        <v>#VALUE!</v>
      </c>
    </row>
    <row r="846" spans="6:13" x14ac:dyDescent="0.3">
      <c r="K846" s="17" t="e">
        <v>#VALUE!</v>
      </c>
      <c r="L846" s="15" t="s">
        <v>134</v>
      </c>
    </row>
    <row r="847" spans="6:13" x14ac:dyDescent="0.3">
      <c r="K847" s="13"/>
      <c r="L847" s="16" t="e">
        <f>_xll.PTreeNodeValue(treeCalc_1!$F$2,423)</f>
        <v>#VALUE!</v>
      </c>
    </row>
    <row r="848" spans="6:13" x14ac:dyDescent="0.3">
      <c r="L848" s="17" t="e">
        <v>#VALUE!</v>
      </c>
      <c r="M848" s="19" t="e">
        <f>_xll.PTreeNodeProbability(treeCalc_1!$F$2,424)</f>
        <v>#VALUE!</v>
      </c>
    </row>
    <row r="849" spans="7:13" x14ac:dyDescent="0.3">
      <c r="L849" s="13"/>
      <c r="M849" s="18" t="e">
        <f>_xll.PTreeNodeValue(treeCalc_1!$F$2,424)</f>
        <v>#VALUE!</v>
      </c>
    </row>
    <row r="850" spans="7:13" x14ac:dyDescent="0.3">
      <c r="H850" s="17" t="e">
        <v>#VALUE!</v>
      </c>
      <c r="I850" s="15" t="s">
        <v>146</v>
      </c>
    </row>
    <row r="851" spans="7:13" x14ac:dyDescent="0.3">
      <c r="H851" s="13"/>
      <c r="I851" s="16" t="e">
        <f>_xll.PTreeNodeValue(treeCalc_1!$F$2,425)</f>
        <v>#VALUE!</v>
      </c>
    </row>
    <row r="852" spans="7:13" x14ac:dyDescent="0.3">
      <c r="I852" s="17" t="e">
        <v>#VALUE!</v>
      </c>
      <c r="J852" s="15" t="s">
        <v>133</v>
      </c>
    </row>
    <row r="853" spans="7:13" x14ac:dyDescent="0.3">
      <c r="I853" s="13"/>
      <c r="J853" s="16" t="e">
        <f>_xll.PTreeNodeValue(treeCalc_1!$F$2,426)</f>
        <v>#VALUE!</v>
      </c>
    </row>
    <row r="854" spans="7:13" x14ac:dyDescent="0.3">
      <c r="J854" s="17" t="e">
        <v>#VALUE!</v>
      </c>
      <c r="K854" s="15" t="s">
        <v>132</v>
      </c>
    </row>
    <row r="855" spans="7:13" x14ac:dyDescent="0.3">
      <c r="J855" s="13"/>
      <c r="K855" s="16" t="e">
        <f>_xll.PTreeNodeValue(treeCalc_1!$F$2,427)</f>
        <v>#VALUE!</v>
      </c>
    </row>
    <row r="856" spans="7:13" x14ac:dyDescent="0.3">
      <c r="K856" s="17" t="e">
        <v>#VALUE!</v>
      </c>
      <c r="L856" s="15" t="s">
        <v>134</v>
      </c>
    </row>
    <row r="857" spans="7:13" x14ac:dyDescent="0.3">
      <c r="K857" s="13"/>
      <c r="L857" s="16" t="e">
        <f>_xll.PTreeNodeValue(treeCalc_1!$F$2,428)</f>
        <v>#VALUE!</v>
      </c>
    </row>
    <row r="858" spans="7:13" x14ac:dyDescent="0.3">
      <c r="L858" s="17" t="e">
        <v>#VALUE!</v>
      </c>
      <c r="M858" s="19" t="e">
        <f>_xll.PTreeNodeProbability(treeCalc_1!$F$2,429)</f>
        <v>#VALUE!</v>
      </c>
    </row>
    <row r="859" spans="7:13" x14ac:dyDescent="0.3">
      <c r="L859" s="13"/>
      <c r="M859" s="18" t="e">
        <f>_xll.PTreeNodeValue(treeCalc_1!$F$2,429)</f>
        <v>#VALUE!</v>
      </c>
    </row>
    <row r="860" spans="7:13" x14ac:dyDescent="0.3">
      <c r="G860" s="17" t="e">
        <v>#VALUE!</v>
      </c>
      <c r="H860" s="15" t="s">
        <v>145</v>
      </c>
    </row>
    <row r="861" spans="7:13" x14ac:dyDescent="0.3">
      <c r="G861" s="13"/>
      <c r="H861" s="16" t="e">
        <f>_xll.PTreeNodeValue(treeCalc_1!$F$2,430)</f>
        <v>#VALUE!</v>
      </c>
    </row>
    <row r="862" spans="7:13" x14ac:dyDescent="0.3">
      <c r="I862" s="17" t="e">
        <v>#VALUE!</v>
      </c>
      <c r="J862" s="15" t="s">
        <v>133</v>
      </c>
    </row>
    <row r="863" spans="7:13" x14ac:dyDescent="0.3">
      <c r="I863" s="13"/>
      <c r="J863" s="16" t="e">
        <f>_xll.PTreeNodeValue(treeCalc_1!$F$2,431)</f>
        <v>#VALUE!</v>
      </c>
    </row>
    <row r="864" spans="7:13" x14ac:dyDescent="0.3">
      <c r="J864" s="17" t="e">
        <v>#VALUE!</v>
      </c>
      <c r="K864" s="15" t="s">
        <v>132</v>
      </c>
    </row>
    <row r="865" spans="5:13" x14ac:dyDescent="0.3">
      <c r="J865" s="13"/>
      <c r="K865" s="16" t="e">
        <f>_xll.PTreeNodeValue(treeCalc_1!$F$2,432)</f>
        <v>#VALUE!</v>
      </c>
    </row>
    <row r="866" spans="5:13" x14ac:dyDescent="0.3">
      <c r="K866" s="17" t="e">
        <v>#VALUE!</v>
      </c>
      <c r="L866" s="15" t="s">
        <v>134</v>
      </c>
    </row>
    <row r="867" spans="5:13" x14ac:dyDescent="0.3">
      <c r="K867" s="13"/>
      <c r="L867" s="16" t="e">
        <f>_xll.PTreeNodeValue(treeCalc_1!$F$2,433)</f>
        <v>#VALUE!</v>
      </c>
    </row>
    <row r="868" spans="5:13" x14ac:dyDescent="0.3">
      <c r="L868" s="17" t="e">
        <v>#VALUE!</v>
      </c>
      <c r="M868" s="19" t="e">
        <f>_xll.PTreeNodeProbability(treeCalc_1!$F$2,434)</f>
        <v>#VALUE!</v>
      </c>
    </row>
    <row r="869" spans="5:13" x14ac:dyDescent="0.3">
      <c r="L869" s="13"/>
      <c r="M869" s="18" t="e">
        <f>_xll.PTreeNodeValue(treeCalc_1!$F$2,434)</f>
        <v>#VALUE!</v>
      </c>
    </row>
    <row r="870" spans="5:13" x14ac:dyDescent="0.3">
      <c r="H870" s="17" t="e">
        <v>#VALUE!</v>
      </c>
      <c r="I870" s="15" t="s">
        <v>146</v>
      </c>
    </row>
    <row r="871" spans="5:13" x14ac:dyDescent="0.3">
      <c r="H871" s="13"/>
      <c r="I871" s="16" t="e">
        <f>_xll.PTreeNodeValue(treeCalc_1!$F$2,435)</f>
        <v>#VALUE!</v>
      </c>
    </row>
    <row r="872" spans="5:13" x14ac:dyDescent="0.3">
      <c r="I872" s="17" t="e">
        <v>#VALUE!</v>
      </c>
      <c r="J872" s="15" t="s">
        <v>133</v>
      </c>
    </row>
    <row r="873" spans="5:13" x14ac:dyDescent="0.3">
      <c r="I873" s="13"/>
      <c r="J873" s="16" t="e">
        <f>_xll.PTreeNodeValue(treeCalc_1!$F$2,436)</f>
        <v>#VALUE!</v>
      </c>
    </row>
    <row r="874" spans="5:13" x14ac:dyDescent="0.3">
      <c r="J874" s="17" t="e">
        <v>#VALUE!</v>
      </c>
      <c r="K874" s="15" t="s">
        <v>132</v>
      </c>
    </row>
    <row r="875" spans="5:13" x14ac:dyDescent="0.3">
      <c r="J875" s="13"/>
      <c r="K875" s="16" t="e">
        <f>_xll.PTreeNodeValue(treeCalc_1!$F$2,437)</f>
        <v>#VALUE!</v>
      </c>
    </row>
    <row r="876" spans="5:13" x14ac:dyDescent="0.3">
      <c r="K876" s="17" t="e">
        <v>#VALUE!</v>
      </c>
      <c r="L876" s="15" t="s">
        <v>134</v>
      </c>
    </row>
    <row r="877" spans="5:13" x14ac:dyDescent="0.3">
      <c r="K877" s="13"/>
      <c r="L877" s="16" t="e">
        <f>_xll.PTreeNodeValue(treeCalc_1!$F$2,438)</f>
        <v>#VALUE!</v>
      </c>
    </row>
    <row r="878" spans="5:13" x14ac:dyDescent="0.3">
      <c r="L878" s="17" t="e">
        <v>#VALUE!</v>
      </c>
      <c r="M878" s="19" t="e">
        <f>_xll.PTreeNodeProbability(treeCalc_1!$F$2,439)</f>
        <v>#VALUE!</v>
      </c>
    </row>
    <row r="879" spans="5:13" x14ac:dyDescent="0.3">
      <c r="L879" s="13"/>
      <c r="M879" s="18" t="e">
        <f>_xll.PTreeNodeValue(treeCalc_1!$F$2,439)</f>
        <v>#VALUE!</v>
      </c>
    </row>
    <row r="880" spans="5:13" x14ac:dyDescent="0.3">
      <c r="E880" s="17" t="e">
        <v>#VALUE!</v>
      </c>
      <c r="F880" s="15" t="s">
        <v>141</v>
      </c>
    </row>
    <row r="881" spans="5:13" x14ac:dyDescent="0.3">
      <c r="E881" s="13"/>
      <c r="F881" s="16" t="e">
        <f>_xll.PTreeNodeValue(treeCalc_1!$F$2,440)</f>
        <v>#VALUE!</v>
      </c>
    </row>
    <row r="882" spans="5:13" x14ac:dyDescent="0.3">
      <c r="I882" s="17" t="e">
        <v>#VALUE!</v>
      </c>
      <c r="J882" s="15" t="s">
        <v>133</v>
      </c>
    </row>
    <row r="883" spans="5:13" x14ac:dyDescent="0.3">
      <c r="I883" s="13"/>
      <c r="J883" s="16" t="e">
        <f>_xll.PTreeNodeValue(treeCalc_1!$F$2,441)</f>
        <v>#VALUE!</v>
      </c>
    </row>
    <row r="884" spans="5:13" x14ac:dyDescent="0.3">
      <c r="J884" s="17" t="e">
        <v>#VALUE!</v>
      </c>
      <c r="K884" s="15" t="s">
        <v>132</v>
      </c>
    </row>
    <row r="885" spans="5:13" x14ac:dyDescent="0.3">
      <c r="J885" s="13"/>
      <c r="K885" s="16" t="e">
        <f>_xll.PTreeNodeValue(treeCalc_1!$F$2,442)</f>
        <v>#VALUE!</v>
      </c>
    </row>
    <row r="886" spans="5:13" x14ac:dyDescent="0.3">
      <c r="K886" s="17" t="e">
        <v>#VALUE!</v>
      </c>
      <c r="L886" s="15" t="s">
        <v>134</v>
      </c>
    </row>
    <row r="887" spans="5:13" x14ac:dyDescent="0.3">
      <c r="K887" s="13"/>
      <c r="L887" s="16" t="e">
        <f>_xll.PTreeNodeValue(treeCalc_1!$F$2,443)</f>
        <v>#VALUE!</v>
      </c>
    </row>
    <row r="888" spans="5:13" x14ac:dyDescent="0.3">
      <c r="L888" s="17" t="e">
        <v>#VALUE!</v>
      </c>
      <c r="M888" s="19" t="e">
        <f>_xll.PTreeNodeProbability(treeCalc_1!$F$2,444)</f>
        <v>#VALUE!</v>
      </c>
    </row>
    <row r="889" spans="5:13" x14ac:dyDescent="0.3">
      <c r="L889" s="13"/>
      <c r="M889" s="18" t="e">
        <f>_xll.PTreeNodeValue(treeCalc_1!$F$2,444)</f>
        <v>#VALUE!</v>
      </c>
    </row>
    <row r="890" spans="5:13" x14ac:dyDescent="0.3">
      <c r="H890" s="17" t="e">
        <v>#VALUE!</v>
      </c>
      <c r="I890" s="15" t="s">
        <v>146</v>
      </c>
    </row>
    <row r="891" spans="5:13" x14ac:dyDescent="0.3">
      <c r="H891" s="13"/>
      <c r="I891" s="16" t="e">
        <f>_xll.PTreeNodeValue(treeCalc_1!$F$2,445)</f>
        <v>#VALUE!</v>
      </c>
    </row>
    <row r="892" spans="5:13" x14ac:dyDescent="0.3">
      <c r="I892" s="17" t="e">
        <v>#VALUE!</v>
      </c>
      <c r="J892" s="15" t="s">
        <v>133</v>
      </c>
    </row>
    <row r="893" spans="5:13" x14ac:dyDescent="0.3">
      <c r="I893" s="13"/>
      <c r="J893" s="16" t="e">
        <f>_xll.PTreeNodeValue(treeCalc_1!$F$2,446)</f>
        <v>#VALUE!</v>
      </c>
    </row>
    <row r="894" spans="5:13" x14ac:dyDescent="0.3">
      <c r="J894" s="17" t="e">
        <v>#VALUE!</v>
      </c>
      <c r="K894" s="15" t="s">
        <v>132</v>
      </c>
    </row>
    <row r="895" spans="5:13" x14ac:dyDescent="0.3">
      <c r="J895" s="13"/>
      <c r="K895" s="16" t="e">
        <f>_xll.PTreeNodeValue(treeCalc_1!$F$2,447)</f>
        <v>#VALUE!</v>
      </c>
    </row>
    <row r="896" spans="5:13" x14ac:dyDescent="0.3">
      <c r="K896" s="17" t="e">
        <v>#VALUE!</v>
      </c>
      <c r="L896" s="15" t="s">
        <v>134</v>
      </c>
    </row>
    <row r="897" spans="7:13" x14ac:dyDescent="0.3">
      <c r="K897" s="13"/>
      <c r="L897" s="16" t="e">
        <f>_xll.PTreeNodeValue(treeCalc_1!$F$2,448)</f>
        <v>#VALUE!</v>
      </c>
    </row>
    <row r="898" spans="7:13" x14ac:dyDescent="0.3">
      <c r="L898" s="17" t="e">
        <v>#VALUE!</v>
      </c>
      <c r="M898" s="19" t="e">
        <f>_xll.PTreeNodeProbability(treeCalc_1!$F$2,449)</f>
        <v>#VALUE!</v>
      </c>
    </row>
    <row r="899" spans="7:13" x14ac:dyDescent="0.3">
      <c r="L899" s="13"/>
      <c r="M899" s="18" t="e">
        <f>_xll.PTreeNodeValue(treeCalc_1!$F$2,449)</f>
        <v>#VALUE!</v>
      </c>
    </row>
    <row r="900" spans="7:13" x14ac:dyDescent="0.3">
      <c r="G900" s="17" t="e">
        <v>#VALUE!</v>
      </c>
      <c r="H900" s="15" t="s">
        <v>145</v>
      </c>
    </row>
    <row r="901" spans="7:13" x14ac:dyDescent="0.3">
      <c r="G901" s="13"/>
      <c r="H901" s="16" t="e">
        <f>_xll.PTreeNodeValue(treeCalc_1!$F$2,450)</f>
        <v>#VALUE!</v>
      </c>
    </row>
    <row r="902" spans="7:13" x14ac:dyDescent="0.3">
      <c r="I902" s="17" t="e">
        <v>#VALUE!</v>
      </c>
      <c r="J902" s="15" t="s">
        <v>133</v>
      </c>
    </row>
    <row r="903" spans="7:13" x14ac:dyDescent="0.3">
      <c r="I903" s="13"/>
      <c r="J903" s="16" t="e">
        <f>_xll.PTreeNodeValue(treeCalc_1!$F$2,451)</f>
        <v>#VALUE!</v>
      </c>
    </row>
    <row r="904" spans="7:13" x14ac:dyDescent="0.3">
      <c r="J904" s="17" t="e">
        <v>#VALUE!</v>
      </c>
      <c r="K904" s="15" t="s">
        <v>132</v>
      </c>
    </row>
    <row r="905" spans="7:13" x14ac:dyDescent="0.3">
      <c r="J905" s="13"/>
      <c r="K905" s="16" t="e">
        <f>_xll.PTreeNodeValue(treeCalc_1!$F$2,452)</f>
        <v>#VALUE!</v>
      </c>
    </row>
    <row r="906" spans="7:13" x14ac:dyDescent="0.3">
      <c r="K906" s="17" t="e">
        <v>#VALUE!</v>
      </c>
      <c r="L906" s="15" t="s">
        <v>134</v>
      </c>
    </row>
    <row r="907" spans="7:13" x14ac:dyDescent="0.3">
      <c r="K907" s="13"/>
      <c r="L907" s="16" t="e">
        <f>_xll.PTreeNodeValue(treeCalc_1!$F$2,453)</f>
        <v>#VALUE!</v>
      </c>
    </row>
    <row r="908" spans="7:13" x14ac:dyDescent="0.3">
      <c r="L908" s="17" t="e">
        <v>#VALUE!</v>
      </c>
      <c r="M908" s="19" t="e">
        <f>_xll.PTreeNodeProbability(treeCalc_1!$F$2,454)</f>
        <v>#VALUE!</v>
      </c>
    </row>
    <row r="909" spans="7:13" x14ac:dyDescent="0.3">
      <c r="L909" s="13"/>
      <c r="M909" s="18" t="e">
        <f>_xll.PTreeNodeValue(treeCalc_1!$F$2,454)</f>
        <v>#VALUE!</v>
      </c>
    </row>
    <row r="910" spans="7:13" x14ac:dyDescent="0.3">
      <c r="H910" s="17" t="e">
        <v>#VALUE!</v>
      </c>
      <c r="I910" s="15" t="s">
        <v>146</v>
      </c>
    </row>
    <row r="911" spans="7:13" x14ac:dyDescent="0.3">
      <c r="H911" s="13"/>
      <c r="I911" s="16" t="e">
        <f>_xll.PTreeNodeValue(treeCalc_1!$F$2,455)</f>
        <v>#VALUE!</v>
      </c>
    </row>
    <row r="912" spans="7:13" x14ac:dyDescent="0.3">
      <c r="I912" s="17" t="e">
        <v>#VALUE!</v>
      </c>
      <c r="J912" s="15" t="s">
        <v>133</v>
      </c>
    </row>
    <row r="913" spans="6:13" x14ac:dyDescent="0.3">
      <c r="I913" s="13"/>
      <c r="J913" s="16" t="e">
        <f>_xll.PTreeNodeValue(treeCalc_1!$F$2,456)</f>
        <v>#VALUE!</v>
      </c>
    </row>
    <row r="914" spans="6:13" x14ac:dyDescent="0.3">
      <c r="J914" s="17" t="e">
        <v>#VALUE!</v>
      </c>
      <c r="K914" s="15" t="s">
        <v>132</v>
      </c>
    </row>
    <row r="915" spans="6:13" x14ac:dyDescent="0.3">
      <c r="J915" s="13"/>
      <c r="K915" s="16" t="e">
        <f>_xll.PTreeNodeValue(treeCalc_1!$F$2,457)</f>
        <v>#VALUE!</v>
      </c>
    </row>
    <row r="916" spans="6:13" x14ac:dyDescent="0.3">
      <c r="K916" s="17" t="e">
        <v>#VALUE!</v>
      </c>
      <c r="L916" s="15" t="s">
        <v>134</v>
      </c>
    </row>
    <row r="917" spans="6:13" x14ac:dyDescent="0.3">
      <c r="K917" s="13"/>
      <c r="L917" s="16" t="e">
        <f>_xll.PTreeNodeValue(treeCalc_1!$F$2,458)</f>
        <v>#VALUE!</v>
      </c>
    </row>
    <row r="918" spans="6:13" x14ac:dyDescent="0.3">
      <c r="L918" s="17" t="e">
        <v>#VALUE!</v>
      </c>
      <c r="M918" s="19" t="e">
        <f>_xll.PTreeNodeProbability(treeCalc_1!$F$2,459)</f>
        <v>#VALUE!</v>
      </c>
    </row>
    <row r="919" spans="6:13" x14ac:dyDescent="0.3">
      <c r="L919" s="13"/>
      <c r="M919" s="18" t="e">
        <f>_xll.PTreeNodeValue(treeCalc_1!$F$2,459)</f>
        <v>#VALUE!</v>
      </c>
    </row>
    <row r="920" spans="6:13" x14ac:dyDescent="0.3">
      <c r="F920" s="17" t="e">
        <v>#VALUE!</v>
      </c>
      <c r="G920" s="15" t="s">
        <v>144</v>
      </c>
    </row>
    <row r="921" spans="6:13" x14ac:dyDescent="0.3">
      <c r="F921" s="13"/>
      <c r="G921" s="16" t="e">
        <f>_xll.PTreeNodeValue(treeCalc_1!$F$2,460)</f>
        <v>#VALUE!</v>
      </c>
    </row>
    <row r="922" spans="6:13" x14ac:dyDescent="0.3">
      <c r="I922" s="17" t="e">
        <v>#VALUE!</v>
      </c>
      <c r="J922" s="15" t="s">
        <v>133</v>
      </c>
    </row>
    <row r="923" spans="6:13" x14ac:dyDescent="0.3">
      <c r="I923" s="13"/>
      <c r="J923" s="16" t="e">
        <f>_xll.PTreeNodeValue(treeCalc_1!$F$2,461)</f>
        <v>#VALUE!</v>
      </c>
    </row>
    <row r="924" spans="6:13" x14ac:dyDescent="0.3">
      <c r="J924" s="17" t="e">
        <v>#VALUE!</v>
      </c>
      <c r="K924" s="15" t="s">
        <v>132</v>
      </c>
    </row>
    <row r="925" spans="6:13" x14ac:dyDescent="0.3">
      <c r="J925" s="13"/>
      <c r="K925" s="16" t="e">
        <f>_xll.PTreeNodeValue(treeCalc_1!$F$2,462)</f>
        <v>#VALUE!</v>
      </c>
    </row>
    <row r="926" spans="6:13" x14ac:dyDescent="0.3">
      <c r="K926" s="17" t="e">
        <v>#VALUE!</v>
      </c>
      <c r="L926" s="15" t="s">
        <v>134</v>
      </c>
    </row>
    <row r="927" spans="6:13" x14ac:dyDescent="0.3">
      <c r="K927" s="13"/>
      <c r="L927" s="16" t="e">
        <f>_xll.PTreeNodeValue(treeCalc_1!$F$2,463)</f>
        <v>#VALUE!</v>
      </c>
    </row>
    <row r="928" spans="6:13" x14ac:dyDescent="0.3">
      <c r="L928" s="17" t="e">
        <v>#VALUE!</v>
      </c>
      <c r="M928" s="19" t="e">
        <f>_xll.PTreeNodeProbability(treeCalc_1!$F$2,464)</f>
        <v>#VALUE!</v>
      </c>
    </row>
    <row r="929" spans="7:13" x14ac:dyDescent="0.3">
      <c r="L929" s="13"/>
      <c r="M929" s="18" t="e">
        <f>_xll.PTreeNodeValue(treeCalc_1!$F$2,464)</f>
        <v>#VALUE!</v>
      </c>
    </row>
    <row r="930" spans="7:13" x14ac:dyDescent="0.3">
      <c r="H930" s="17" t="e">
        <v>#VALUE!</v>
      </c>
      <c r="I930" s="15" t="s">
        <v>146</v>
      </c>
    </row>
    <row r="931" spans="7:13" x14ac:dyDescent="0.3">
      <c r="H931" s="13"/>
      <c r="I931" s="16" t="e">
        <f>_xll.PTreeNodeValue(treeCalc_1!$F$2,465)</f>
        <v>#VALUE!</v>
      </c>
    </row>
    <row r="932" spans="7:13" x14ac:dyDescent="0.3">
      <c r="I932" s="17" t="e">
        <v>#VALUE!</v>
      </c>
      <c r="J932" s="15" t="s">
        <v>133</v>
      </c>
    </row>
    <row r="933" spans="7:13" x14ac:dyDescent="0.3">
      <c r="I933" s="13"/>
      <c r="J933" s="16" t="e">
        <f>_xll.PTreeNodeValue(treeCalc_1!$F$2,466)</f>
        <v>#VALUE!</v>
      </c>
    </row>
    <row r="934" spans="7:13" x14ac:dyDescent="0.3">
      <c r="J934" s="17" t="e">
        <v>#VALUE!</v>
      </c>
      <c r="K934" s="15" t="s">
        <v>132</v>
      </c>
    </row>
    <row r="935" spans="7:13" x14ac:dyDescent="0.3">
      <c r="J935" s="13"/>
      <c r="K935" s="16" t="e">
        <f>_xll.PTreeNodeValue(treeCalc_1!$F$2,467)</f>
        <v>#VALUE!</v>
      </c>
    </row>
    <row r="936" spans="7:13" x14ac:dyDescent="0.3">
      <c r="K936" s="17" t="e">
        <v>#VALUE!</v>
      </c>
      <c r="L936" s="15" t="s">
        <v>134</v>
      </c>
    </row>
    <row r="937" spans="7:13" x14ac:dyDescent="0.3">
      <c r="K937" s="13"/>
      <c r="L937" s="16" t="e">
        <f>_xll.PTreeNodeValue(treeCalc_1!$F$2,468)</f>
        <v>#VALUE!</v>
      </c>
    </row>
    <row r="938" spans="7:13" x14ac:dyDescent="0.3">
      <c r="L938" s="17" t="e">
        <v>#VALUE!</v>
      </c>
      <c r="M938" s="19" t="e">
        <f>_xll.PTreeNodeProbability(treeCalc_1!$F$2,469)</f>
        <v>#VALUE!</v>
      </c>
    </row>
    <row r="939" spans="7:13" x14ac:dyDescent="0.3">
      <c r="L939" s="13"/>
      <c r="M939" s="18" t="e">
        <f>_xll.PTreeNodeValue(treeCalc_1!$F$2,469)</f>
        <v>#VALUE!</v>
      </c>
    </row>
    <row r="940" spans="7:13" x14ac:dyDescent="0.3">
      <c r="G940" s="17" t="e">
        <v>#VALUE!</v>
      </c>
      <c r="H940" s="15" t="s">
        <v>145</v>
      </c>
    </row>
    <row r="941" spans="7:13" x14ac:dyDescent="0.3">
      <c r="G941" s="13"/>
      <c r="H941" s="16" t="e">
        <f>_xll.PTreeNodeValue(treeCalc_1!$F$2,470)</f>
        <v>#VALUE!</v>
      </c>
    </row>
    <row r="942" spans="7:13" x14ac:dyDescent="0.3">
      <c r="I942" s="17" t="e">
        <v>#VALUE!</v>
      </c>
      <c r="J942" s="15" t="s">
        <v>133</v>
      </c>
    </row>
    <row r="943" spans="7:13" x14ac:dyDescent="0.3">
      <c r="I943" s="13"/>
      <c r="J943" s="16" t="e">
        <f>_xll.PTreeNodeValue(treeCalc_1!$F$2,471)</f>
        <v>#VALUE!</v>
      </c>
    </row>
    <row r="944" spans="7:13" x14ac:dyDescent="0.3">
      <c r="J944" s="17" t="e">
        <v>#VALUE!</v>
      </c>
      <c r="K944" s="15" t="s">
        <v>132</v>
      </c>
    </row>
    <row r="945" spans="3:13" x14ac:dyDescent="0.3">
      <c r="J945" s="13"/>
      <c r="K945" s="16" t="e">
        <f>_xll.PTreeNodeValue(treeCalc_1!$F$2,472)</f>
        <v>#VALUE!</v>
      </c>
    </row>
    <row r="946" spans="3:13" x14ac:dyDescent="0.3">
      <c r="K946" s="17" t="e">
        <v>#VALUE!</v>
      </c>
      <c r="L946" s="15" t="s">
        <v>134</v>
      </c>
    </row>
    <row r="947" spans="3:13" x14ac:dyDescent="0.3">
      <c r="K947" s="13"/>
      <c r="L947" s="16" t="e">
        <f>_xll.PTreeNodeValue(treeCalc_1!$F$2,473)</f>
        <v>#VALUE!</v>
      </c>
    </row>
    <row r="948" spans="3:13" x14ac:dyDescent="0.3">
      <c r="L948" s="17" t="e">
        <v>#VALUE!</v>
      </c>
      <c r="M948" s="19" t="e">
        <f>_xll.PTreeNodeProbability(treeCalc_1!$F$2,474)</f>
        <v>#VALUE!</v>
      </c>
    </row>
    <row r="949" spans="3:13" x14ac:dyDescent="0.3">
      <c r="L949" s="13"/>
      <c r="M949" s="18" t="e">
        <f>_xll.PTreeNodeValue(treeCalc_1!$F$2,474)</f>
        <v>#VALUE!</v>
      </c>
    </row>
    <row r="950" spans="3:13" x14ac:dyDescent="0.3">
      <c r="H950" s="17" t="e">
        <v>#VALUE!</v>
      </c>
      <c r="I950" s="15" t="s">
        <v>146</v>
      </c>
    </row>
    <row r="951" spans="3:13" x14ac:dyDescent="0.3">
      <c r="H951" s="13"/>
      <c r="I951" s="16" t="e">
        <f>_xll.PTreeNodeValue(treeCalc_1!$F$2,475)</f>
        <v>#VALUE!</v>
      </c>
    </row>
    <row r="952" spans="3:13" x14ac:dyDescent="0.3">
      <c r="I952" s="17" t="e">
        <v>#VALUE!</v>
      </c>
      <c r="J952" s="15" t="s">
        <v>133</v>
      </c>
    </row>
    <row r="953" spans="3:13" x14ac:dyDescent="0.3">
      <c r="I953" s="13"/>
      <c r="J953" s="16" t="e">
        <f>_xll.PTreeNodeValue(treeCalc_1!$F$2,476)</f>
        <v>#VALUE!</v>
      </c>
    </row>
    <row r="954" spans="3:13" x14ac:dyDescent="0.3">
      <c r="J954" s="17" t="e">
        <v>#VALUE!</v>
      </c>
      <c r="K954" s="15" t="s">
        <v>132</v>
      </c>
    </row>
    <row r="955" spans="3:13" x14ac:dyDescent="0.3">
      <c r="J955" s="13"/>
      <c r="K955" s="16" t="e">
        <f>_xll.PTreeNodeValue(treeCalc_1!$F$2,477)</f>
        <v>#VALUE!</v>
      </c>
    </row>
    <row r="956" spans="3:13" x14ac:dyDescent="0.3">
      <c r="K956" s="17" t="e">
        <v>#VALUE!</v>
      </c>
      <c r="L956" s="15" t="s">
        <v>134</v>
      </c>
    </row>
    <row r="957" spans="3:13" x14ac:dyDescent="0.3">
      <c r="K957" s="13"/>
      <c r="L957" s="16" t="e">
        <f>_xll.PTreeNodeValue(treeCalc_1!$F$2,478)</f>
        <v>#VALUE!</v>
      </c>
    </row>
    <row r="958" spans="3:13" x14ac:dyDescent="0.3">
      <c r="L958" s="17" t="e">
        <v>#VALUE!</v>
      </c>
      <c r="M958" s="19" t="e">
        <f>_xll.PTreeNodeProbability(treeCalc_1!$F$2,479)</f>
        <v>#VALUE!</v>
      </c>
    </row>
    <row r="959" spans="3:13" x14ac:dyDescent="0.3">
      <c r="L959" s="13"/>
      <c r="M959" s="18" t="e">
        <f>_xll.PTreeNodeValue(treeCalc_1!$F$2,479)</f>
        <v>#VALUE!</v>
      </c>
    </row>
    <row r="960" spans="3:13" x14ac:dyDescent="0.3">
      <c r="C960" s="14" t="e">
        <f>_xll.PTreeNodeDecision(treeCalc_1!$F$2,480)</f>
        <v>#VALUE!</v>
      </c>
      <c r="D960" s="11" t="s">
        <v>139</v>
      </c>
    </row>
    <row r="961" spans="3:13" x14ac:dyDescent="0.3">
      <c r="C961" s="13"/>
      <c r="D961" s="12" t="e">
        <f>_xll.PTreeNodeValue(treeCalc_1!$F$2,480)</f>
        <v>#VALUE!</v>
      </c>
    </row>
    <row r="962" spans="3:13" x14ac:dyDescent="0.3">
      <c r="I962" s="17" t="e">
        <v>#VALUE!</v>
      </c>
      <c r="J962" s="15" t="s">
        <v>133</v>
      </c>
    </row>
    <row r="963" spans="3:13" x14ac:dyDescent="0.3">
      <c r="I963" s="13"/>
      <c r="J963" s="16" t="e">
        <f>_xll.PTreeNodeValue(treeCalc_1!$F$2,481)</f>
        <v>#VALUE!</v>
      </c>
    </row>
    <row r="964" spans="3:13" x14ac:dyDescent="0.3">
      <c r="J964" s="17" t="e">
        <v>#VALUE!</v>
      </c>
      <c r="K964" s="15" t="s">
        <v>132</v>
      </c>
    </row>
    <row r="965" spans="3:13" x14ac:dyDescent="0.3">
      <c r="J965" s="13"/>
      <c r="K965" s="16" t="e">
        <f>_xll.PTreeNodeValue(treeCalc_1!$F$2,482)</f>
        <v>#VALUE!</v>
      </c>
    </row>
    <row r="966" spans="3:13" x14ac:dyDescent="0.3">
      <c r="K966" s="17" t="e">
        <v>#VALUE!</v>
      </c>
      <c r="L966" s="15" t="s">
        <v>134</v>
      </c>
    </row>
    <row r="967" spans="3:13" x14ac:dyDescent="0.3">
      <c r="K967" s="13"/>
      <c r="L967" s="16" t="e">
        <f>_xll.PTreeNodeValue(treeCalc_1!$F$2,483)</f>
        <v>#VALUE!</v>
      </c>
    </row>
    <row r="968" spans="3:13" x14ac:dyDescent="0.3">
      <c r="L968" s="17" t="e">
        <v>#VALUE!</v>
      </c>
      <c r="M968" s="19" t="e">
        <f>_xll.PTreeNodeProbability(treeCalc_1!$F$2,484)</f>
        <v>#VALUE!</v>
      </c>
    </row>
    <row r="969" spans="3:13" x14ac:dyDescent="0.3">
      <c r="L969" s="13"/>
      <c r="M969" s="18" t="e">
        <f>_xll.PTreeNodeValue(treeCalc_1!$F$2,484)</f>
        <v>#VALUE!</v>
      </c>
    </row>
    <row r="970" spans="3:13" x14ac:dyDescent="0.3">
      <c r="H970" s="17" t="e">
        <v>#VALUE!</v>
      </c>
      <c r="I970" s="15" t="s">
        <v>146</v>
      </c>
    </row>
    <row r="971" spans="3:13" x14ac:dyDescent="0.3">
      <c r="H971" s="13"/>
      <c r="I971" s="16" t="e">
        <f>_xll.PTreeNodeValue(treeCalc_1!$F$2,485)</f>
        <v>#VALUE!</v>
      </c>
    </row>
    <row r="972" spans="3:13" x14ac:dyDescent="0.3">
      <c r="I972" s="17" t="e">
        <v>#VALUE!</v>
      </c>
      <c r="J972" s="15" t="s">
        <v>133</v>
      </c>
    </row>
    <row r="973" spans="3:13" x14ac:dyDescent="0.3">
      <c r="I973" s="13"/>
      <c r="J973" s="16" t="e">
        <f>_xll.PTreeNodeValue(treeCalc_1!$F$2,486)</f>
        <v>#VALUE!</v>
      </c>
    </row>
    <row r="974" spans="3:13" x14ac:dyDescent="0.3">
      <c r="J974" s="17" t="e">
        <v>#VALUE!</v>
      </c>
      <c r="K974" s="15" t="s">
        <v>132</v>
      </c>
    </row>
    <row r="975" spans="3:13" x14ac:dyDescent="0.3">
      <c r="J975" s="13"/>
      <c r="K975" s="16" t="e">
        <f>_xll.PTreeNodeValue(treeCalc_1!$F$2,487)</f>
        <v>#VALUE!</v>
      </c>
    </row>
    <row r="976" spans="3:13" x14ac:dyDescent="0.3">
      <c r="K976" s="17" t="e">
        <v>#VALUE!</v>
      </c>
      <c r="L976" s="15" t="s">
        <v>134</v>
      </c>
    </row>
    <row r="977" spans="7:13" x14ac:dyDescent="0.3">
      <c r="K977" s="13"/>
      <c r="L977" s="16" t="e">
        <f>_xll.PTreeNodeValue(treeCalc_1!$F$2,488)</f>
        <v>#VALUE!</v>
      </c>
    </row>
    <row r="978" spans="7:13" x14ac:dyDescent="0.3">
      <c r="L978" s="17" t="e">
        <v>#VALUE!</v>
      </c>
      <c r="M978" s="19" t="e">
        <f>_xll.PTreeNodeProbability(treeCalc_1!$F$2,489)</f>
        <v>#VALUE!</v>
      </c>
    </row>
    <row r="979" spans="7:13" x14ac:dyDescent="0.3">
      <c r="L979" s="13"/>
      <c r="M979" s="18" t="e">
        <f>_xll.PTreeNodeValue(treeCalc_1!$F$2,489)</f>
        <v>#VALUE!</v>
      </c>
    </row>
    <row r="980" spans="7:13" x14ac:dyDescent="0.3">
      <c r="G980" s="17" t="e">
        <v>#VALUE!</v>
      </c>
      <c r="H980" s="15" t="s">
        <v>145</v>
      </c>
    </row>
    <row r="981" spans="7:13" x14ac:dyDescent="0.3">
      <c r="G981" s="13"/>
      <c r="H981" s="16" t="e">
        <f>_xll.PTreeNodeValue(treeCalc_1!$F$2,490)</f>
        <v>#VALUE!</v>
      </c>
    </row>
    <row r="982" spans="7:13" x14ac:dyDescent="0.3">
      <c r="I982" s="17" t="e">
        <v>#VALUE!</v>
      </c>
      <c r="J982" s="15" t="s">
        <v>133</v>
      </c>
    </row>
    <row r="983" spans="7:13" x14ac:dyDescent="0.3">
      <c r="I983" s="13"/>
      <c r="J983" s="16" t="e">
        <f>_xll.PTreeNodeValue(treeCalc_1!$F$2,491)</f>
        <v>#VALUE!</v>
      </c>
    </row>
    <row r="984" spans="7:13" x14ac:dyDescent="0.3">
      <c r="J984" s="17" t="e">
        <v>#VALUE!</v>
      </c>
      <c r="K984" s="15" t="s">
        <v>132</v>
      </c>
    </row>
    <row r="985" spans="7:13" x14ac:dyDescent="0.3">
      <c r="J985" s="13"/>
      <c r="K985" s="16" t="e">
        <f>_xll.PTreeNodeValue(treeCalc_1!$F$2,492)</f>
        <v>#VALUE!</v>
      </c>
    </row>
    <row r="986" spans="7:13" x14ac:dyDescent="0.3">
      <c r="K986" s="17" t="e">
        <v>#VALUE!</v>
      </c>
      <c r="L986" s="15" t="s">
        <v>134</v>
      </c>
    </row>
    <row r="987" spans="7:13" x14ac:dyDescent="0.3">
      <c r="K987" s="13"/>
      <c r="L987" s="16" t="e">
        <f>_xll.PTreeNodeValue(treeCalc_1!$F$2,493)</f>
        <v>#VALUE!</v>
      </c>
    </row>
    <row r="988" spans="7:13" x14ac:dyDescent="0.3">
      <c r="L988" s="17" t="e">
        <v>#VALUE!</v>
      </c>
      <c r="M988" s="19" t="e">
        <f>_xll.PTreeNodeProbability(treeCalc_1!$F$2,494)</f>
        <v>#VALUE!</v>
      </c>
    </row>
    <row r="989" spans="7:13" x14ac:dyDescent="0.3">
      <c r="L989" s="13"/>
      <c r="M989" s="18" t="e">
        <f>_xll.PTreeNodeValue(treeCalc_1!$F$2,494)</f>
        <v>#VALUE!</v>
      </c>
    </row>
    <row r="990" spans="7:13" x14ac:dyDescent="0.3">
      <c r="H990" s="17" t="e">
        <v>#VALUE!</v>
      </c>
      <c r="I990" s="15" t="s">
        <v>146</v>
      </c>
    </row>
    <row r="991" spans="7:13" x14ac:dyDescent="0.3">
      <c r="H991" s="13"/>
      <c r="I991" s="16" t="e">
        <f>_xll.PTreeNodeValue(treeCalc_1!$F$2,495)</f>
        <v>#VALUE!</v>
      </c>
    </row>
    <row r="992" spans="7:13" x14ac:dyDescent="0.3">
      <c r="I992" s="17" t="e">
        <v>#VALUE!</v>
      </c>
      <c r="J992" s="15" t="s">
        <v>133</v>
      </c>
    </row>
    <row r="993" spans="6:13" x14ac:dyDescent="0.3">
      <c r="I993" s="13"/>
      <c r="J993" s="16" t="e">
        <f>_xll.PTreeNodeValue(treeCalc_1!$F$2,496)</f>
        <v>#VALUE!</v>
      </c>
    </row>
    <row r="994" spans="6:13" x14ac:dyDescent="0.3">
      <c r="J994" s="17" t="e">
        <v>#VALUE!</v>
      </c>
      <c r="K994" s="15" t="s">
        <v>132</v>
      </c>
    </row>
    <row r="995" spans="6:13" x14ac:dyDescent="0.3">
      <c r="J995" s="13"/>
      <c r="K995" s="16" t="e">
        <f>_xll.PTreeNodeValue(treeCalc_1!$F$2,497)</f>
        <v>#VALUE!</v>
      </c>
    </row>
    <row r="996" spans="6:13" x14ac:dyDescent="0.3">
      <c r="K996" s="17" t="e">
        <v>#VALUE!</v>
      </c>
      <c r="L996" s="15" t="s">
        <v>134</v>
      </c>
    </row>
    <row r="997" spans="6:13" x14ac:dyDescent="0.3">
      <c r="K997" s="13"/>
      <c r="L997" s="16" t="e">
        <f>_xll.PTreeNodeValue(treeCalc_1!$F$2,498)</f>
        <v>#VALUE!</v>
      </c>
    </row>
    <row r="998" spans="6:13" x14ac:dyDescent="0.3">
      <c r="L998" s="17" t="e">
        <v>#VALUE!</v>
      </c>
      <c r="M998" s="19" t="e">
        <f>_xll.PTreeNodeProbability(treeCalc_1!$F$2,499)</f>
        <v>#VALUE!</v>
      </c>
    </row>
    <row r="999" spans="6:13" x14ac:dyDescent="0.3">
      <c r="L999" s="13"/>
      <c r="M999" s="18" t="e">
        <f>_xll.PTreeNodeValue(treeCalc_1!$F$2,499)</f>
        <v>#VALUE!</v>
      </c>
    </row>
    <row r="1000" spans="6:13" x14ac:dyDescent="0.3">
      <c r="F1000" s="17" t="e">
        <v>#VALUE!</v>
      </c>
      <c r="G1000" s="15" t="s">
        <v>144</v>
      </c>
    </row>
    <row r="1001" spans="6:13" x14ac:dyDescent="0.3">
      <c r="F1001" s="13"/>
      <c r="G1001" s="16" t="e">
        <f>_xll.PTreeNodeValue(treeCalc_1!$F$2,500)</f>
        <v>#VALUE!</v>
      </c>
    </row>
    <row r="1002" spans="6:13" x14ac:dyDescent="0.3">
      <c r="I1002" s="17" t="e">
        <v>#VALUE!</v>
      </c>
      <c r="J1002" s="15" t="s">
        <v>133</v>
      </c>
    </row>
    <row r="1003" spans="6:13" x14ac:dyDescent="0.3">
      <c r="I1003" s="13"/>
      <c r="J1003" s="16" t="e">
        <f>_xll.PTreeNodeValue(treeCalc_1!$F$2,501)</f>
        <v>#VALUE!</v>
      </c>
    </row>
    <row r="1004" spans="6:13" x14ac:dyDescent="0.3">
      <c r="J1004" s="17" t="e">
        <v>#VALUE!</v>
      </c>
      <c r="K1004" s="15" t="s">
        <v>132</v>
      </c>
    </row>
    <row r="1005" spans="6:13" x14ac:dyDescent="0.3">
      <c r="J1005" s="13"/>
      <c r="K1005" s="16" t="e">
        <f>_xll.PTreeNodeValue(treeCalc_1!$F$2,502)</f>
        <v>#VALUE!</v>
      </c>
    </row>
    <row r="1006" spans="6:13" x14ac:dyDescent="0.3">
      <c r="K1006" s="17" t="e">
        <v>#VALUE!</v>
      </c>
      <c r="L1006" s="15" t="s">
        <v>134</v>
      </c>
    </row>
    <row r="1007" spans="6:13" x14ac:dyDescent="0.3">
      <c r="K1007" s="13"/>
      <c r="L1007" s="16" t="e">
        <f>_xll.PTreeNodeValue(treeCalc_1!$F$2,503)</f>
        <v>#VALUE!</v>
      </c>
    </row>
    <row r="1008" spans="6:13" x14ac:dyDescent="0.3">
      <c r="L1008" s="17" t="e">
        <v>#VALUE!</v>
      </c>
      <c r="M1008" s="19" t="e">
        <f>_xll.PTreeNodeProbability(treeCalc_1!$F$2,504)</f>
        <v>#VALUE!</v>
      </c>
    </row>
    <row r="1009" spans="7:13" x14ac:dyDescent="0.3">
      <c r="L1009" s="13"/>
      <c r="M1009" s="18" t="e">
        <f>_xll.PTreeNodeValue(treeCalc_1!$F$2,504)</f>
        <v>#VALUE!</v>
      </c>
    </row>
    <row r="1010" spans="7:13" x14ac:dyDescent="0.3">
      <c r="H1010" s="17" t="e">
        <v>#VALUE!</v>
      </c>
      <c r="I1010" s="15" t="s">
        <v>146</v>
      </c>
    </row>
    <row r="1011" spans="7:13" x14ac:dyDescent="0.3">
      <c r="H1011" s="13"/>
      <c r="I1011" s="16" t="e">
        <f>_xll.PTreeNodeValue(treeCalc_1!$F$2,505)</f>
        <v>#VALUE!</v>
      </c>
    </row>
    <row r="1012" spans="7:13" x14ac:dyDescent="0.3">
      <c r="I1012" s="17" t="e">
        <v>#VALUE!</v>
      </c>
      <c r="J1012" s="15" t="s">
        <v>133</v>
      </c>
    </row>
    <row r="1013" spans="7:13" x14ac:dyDescent="0.3">
      <c r="I1013" s="13"/>
      <c r="J1013" s="16" t="e">
        <f>_xll.PTreeNodeValue(treeCalc_1!$F$2,506)</f>
        <v>#VALUE!</v>
      </c>
    </row>
    <row r="1014" spans="7:13" x14ac:dyDescent="0.3">
      <c r="J1014" s="17" t="e">
        <v>#VALUE!</v>
      </c>
      <c r="K1014" s="15" t="s">
        <v>132</v>
      </c>
    </row>
    <row r="1015" spans="7:13" x14ac:dyDescent="0.3">
      <c r="J1015" s="13"/>
      <c r="K1015" s="16" t="e">
        <f>_xll.PTreeNodeValue(treeCalc_1!$F$2,507)</f>
        <v>#VALUE!</v>
      </c>
    </row>
    <row r="1016" spans="7:13" x14ac:dyDescent="0.3">
      <c r="K1016" s="17" t="e">
        <v>#VALUE!</v>
      </c>
      <c r="L1016" s="15" t="s">
        <v>134</v>
      </c>
    </row>
    <row r="1017" spans="7:13" x14ac:dyDescent="0.3">
      <c r="K1017" s="13"/>
      <c r="L1017" s="16" t="e">
        <f>_xll.PTreeNodeValue(treeCalc_1!$F$2,508)</f>
        <v>#VALUE!</v>
      </c>
    </row>
    <row r="1018" spans="7:13" x14ac:dyDescent="0.3">
      <c r="L1018" s="17" t="e">
        <v>#VALUE!</v>
      </c>
      <c r="M1018" s="19" t="e">
        <f>_xll.PTreeNodeProbability(treeCalc_1!$F$2,509)</f>
        <v>#VALUE!</v>
      </c>
    </row>
    <row r="1019" spans="7:13" x14ac:dyDescent="0.3">
      <c r="L1019" s="13"/>
      <c r="M1019" s="18" t="e">
        <f>_xll.PTreeNodeValue(treeCalc_1!$F$2,509)</f>
        <v>#VALUE!</v>
      </c>
    </row>
    <row r="1020" spans="7:13" x14ac:dyDescent="0.3">
      <c r="G1020" s="17" t="e">
        <v>#VALUE!</v>
      </c>
      <c r="H1020" s="15" t="s">
        <v>145</v>
      </c>
    </row>
    <row r="1021" spans="7:13" x14ac:dyDescent="0.3">
      <c r="G1021" s="13"/>
      <c r="H1021" s="16" t="e">
        <f>_xll.PTreeNodeValue(treeCalc_1!$F$2,510)</f>
        <v>#VALUE!</v>
      </c>
    </row>
    <row r="1022" spans="7:13" x14ac:dyDescent="0.3">
      <c r="I1022" s="17" t="e">
        <v>#VALUE!</v>
      </c>
      <c r="J1022" s="15" t="s">
        <v>133</v>
      </c>
    </row>
    <row r="1023" spans="7:13" x14ac:dyDescent="0.3">
      <c r="I1023" s="13"/>
      <c r="J1023" s="16" t="e">
        <f>_xll.PTreeNodeValue(treeCalc_1!$F$2,511)</f>
        <v>#VALUE!</v>
      </c>
    </row>
    <row r="1024" spans="7:13" x14ac:dyDescent="0.3">
      <c r="J1024" s="17" t="e">
        <v>#VALUE!</v>
      </c>
      <c r="K1024" s="15" t="s">
        <v>132</v>
      </c>
    </row>
    <row r="1025" spans="5:13" x14ac:dyDescent="0.3">
      <c r="J1025" s="13"/>
      <c r="K1025" s="16" t="e">
        <f>_xll.PTreeNodeValue(treeCalc_1!$F$2,512)</f>
        <v>#VALUE!</v>
      </c>
    </row>
    <row r="1026" spans="5:13" x14ac:dyDescent="0.3">
      <c r="K1026" s="17" t="e">
        <v>#VALUE!</v>
      </c>
      <c r="L1026" s="15" t="s">
        <v>134</v>
      </c>
    </row>
    <row r="1027" spans="5:13" x14ac:dyDescent="0.3">
      <c r="K1027" s="13"/>
      <c r="L1027" s="16" t="e">
        <f>_xll.PTreeNodeValue(treeCalc_1!$F$2,513)</f>
        <v>#VALUE!</v>
      </c>
    </row>
    <row r="1028" spans="5:13" x14ac:dyDescent="0.3">
      <c r="L1028" s="17" t="e">
        <v>#VALUE!</v>
      </c>
      <c r="M1028" s="19" t="e">
        <f>_xll.PTreeNodeProbability(treeCalc_1!$F$2,514)</f>
        <v>#VALUE!</v>
      </c>
    </row>
    <row r="1029" spans="5:13" x14ac:dyDescent="0.3">
      <c r="L1029" s="13"/>
      <c r="M1029" s="18" t="e">
        <f>_xll.PTreeNodeValue(treeCalc_1!$F$2,514)</f>
        <v>#VALUE!</v>
      </c>
    </row>
    <row r="1030" spans="5:13" x14ac:dyDescent="0.3">
      <c r="H1030" s="17" t="e">
        <v>#VALUE!</v>
      </c>
      <c r="I1030" s="15" t="s">
        <v>146</v>
      </c>
    </row>
    <row r="1031" spans="5:13" x14ac:dyDescent="0.3">
      <c r="H1031" s="13"/>
      <c r="I1031" s="16" t="e">
        <f>_xll.PTreeNodeValue(treeCalc_1!$F$2,515)</f>
        <v>#VALUE!</v>
      </c>
    </row>
    <row r="1032" spans="5:13" x14ac:dyDescent="0.3">
      <c r="I1032" s="17" t="e">
        <v>#VALUE!</v>
      </c>
      <c r="J1032" s="15" t="s">
        <v>133</v>
      </c>
    </row>
    <row r="1033" spans="5:13" x14ac:dyDescent="0.3">
      <c r="I1033" s="13"/>
      <c r="J1033" s="16" t="e">
        <f>_xll.PTreeNodeValue(treeCalc_1!$F$2,516)</f>
        <v>#VALUE!</v>
      </c>
    </row>
    <row r="1034" spans="5:13" x14ac:dyDescent="0.3">
      <c r="J1034" s="17" t="e">
        <v>#VALUE!</v>
      </c>
      <c r="K1034" s="15" t="s">
        <v>132</v>
      </c>
    </row>
    <row r="1035" spans="5:13" x14ac:dyDescent="0.3">
      <c r="J1035" s="13"/>
      <c r="K1035" s="16" t="e">
        <f>_xll.PTreeNodeValue(treeCalc_1!$F$2,517)</f>
        <v>#VALUE!</v>
      </c>
    </row>
    <row r="1036" spans="5:13" x14ac:dyDescent="0.3">
      <c r="K1036" s="17" t="e">
        <v>#VALUE!</v>
      </c>
      <c r="L1036" s="15" t="s">
        <v>134</v>
      </c>
    </row>
    <row r="1037" spans="5:13" x14ac:dyDescent="0.3">
      <c r="K1037" s="13"/>
      <c r="L1037" s="16" t="e">
        <f>_xll.PTreeNodeValue(treeCalc_1!$F$2,518)</f>
        <v>#VALUE!</v>
      </c>
    </row>
    <row r="1038" spans="5:13" x14ac:dyDescent="0.3">
      <c r="L1038" s="17" t="e">
        <v>#VALUE!</v>
      </c>
      <c r="M1038" s="19" t="e">
        <f>_xll.PTreeNodeProbability(treeCalc_1!$F$2,519)</f>
        <v>#VALUE!</v>
      </c>
    </row>
    <row r="1039" spans="5:13" x14ac:dyDescent="0.3">
      <c r="L1039" s="13"/>
      <c r="M1039" s="18" t="e">
        <f>_xll.PTreeNodeValue(treeCalc_1!$F$2,519)</f>
        <v>#VALUE!</v>
      </c>
    </row>
    <row r="1040" spans="5:13" x14ac:dyDescent="0.3">
      <c r="E1040" s="17" t="e">
        <v>#VALUE!</v>
      </c>
      <c r="F1040" s="15" t="s">
        <v>141</v>
      </c>
    </row>
    <row r="1041" spans="5:13" x14ac:dyDescent="0.3">
      <c r="E1041" s="13"/>
      <c r="F1041" s="16" t="e">
        <f>_xll.PTreeNodeValue(treeCalc_1!$F$2,520)</f>
        <v>#VALUE!</v>
      </c>
    </row>
    <row r="1042" spans="5:13" x14ac:dyDescent="0.3">
      <c r="I1042" s="17" t="e">
        <v>#VALUE!</v>
      </c>
      <c r="J1042" s="15" t="s">
        <v>133</v>
      </c>
    </row>
    <row r="1043" spans="5:13" x14ac:dyDescent="0.3">
      <c r="I1043" s="13"/>
      <c r="J1043" s="16" t="e">
        <f>_xll.PTreeNodeValue(treeCalc_1!$F$2,521)</f>
        <v>#VALUE!</v>
      </c>
    </row>
    <row r="1044" spans="5:13" x14ac:dyDescent="0.3">
      <c r="J1044" s="17" t="e">
        <v>#VALUE!</v>
      </c>
      <c r="K1044" s="15" t="s">
        <v>132</v>
      </c>
    </row>
    <row r="1045" spans="5:13" x14ac:dyDescent="0.3">
      <c r="J1045" s="13"/>
      <c r="K1045" s="16" t="e">
        <f>_xll.PTreeNodeValue(treeCalc_1!$F$2,522)</f>
        <v>#VALUE!</v>
      </c>
    </row>
    <row r="1046" spans="5:13" x14ac:dyDescent="0.3">
      <c r="K1046" s="17" t="e">
        <v>#VALUE!</v>
      </c>
      <c r="L1046" s="15" t="s">
        <v>134</v>
      </c>
    </row>
    <row r="1047" spans="5:13" x14ac:dyDescent="0.3">
      <c r="K1047" s="13"/>
      <c r="L1047" s="16" t="e">
        <f>_xll.PTreeNodeValue(treeCalc_1!$F$2,523)</f>
        <v>#VALUE!</v>
      </c>
    </row>
    <row r="1048" spans="5:13" x14ac:dyDescent="0.3">
      <c r="L1048" s="17" t="e">
        <v>#VALUE!</v>
      </c>
      <c r="M1048" s="19" t="e">
        <f>_xll.PTreeNodeProbability(treeCalc_1!$F$2,524)</f>
        <v>#VALUE!</v>
      </c>
    </row>
    <row r="1049" spans="5:13" x14ac:dyDescent="0.3">
      <c r="L1049" s="13"/>
      <c r="M1049" s="18" t="e">
        <f>_xll.PTreeNodeValue(treeCalc_1!$F$2,524)</f>
        <v>#VALUE!</v>
      </c>
    </row>
    <row r="1050" spans="5:13" x14ac:dyDescent="0.3">
      <c r="H1050" s="17" t="e">
        <v>#VALUE!</v>
      </c>
      <c r="I1050" s="15" t="s">
        <v>146</v>
      </c>
    </row>
    <row r="1051" spans="5:13" x14ac:dyDescent="0.3">
      <c r="H1051" s="13"/>
      <c r="I1051" s="16" t="e">
        <f>_xll.PTreeNodeValue(treeCalc_1!$F$2,525)</f>
        <v>#VALUE!</v>
      </c>
    </row>
    <row r="1052" spans="5:13" x14ac:dyDescent="0.3">
      <c r="I1052" s="17" t="e">
        <v>#VALUE!</v>
      </c>
      <c r="J1052" s="15" t="s">
        <v>133</v>
      </c>
    </row>
    <row r="1053" spans="5:13" x14ac:dyDescent="0.3">
      <c r="I1053" s="13"/>
      <c r="J1053" s="16" t="e">
        <f>_xll.PTreeNodeValue(treeCalc_1!$F$2,526)</f>
        <v>#VALUE!</v>
      </c>
    </row>
    <row r="1054" spans="5:13" x14ac:dyDescent="0.3">
      <c r="J1054" s="17" t="e">
        <v>#VALUE!</v>
      </c>
      <c r="K1054" s="15" t="s">
        <v>132</v>
      </c>
    </row>
    <row r="1055" spans="5:13" x14ac:dyDescent="0.3">
      <c r="J1055" s="13"/>
      <c r="K1055" s="16" t="e">
        <f>_xll.PTreeNodeValue(treeCalc_1!$F$2,527)</f>
        <v>#VALUE!</v>
      </c>
    </row>
    <row r="1056" spans="5:13" x14ac:dyDescent="0.3">
      <c r="K1056" s="17" t="e">
        <v>#VALUE!</v>
      </c>
      <c r="L1056" s="15" t="s">
        <v>134</v>
      </c>
    </row>
    <row r="1057" spans="7:13" x14ac:dyDescent="0.3">
      <c r="K1057" s="13"/>
      <c r="L1057" s="16" t="e">
        <f>_xll.PTreeNodeValue(treeCalc_1!$F$2,528)</f>
        <v>#VALUE!</v>
      </c>
    </row>
    <row r="1058" spans="7:13" x14ac:dyDescent="0.3">
      <c r="L1058" s="17" t="e">
        <v>#VALUE!</v>
      </c>
      <c r="M1058" s="19" t="e">
        <f>_xll.PTreeNodeProbability(treeCalc_1!$F$2,529)</f>
        <v>#VALUE!</v>
      </c>
    </row>
    <row r="1059" spans="7:13" x14ac:dyDescent="0.3">
      <c r="L1059" s="13"/>
      <c r="M1059" s="18" t="e">
        <f>_xll.PTreeNodeValue(treeCalc_1!$F$2,529)</f>
        <v>#VALUE!</v>
      </c>
    </row>
    <row r="1060" spans="7:13" x14ac:dyDescent="0.3">
      <c r="G1060" s="17" t="e">
        <v>#VALUE!</v>
      </c>
      <c r="H1060" s="15" t="s">
        <v>145</v>
      </c>
    </row>
    <row r="1061" spans="7:13" x14ac:dyDescent="0.3">
      <c r="G1061" s="13"/>
      <c r="H1061" s="16" t="e">
        <f>_xll.PTreeNodeValue(treeCalc_1!$F$2,530)</f>
        <v>#VALUE!</v>
      </c>
    </row>
    <row r="1062" spans="7:13" x14ac:dyDescent="0.3">
      <c r="I1062" s="17" t="e">
        <v>#VALUE!</v>
      </c>
      <c r="J1062" s="15" t="s">
        <v>133</v>
      </c>
    </row>
    <row r="1063" spans="7:13" x14ac:dyDescent="0.3">
      <c r="I1063" s="13"/>
      <c r="J1063" s="16" t="e">
        <f>_xll.PTreeNodeValue(treeCalc_1!$F$2,531)</f>
        <v>#VALUE!</v>
      </c>
    </row>
    <row r="1064" spans="7:13" x14ac:dyDescent="0.3">
      <c r="J1064" s="17" t="e">
        <v>#VALUE!</v>
      </c>
      <c r="K1064" s="15" t="s">
        <v>132</v>
      </c>
    </row>
    <row r="1065" spans="7:13" x14ac:dyDescent="0.3">
      <c r="J1065" s="13"/>
      <c r="K1065" s="16" t="e">
        <f>_xll.PTreeNodeValue(treeCalc_1!$F$2,532)</f>
        <v>#VALUE!</v>
      </c>
    </row>
    <row r="1066" spans="7:13" x14ac:dyDescent="0.3">
      <c r="K1066" s="17" t="e">
        <v>#VALUE!</v>
      </c>
      <c r="L1066" s="15" t="s">
        <v>134</v>
      </c>
    </row>
    <row r="1067" spans="7:13" x14ac:dyDescent="0.3">
      <c r="K1067" s="13"/>
      <c r="L1067" s="16" t="e">
        <f>_xll.PTreeNodeValue(treeCalc_1!$F$2,533)</f>
        <v>#VALUE!</v>
      </c>
    </row>
    <row r="1068" spans="7:13" x14ac:dyDescent="0.3">
      <c r="L1068" s="17" t="e">
        <v>#VALUE!</v>
      </c>
      <c r="M1068" s="19" t="e">
        <f>_xll.PTreeNodeProbability(treeCalc_1!$F$2,534)</f>
        <v>#VALUE!</v>
      </c>
    </row>
    <row r="1069" spans="7:13" x14ac:dyDescent="0.3">
      <c r="L1069" s="13"/>
      <c r="M1069" s="18" t="e">
        <f>_xll.PTreeNodeValue(treeCalc_1!$F$2,534)</f>
        <v>#VALUE!</v>
      </c>
    </row>
    <row r="1070" spans="7:13" x14ac:dyDescent="0.3">
      <c r="H1070" s="17" t="e">
        <v>#VALUE!</v>
      </c>
      <c r="I1070" s="15" t="s">
        <v>146</v>
      </c>
    </row>
    <row r="1071" spans="7:13" x14ac:dyDescent="0.3">
      <c r="H1071" s="13"/>
      <c r="I1071" s="16" t="e">
        <f>_xll.PTreeNodeValue(treeCalc_1!$F$2,535)</f>
        <v>#VALUE!</v>
      </c>
    </row>
    <row r="1072" spans="7:13" x14ac:dyDescent="0.3">
      <c r="I1072" s="17" t="e">
        <v>#VALUE!</v>
      </c>
      <c r="J1072" s="15" t="s">
        <v>133</v>
      </c>
    </row>
    <row r="1073" spans="6:13" x14ac:dyDescent="0.3">
      <c r="I1073" s="13"/>
      <c r="J1073" s="16" t="e">
        <f>_xll.PTreeNodeValue(treeCalc_1!$F$2,536)</f>
        <v>#VALUE!</v>
      </c>
    </row>
    <row r="1074" spans="6:13" x14ac:dyDescent="0.3">
      <c r="J1074" s="17" t="e">
        <v>#VALUE!</v>
      </c>
      <c r="K1074" s="15" t="s">
        <v>132</v>
      </c>
    </row>
    <row r="1075" spans="6:13" x14ac:dyDescent="0.3">
      <c r="J1075" s="13"/>
      <c r="K1075" s="16" t="e">
        <f>_xll.PTreeNodeValue(treeCalc_1!$F$2,537)</f>
        <v>#VALUE!</v>
      </c>
    </row>
    <row r="1076" spans="6:13" x14ac:dyDescent="0.3">
      <c r="K1076" s="17" t="e">
        <v>#VALUE!</v>
      </c>
      <c r="L1076" s="15" t="s">
        <v>134</v>
      </c>
    </row>
    <row r="1077" spans="6:13" x14ac:dyDescent="0.3">
      <c r="K1077" s="13"/>
      <c r="L1077" s="16" t="e">
        <f>_xll.PTreeNodeValue(treeCalc_1!$F$2,538)</f>
        <v>#VALUE!</v>
      </c>
    </row>
    <row r="1078" spans="6:13" x14ac:dyDescent="0.3">
      <c r="L1078" s="17" t="e">
        <v>#VALUE!</v>
      </c>
      <c r="M1078" s="19" t="e">
        <f>_xll.PTreeNodeProbability(treeCalc_1!$F$2,539)</f>
        <v>#VALUE!</v>
      </c>
    </row>
    <row r="1079" spans="6:13" x14ac:dyDescent="0.3">
      <c r="L1079" s="13"/>
      <c r="M1079" s="18" t="e">
        <f>_xll.PTreeNodeValue(treeCalc_1!$F$2,539)</f>
        <v>#VALUE!</v>
      </c>
    </row>
    <row r="1080" spans="6:13" x14ac:dyDescent="0.3">
      <c r="F1080" s="17" t="e">
        <v>#VALUE!</v>
      </c>
      <c r="G1080" s="15" t="s">
        <v>144</v>
      </c>
    </row>
    <row r="1081" spans="6:13" x14ac:dyDescent="0.3">
      <c r="F1081" s="13"/>
      <c r="G1081" s="16" t="e">
        <f>_xll.PTreeNodeValue(treeCalc_1!$F$2,540)</f>
        <v>#VALUE!</v>
      </c>
    </row>
    <row r="1082" spans="6:13" x14ac:dyDescent="0.3">
      <c r="I1082" s="17" t="e">
        <v>#VALUE!</v>
      </c>
      <c r="J1082" s="15" t="s">
        <v>133</v>
      </c>
    </row>
    <row r="1083" spans="6:13" x14ac:dyDescent="0.3">
      <c r="I1083" s="13"/>
      <c r="J1083" s="16" t="e">
        <f>_xll.PTreeNodeValue(treeCalc_1!$F$2,541)</f>
        <v>#VALUE!</v>
      </c>
    </row>
    <row r="1084" spans="6:13" x14ac:dyDescent="0.3">
      <c r="J1084" s="17" t="e">
        <v>#VALUE!</v>
      </c>
      <c r="K1084" s="15" t="s">
        <v>132</v>
      </c>
    </row>
    <row r="1085" spans="6:13" x14ac:dyDescent="0.3">
      <c r="J1085" s="13"/>
      <c r="K1085" s="16" t="e">
        <f>_xll.PTreeNodeValue(treeCalc_1!$F$2,542)</f>
        <v>#VALUE!</v>
      </c>
    </row>
    <row r="1086" spans="6:13" x14ac:dyDescent="0.3">
      <c r="K1086" s="17" t="e">
        <v>#VALUE!</v>
      </c>
      <c r="L1086" s="15" t="s">
        <v>134</v>
      </c>
    </row>
    <row r="1087" spans="6:13" x14ac:dyDescent="0.3">
      <c r="K1087" s="13"/>
      <c r="L1087" s="16" t="e">
        <f>_xll.PTreeNodeValue(treeCalc_1!$F$2,543)</f>
        <v>#VALUE!</v>
      </c>
    </row>
    <row r="1088" spans="6:13" x14ac:dyDescent="0.3">
      <c r="L1088" s="17" t="e">
        <v>#VALUE!</v>
      </c>
      <c r="M1088" s="19" t="e">
        <f>_xll.PTreeNodeProbability(treeCalc_1!$F$2,544)</f>
        <v>#VALUE!</v>
      </c>
    </row>
    <row r="1089" spans="7:13" x14ac:dyDescent="0.3">
      <c r="L1089" s="13"/>
      <c r="M1089" s="18" t="e">
        <f>_xll.PTreeNodeValue(treeCalc_1!$F$2,544)</f>
        <v>#VALUE!</v>
      </c>
    </row>
    <row r="1090" spans="7:13" x14ac:dyDescent="0.3">
      <c r="H1090" s="17" t="e">
        <v>#VALUE!</v>
      </c>
      <c r="I1090" s="15" t="s">
        <v>146</v>
      </c>
    </row>
    <row r="1091" spans="7:13" x14ac:dyDescent="0.3">
      <c r="H1091" s="13"/>
      <c r="I1091" s="16" t="e">
        <f>_xll.PTreeNodeValue(treeCalc_1!$F$2,545)</f>
        <v>#VALUE!</v>
      </c>
    </row>
    <row r="1092" spans="7:13" x14ac:dyDescent="0.3">
      <c r="I1092" s="17" t="e">
        <v>#VALUE!</v>
      </c>
      <c r="J1092" s="15" t="s">
        <v>133</v>
      </c>
    </row>
    <row r="1093" spans="7:13" x14ac:dyDescent="0.3">
      <c r="I1093" s="13"/>
      <c r="J1093" s="16" t="e">
        <f>_xll.PTreeNodeValue(treeCalc_1!$F$2,546)</f>
        <v>#VALUE!</v>
      </c>
    </row>
    <row r="1094" spans="7:13" x14ac:dyDescent="0.3">
      <c r="J1094" s="17" t="e">
        <v>#VALUE!</v>
      </c>
      <c r="K1094" s="15" t="s">
        <v>132</v>
      </c>
    </row>
    <row r="1095" spans="7:13" x14ac:dyDescent="0.3">
      <c r="J1095" s="13"/>
      <c r="K1095" s="16" t="e">
        <f>_xll.PTreeNodeValue(treeCalc_1!$F$2,547)</f>
        <v>#VALUE!</v>
      </c>
    </row>
    <row r="1096" spans="7:13" x14ac:dyDescent="0.3">
      <c r="K1096" s="17" t="e">
        <v>#VALUE!</v>
      </c>
      <c r="L1096" s="15" t="s">
        <v>134</v>
      </c>
    </row>
    <row r="1097" spans="7:13" x14ac:dyDescent="0.3">
      <c r="K1097" s="13"/>
      <c r="L1097" s="16" t="e">
        <f>_xll.PTreeNodeValue(treeCalc_1!$F$2,548)</f>
        <v>#VALUE!</v>
      </c>
    </row>
    <row r="1098" spans="7:13" x14ac:dyDescent="0.3">
      <c r="L1098" s="17" t="e">
        <v>#VALUE!</v>
      </c>
      <c r="M1098" s="19" t="e">
        <f>_xll.PTreeNodeProbability(treeCalc_1!$F$2,549)</f>
        <v>#VALUE!</v>
      </c>
    </row>
    <row r="1099" spans="7:13" x14ac:dyDescent="0.3">
      <c r="L1099" s="13"/>
      <c r="M1099" s="18" t="e">
        <f>_xll.PTreeNodeValue(treeCalc_1!$F$2,549)</f>
        <v>#VALUE!</v>
      </c>
    </row>
    <row r="1100" spans="7:13" x14ac:dyDescent="0.3">
      <c r="G1100" s="17" t="e">
        <v>#VALUE!</v>
      </c>
      <c r="H1100" s="15" t="s">
        <v>145</v>
      </c>
    </row>
    <row r="1101" spans="7:13" x14ac:dyDescent="0.3">
      <c r="G1101" s="13"/>
      <c r="H1101" s="16" t="e">
        <f>_xll.PTreeNodeValue(treeCalc_1!$F$2,550)</f>
        <v>#VALUE!</v>
      </c>
    </row>
    <row r="1102" spans="7:13" x14ac:dyDescent="0.3">
      <c r="I1102" s="17" t="e">
        <v>#VALUE!</v>
      </c>
      <c r="J1102" s="15" t="s">
        <v>133</v>
      </c>
    </row>
    <row r="1103" spans="7:13" x14ac:dyDescent="0.3">
      <c r="I1103" s="13"/>
      <c r="J1103" s="16" t="e">
        <f>_xll.PTreeNodeValue(treeCalc_1!$F$2,551)</f>
        <v>#VALUE!</v>
      </c>
    </row>
    <row r="1104" spans="7:13" x14ac:dyDescent="0.3">
      <c r="J1104" s="17" t="e">
        <v>#VALUE!</v>
      </c>
      <c r="K1104" s="15" t="s">
        <v>132</v>
      </c>
    </row>
    <row r="1105" spans="4:13" x14ac:dyDescent="0.3">
      <c r="J1105" s="13"/>
      <c r="K1105" s="16" t="e">
        <f>_xll.PTreeNodeValue(treeCalc_1!$F$2,552)</f>
        <v>#VALUE!</v>
      </c>
    </row>
    <row r="1106" spans="4:13" x14ac:dyDescent="0.3">
      <c r="K1106" s="17" t="e">
        <v>#VALUE!</v>
      </c>
      <c r="L1106" s="15" t="s">
        <v>134</v>
      </c>
    </row>
    <row r="1107" spans="4:13" x14ac:dyDescent="0.3">
      <c r="K1107" s="13"/>
      <c r="L1107" s="16" t="e">
        <f>_xll.PTreeNodeValue(treeCalc_1!$F$2,553)</f>
        <v>#VALUE!</v>
      </c>
    </row>
    <row r="1108" spans="4:13" x14ac:dyDescent="0.3">
      <c r="L1108" s="17" t="e">
        <v>#VALUE!</v>
      </c>
      <c r="M1108" s="19" t="e">
        <f>_xll.PTreeNodeProbability(treeCalc_1!$F$2,554)</f>
        <v>#VALUE!</v>
      </c>
    </row>
    <row r="1109" spans="4:13" x14ac:dyDescent="0.3">
      <c r="L1109" s="13"/>
      <c r="M1109" s="18" t="e">
        <f>_xll.PTreeNodeValue(treeCalc_1!$F$2,554)</f>
        <v>#VALUE!</v>
      </c>
    </row>
    <row r="1110" spans="4:13" x14ac:dyDescent="0.3">
      <c r="H1110" s="17" t="e">
        <v>#VALUE!</v>
      </c>
      <c r="I1110" s="15" t="s">
        <v>146</v>
      </c>
    </row>
    <row r="1111" spans="4:13" x14ac:dyDescent="0.3">
      <c r="H1111" s="13"/>
      <c r="I1111" s="16" t="e">
        <f>_xll.PTreeNodeValue(treeCalc_1!$F$2,555)</f>
        <v>#VALUE!</v>
      </c>
    </row>
    <row r="1112" spans="4:13" x14ac:dyDescent="0.3">
      <c r="I1112" s="17" t="e">
        <v>#VALUE!</v>
      </c>
      <c r="J1112" s="15" t="s">
        <v>133</v>
      </c>
    </row>
    <row r="1113" spans="4:13" x14ac:dyDescent="0.3">
      <c r="I1113" s="13"/>
      <c r="J1113" s="16" t="e">
        <f>_xll.PTreeNodeValue(treeCalc_1!$F$2,556)</f>
        <v>#VALUE!</v>
      </c>
    </row>
    <row r="1114" spans="4:13" x14ac:dyDescent="0.3">
      <c r="J1114" s="17" t="e">
        <v>#VALUE!</v>
      </c>
      <c r="K1114" s="15" t="s">
        <v>132</v>
      </c>
    </row>
    <row r="1115" spans="4:13" x14ac:dyDescent="0.3">
      <c r="J1115" s="13"/>
      <c r="K1115" s="16" t="e">
        <f>_xll.PTreeNodeValue(treeCalc_1!$F$2,557)</f>
        <v>#VALUE!</v>
      </c>
    </row>
    <row r="1116" spans="4:13" x14ac:dyDescent="0.3">
      <c r="K1116" s="17" t="e">
        <v>#VALUE!</v>
      </c>
      <c r="L1116" s="15" t="s">
        <v>134</v>
      </c>
    </row>
    <row r="1117" spans="4:13" x14ac:dyDescent="0.3">
      <c r="K1117" s="13"/>
      <c r="L1117" s="16" t="e">
        <f>_xll.PTreeNodeValue(treeCalc_1!$F$2,558)</f>
        <v>#VALUE!</v>
      </c>
    </row>
    <row r="1118" spans="4:13" x14ac:dyDescent="0.3">
      <c r="L1118" s="17" t="e">
        <v>#VALUE!</v>
      </c>
      <c r="M1118" s="19" t="e">
        <f>_xll.PTreeNodeProbability(treeCalc_1!$F$2,559)</f>
        <v>#VALUE!</v>
      </c>
    </row>
    <row r="1119" spans="4:13" x14ac:dyDescent="0.3">
      <c r="L1119" s="13"/>
      <c r="M1119" s="18" t="e">
        <f>_xll.PTreeNodeValue(treeCalc_1!$F$2,559)</f>
        <v>#VALUE!</v>
      </c>
    </row>
    <row r="1120" spans="4:13" x14ac:dyDescent="0.3">
      <c r="D1120" s="14" t="e">
        <f>_xll.PTreeNodeDecision(treeCalc_1!$F$2,560)</f>
        <v>#VALUE!</v>
      </c>
      <c r="E1120" s="15" t="s">
        <v>143</v>
      </c>
    </row>
    <row r="1121" spans="4:13" x14ac:dyDescent="0.3">
      <c r="D1121" s="13"/>
      <c r="E1121" s="16" t="e">
        <f>_xll.PTreeNodeValue(treeCalc_1!$F$2,560)</f>
        <v>#VALUE!</v>
      </c>
    </row>
    <row r="1122" spans="4:13" x14ac:dyDescent="0.3">
      <c r="I1122" s="17" t="e">
        <v>#VALUE!</v>
      </c>
      <c r="J1122" s="15" t="s">
        <v>133</v>
      </c>
    </row>
    <row r="1123" spans="4:13" x14ac:dyDescent="0.3">
      <c r="I1123" s="13"/>
      <c r="J1123" s="16" t="e">
        <f>_xll.PTreeNodeValue(treeCalc_1!$F$2,561)</f>
        <v>#VALUE!</v>
      </c>
    </row>
    <row r="1124" spans="4:13" x14ac:dyDescent="0.3">
      <c r="J1124" s="17" t="e">
        <v>#VALUE!</v>
      </c>
      <c r="K1124" s="15" t="s">
        <v>132</v>
      </c>
    </row>
    <row r="1125" spans="4:13" x14ac:dyDescent="0.3">
      <c r="J1125" s="13"/>
      <c r="K1125" s="16" t="e">
        <f>_xll.PTreeNodeValue(treeCalc_1!$F$2,562)</f>
        <v>#VALUE!</v>
      </c>
    </row>
    <row r="1126" spans="4:13" x14ac:dyDescent="0.3">
      <c r="K1126" s="17" t="e">
        <v>#VALUE!</v>
      </c>
      <c r="L1126" s="15" t="s">
        <v>134</v>
      </c>
    </row>
    <row r="1127" spans="4:13" x14ac:dyDescent="0.3">
      <c r="K1127" s="13"/>
      <c r="L1127" s="16" t="e">
        <f>_xll.PTreeNodeValue(treeCalc_1!$F$2,563)</f>
        <v>#VALUE!</v>
      </c>
    </row>
    <row r="1128" spans="4:13" x14ac:dyDescent="0.3">
      <c r="L1128" s="17" t="e">
        <v>#VALUE!</v>
      </c>
      <c r="M1128" s="19" t="e">
        <f>_xll.PTreeNodeProbability(treeCalc_1!$F$2,564)</f>
        <v>#VALUE!</v>
      </c>
    </row>
    <row r="1129" spans="4:13" x14ac:dyDescent="0.3">
      <c r="L1129" s="13"/>
      <c r="M1129" s="18" t="e">
        <f>_xll.PTreeNodeValue(treeCalc_1!$F$2,564)</f>
        <v>#VALUE!</v>
      </c>
    </row>
    <row r="1130" spans="4:13" x14ac:dyDescent="0.3">
      <c r="H1130" s="17" t="e">
        <v>#VALUE!</v>
      </c>
      <c r="I1130" s="15" t="s">
        <v>146</v>
      </c>
    </row>
    <row r="1131" spans="4:13" x14ac:dyDescent="0.3">
      <c r="H1131" s="13"/>
      <c r="I1131" s="16" t="e">
        <f>_xll.PTreeNodeValue(treeCalc_1!$F$2,565)</f>
        <v>#VALUE!</v>
      </c>
    </row>
    <row r="1132" spans="4:13" x14ac:dyDescent="0.3">
      <c r="I1132" s="17" t="e">
        <v>#VALUE!</v>
      </c>
      <c r="J1132" s="15" t="s">
        <v>133</v>
      </c>
    </row>
    <row r="1133" spans="4:13" x14ac:dyDescent="0.3">
      <c r="I1133" s="13"/>
      <c r="J1133" s="16" t="e">
        <f>_xll.PTreeNodeValue(treeCalc_1!$F$2,566)</f>
        <v>#VALUE!</v>
      </c>
    </row>
    <row r="1134" spans="4:13" x14ac:dyDescent="0.3">
      <c r="J1134" s="17" t="e">
        <v>#VALUE!</v>
      </c>
      <c r="K1134" s="15" t="s">
        <v>132</v>
      </c>
    </row>
    <row r="1135" spans="4:13" x14ac:dyDescent="0.3">
      <c r="J1135" s="13"/>
      <c r="K1135" s="16" t="e">
        <f>_xll.PTreeNodeValue(treeCalc_1!$F$2,567)</f>
        <v>#VALUE!</v>
      </c>
    </row>
    <row r="1136" spans="4:13" x14ac:dyDescent="0.3">
      <c r="K1136" s="17" t="e">
        <v>#VALUE!</v>
      </c>
      <c r="L1136" s="15" t="s">
        <v>134</v>
      </c>
    </row>
    <row r="1137" spans="7:13" x14ac:dyDescent="0.3">
      <c r="K1137" s="13"/>
      <c r="L1137" s="16" t="e">
        <f>_xll.PTreeNodeValue(treeCalc_1!$F$2,568)</f>
        <v>#VALUE!</v>
      </c>
    </row>
    <row r="1138" spans="7:13" x14ac:dyDescent="0.3">
      <c r="L1138" s="17" t="e">
        <v>#VALUE!</v>
      </c>
      <c r="M1138" s="19" t="e">
        <f>_xll.PTreeNodeProbability(treeCalc_1!$F$2,569)</f>
        <v>#VALUE!</v>
      </c>
    </row>
    <row r="1139" spans="7:13" x14ac:dyDescent="0.3">
      <c r="L1139" s="13"/>
      <c r="M1139" s="18" t="e">
        <f>_xll.PTreeNodeValue(treeCalc_1!$F$2,569)</f>
        <v>#VALUE!</v>
      </c>
    </row>
    <row r="1140" spans="7:13" x14ac:dyDescent="0.3">
      <c r="G1140" s="17" t="e">
        <v>#VALUE!</v>
      </c>
      <c r="H1140" s="15" t="s">
        <v>145</v>
      </c>
    </row>
    <row r="1141" spans="7:13" x14ac:dyDescent="0.3">
      <c r="G1141" s="13"/>
      <c r="H1141" s="16" t="e">
        <f>_xll.PTreeNodeValue(treeCalc_1!$F$2,570)</f>
        <v>#VALUE!</v>
      </c>
    </row>
    <row r="1142" spans="7:13" x14ac:dyDescent="0.3">
      <c r="I1142" s="17" t="e">
        <v>#VALUE!</v>
      </c>
      <c r="J1142" s="15" t="s">
        <v>133</v>
      </c>
    </row>
    <row r="1143" spans="7:13" x14ac:dyDescent="0.3">
      <c r="I1143" s="13"/>
      <c r="J1143" s="16" t="e">
        <f>_xll.PTreeNodeValue(treeCalc_1!$F$2,571)</f>
        <v>#VALUE!</v>
      </c>
    </row>
    <row r="1144" spans="7:13" x14ac:dyDescent="0.3">
      <c r="J1144" s="17" t="e">
        <v>#VALUE!</v>
      </c>
      <c r="K1144" s="15" t="s">
        <v>132</v>
      </c>
    </row>
    <row r="1145" spans="7:13" x14ac:dyDescent="0.3">
      <c r="J1145" s="13"/>
      <c r="K1145" s="16" t="e">
        <f>_xll.PTreeNodeValue(treeCalc_1!$F$2,572)</f>
        <v>#VALUE!</v>
      </c>
    </row>
    <row r="1146" spans="7:13" x14ac:dyDescent="0.3">
      <c r="K1146" s="17" t="e">
        <v>#VALUE!</v>
      </c>
      <c r="L1146" s="15" t="s">
        <v>134</v>
      </c>
    </row>
    <row r="1147" spans="7:13" x14ac:dyDescent="0.3">
      <c r="K1147" s="13"/>
      <c r="L1147" s="16" t="e">
        <f>_xll.PTreeNodeValue(treeCalc_1!$F$2,573)</f>
        <v>#VALUE!</v>
      </c>
    </row>
    <row r="1148" spans="7:13" x14ac:dyDescent="0.3">
      <c r="L1148" s="17" t="e">
        <v>#VALUE!</v>
      </c>
      <c r="M1148" s="19" t="e">
        <f>_xll.PTreeNodeProbability(treeCalc_1!$F$2,574)</f>
        <v>#VALUE!</v>
      </c>
    </row>
    <row r="1149" spans="7:13" x14ac:dyDescent="0.3">
      <c r="L1149" s="13"/>
      <c r="M1149" s="18" t="e">
        <f>_xll.PTreeNodeValue(treeCalc_1!$F$2,574)</f>
        <v>#VALUE!</v>
      </c>
    </row>
    <row r="1150" spans="7:13" x14ac:dyDescent="0.3">
      <c r="H1150" s="17" t="e">
        <v>#VALUE!</v>
      </c>
      <c r="I1150" s="15" t="s">
        <v>146</v>
      </c>
    </row>
    <row r="1151" spans="7:13" x14ac:dyDescent="0.3">
      <c r="H1151" s="13"/>
      <c r="I1151" s="16" t="e">
        <f>_xll.PTreeNodeValue(treeCalc_1!$F$2,575)</f>
        <v>#VALUE!</v>
      </c>
    </row>
    <row r="1152" spans="7:13" x14ac:dyDescent="0.3">
      <c r="I1152" s="17" t="e">
        <v>#VALUE!</v>
      </c>
      <c r="J1152" s="15" t="s">
        <v>133</v>
      </c>
    </row>
    <row r="1153" spans="6:13" x14ac:dyDescent="0.3">
      <c r="I1153" s="13"/>
      <c r="J1153" s="16" t="e">
        <f>_xll.PTreeNodeValue(treeCalc_1!$F$2,576)</f>
        <v>#VALUE!</v>
      </c>
    </row>
    <row r="1154" spans="6:13" x14ac:dyDescent="0.3">
      <c r="J1154" s="17" t="e">
        <v>#VALUE!</v>
      </c>
      <c r="K1154" s="15" t="s">
        <v>132</v>
      </c>
    </row>
    <row r="1155" spans="6:13" x14ac:dyDescent="0.3">
      <c r="J1155" s="13"/>
      <c r="K1155" s="16" t="e">
        <f>_xll.PTreeNodeValue(treeCalc_1!$F$2,577)</f>
        <v>#VALUE!</v>
      </c>
    </row>
    <row r="1156" spans="6:13" x14ac:dyDescent="0.3">
      <c r="K1156" s="17" t="e">
        <v>#VALUE!</v>
      </c>
      <c r="L1156" s="15" t="s">
        <v>134</v>
      </c>
    </row>
    <row r="1157" spans="6:13" x14ac:dyDescent="0.3">
      <c r="K1157" s="13"/>
      <c r="L1157" s="16" t="e">
        <f>_xll.PTreeNodeValue(treeCalc_1!$F$2,578)</f>
        <v>#VALUE!</v>
      </c>
    </row>
    <row r="1158" spans="6:13" x14ac:dyDescent="0.3">
      <c r="L1158" s="17" t="e">
        <v>#VALUE!</v>
      </c>
      <c r="M1158" s="19" t="e">
        <f>_xll.PTreeNodeProbability(treeCalc_1!$F$2,579)</f>
        <v>#VALUE!</v>
      </c>
    </row>
    <row r="1159" spans="6:13" x14ac:dyDescent="0.3">
      <c r="L1159" s="13"/>
      <c r="M1159" s="18" t="e">
        <f>_xll.PTreeNodeValue(treeCalc_1!$F$2,579)</f>
        <v>#VALUE!</v>
      </c>
    </row>
    <row r="1160" spans="6:13" x14ac:dyDescent="0.3">
      <c r="F1160" s="17" t="e">
        <v>#VALUE!</v>
      </c>
      <c r="G1160" s="15" t="s">
        <v>144</v>
      </c>
    </row>
    <row r="1161" spans="6:13" x14ac:dyDescent="0.3">
      <c r="F1161" s="13"/>
      <c r="G1161" s="16" t="e">
        <f>_xll.PTreeNodeValue(treeCalc_1!$F$2,580)</f>
        <v>#VALUE!</v>
      </c>
    </row>
    <row r="1162" spans="6:13" x14ac:dyDescent="0.3">
      <c r="I1162" s="17" t="e">
        <v>#VALUE!</v>
      </c>
      <c r="J1162" s="15" t="s">
        <v>133</v>
      </c>
    </row>
    <row r="1163" spans="6:13" x14ac:dyDescent="0.3">
      <c r="I1163" s="13"/>
      <c r="J1163" s="16" t="e">
        <f>_xll.PTreeNodeValue(treeCalc_1!$F$2,581)</f>
        <v>#VALUE!</v>
      </c>
    </row>
    <row r="1164" spans="6:13" x14ac:dyDescent="0.3">
      <c r="J1164" s="17" t="e">
        <v>#VALUE!</v>
      </c>
      <c r="K1164" s="15" t="s">
        <v>132</v>
      </c>
    </row>
    <row r="1165" spans="6:13" x14ac:dyDescent="0.3">
      <c r="J1165" s="13"/>
      <c r="K1165" s="16" t="e">
        <f>_xll.PTreeNodeValue(treeCalc_1!$F$2,582)</f>
        <v>#VALUE!</v>
      </c>
    </row>
    <row r="1166" spans="6:13" x14ac:dyDescent="0.3">
      <c r="K1166" s="17" t="e">
        <v>#VALUE!</v>
      </c>
      <c r="L1166" s="15" t="s">
        <v>134</v>
      </c>
    </row>
    <row r="1167" spans="6:13" x14ac:dyDescent="0.3">
      <c r="K1167" s="13"/>
      <c r="L1167" s="16" t="e">
        <f>_xll.PTreeNodeValue(treeCalc_1!$F$2,583)</f>
        <v>#VALUE!</v>
      </c>
    </row>
    <row r="1168" spans="6:13" x14ac:dyDescent="0.3">
      <c r="L1168" s="17" t="e">
        <v>#VALUE!</v>
      </c>
      <c r="M1168" s="19" t="e">
        <f>_xll.PTreeNodeProbability(treeCalc_1!$F$2,584)</f>
        <v>#VALUE!</v>
      </c>
    </row>
    <row r="1169" spans="7:13" x14ac:dyDescent="0.3">
      <c r="L1169" s="13"/>
      <c r="M1169" s="18" t="e">
        <f>_xll.PTreeNodeValue(treeCalc_1!$F$2,584)</f>
        <v>#VALUE!</v>
      </c>
    </row>
    <row r="1170" spans="7:13" x14ac:dyDescent="0.3">
      <c r="H1170" s="17" t="e">
        <v>#VALUE!</v>
      </c>
      <c r="I1170" s="15" t="s">
        <v>146</v>
      </c>
    </row>
    <row r="1171" spans="7:13" x14ac:dyDescent="0.3">
      <c r="H1171" s="13"/>
      <c r="I1171" s="16" t="e">
        <f>_xll.PTreeNodeValue(treeCalc_1!$F$2,585)</f>
        <v>#VALUE!</v>
      </c>
    </row>
    <row r="1172" spans="7:13" x14ac:dyDescent="0.3">
      <c r="I1172" s="17" t="e">
        <v>#VALUE!</v>
      </c>
      <c r="J1172" s="15" t="s">
        <v>133</v>
      </c>
    </row>
    <row r="1173" spans="7:13" x14ac:dyDescent="0.3">
      <c r="I1173" s="13"/>
      <c r="J1173" s="16" t="e">
        <f>_xll.PTreeNodeValue(treeCalc_1!$F$2,586)</f>
        <v>#VALUE!</v>
      </c>
    </row>
    <row r="1174" spans="7:13" x14ac:dyDescent="0.3">
      <c r="J1174" s="17" t="e">
        <v>#VALUE!</v>
      </c>
      <c r="K1174" s="15" t="s">
        <v>132</v>
      </c>
    </row>
    <row r="1175" spans="7:13" x14ac:dyDescent="0.3">
      <c r="J1175" s="13"/>
      <c r="K1175" s="16" t="e">
        <f>_xll.PTreeNodeValue(treeCalc_1!$F$2,587)</f>
        <v>#VALUE!</v>
      </c>
    </row>
    <row r="1176" spans="7:13" x14ac:dyDescent="0.3">
      <c r="K1176" s="17" t="e">
        <v>#VALUE!</v>
      </c>
      <c r="L1176" s="15" t="s">
        <v>134</v>
      </c>
    </row>
    <row r="1177" spans="7:13" x14ac:dyDescent="0.3">
      <c r="K1177" s="13"/>
      <c r="L1177" s="16" t="e">
        <f>_xll.PTreeNodeValue(treeCalc_1!$F$2,588)</f>
        <v>#VALUE!</v>
      </c>
    </row>
    <row r="1178" spans="7:13" x14ac:dyDescent="0.3">
      <c r="L1178" s="17" t="e">
        <v>#VALUE!</v>
      </c>
      <c r="M1178" s="19" t="e">
        <f>_xll.PTreeNodeProbability(treeCalc_1!$F$2,589)</f>
        <v>#VALUE!</v>
      </c>
    </row>
    <row r="1179" spans="7:13" x14ac:dyDescent="0.3">
      <c r="L1179" s="13"/>
      <c r="M1179" s="18" t="e">
        <f>_xll.PTreeNodeValue(treeCalc_1!$F$2,589)</f>
        <v>#VALUE!</v>
      </c>
    </row>
    <row r="1180" spans="7:13" x14ac:dyDescent="0.3">
      <c r="G1180" s="17" t="e">
        <v>#VALUE!</v>
      </c>
      <c r="H1180" s="15" t="s">
        <v>145</v>
      </c>
    </row>
    <row r="1181" spans="7:13" x14ac:dyDescent="0.3">
      <c r="G1181" s="13"/>
      <c r="H1181" s="16" t="e">
        <f>_xll.PTreeNodeValue(treeCalc_1!$F$2,590)</f>
        <v>#VALUE!</v>
      </c>
    </row>
    <row r="1182" spans="7:13" x14ac:dyDescent="0.3">
      <c r="I1182" s="17" t="e">
        <v>#VALUE!</v>
      </c>
      <c r="J1182" s="15" t="s">
        <v>133</v>
      </c>
    </row>
    <row r="1183" spans="7:13" x14ac:dyDescent="0.3">
      <c r="I1183" s="13"/>
      <c r="J1183" s="16" t="e">
        <f>_xll.PTreeNodeValue(treeCalc_1!$F$2,591)</f>
        <v>#VALUE!</v>
      </c>
    </row>
    <row r="1184" spans="7:13" x14ac:dyDescent="0.3">
      <c r="J1184" s="17" t="e">
        <v>#VALUE!</v>
      </c>
      <c r="K1184" s="15" t="s">
        <v>132</v>
      </c>
    </row>
    <row r="1185" spans="5:13" x14ac:dyDescent="0.3">
      <c r="J1185" s="13"/>
      <c r="K1185" s="16" t="e">
        <f>_xll.PTreeNodeValue(treeCalc_1!$F$2,592)</f>
        <v>#VALUE!</v>
      </c>
    </row>
    <row r="1186" spans="5:13" x14ac:dyDescent="0.3">
      <c r="K1186" s="17" t="e">
        <v>#VALUE!</v>
      </c>
      <c r="L1186" s="15" t="s">
        <v>134</v>
      </c>
    </row>
    <row r="1187" spans="5:13" x14ac:dyDescent="0.3">
      <c r="K1187" s="13"/>
      <c r="L1187" s="16" t="e">
        <f>_xll.PTreeNodeValue(treeCalc_1!$F$2,593)</f>
        <v>#VALUE!</v>
      </c>
    </row>
    <row r="1188" spans="5:13" x14ac:dyDescent="0.3">
      <c r="L1188" s="17" t="e">
        <v>#VALUE!</v>
      </c>
      <c r="M1188" s="19" t="e">
        <f>_xll.PTreeNodeProbability(treeCalc_1!$F$2,594)</f>
        <v>#VALUE!</v>
      </c>
    </row>
    <row r="1189" spans="5:13" x14ac:dyDescent="0.3">
      <c r="L1189" s="13"/>
      <c r="M1189" s="18" t="e">
        <f>_xll.PTreeNodeValue(treeCalc_1!$F$2,594)</f>
        <v>#VALUE!</v>
      </c>
    </row>
    <row r="1190" spans="5:13" x14ac:dyDescent="0.3">
      <c r="H1190" s="17" t="e">
        <v>#VALUE!</v>
      </c>
      <c r="I1190" s="15" t="s">
        <v>146</v>
      </c>
    </row>
    <row r="1191" spans="5:13" x14ac:dyDescent="0.3">
      <c r="H1191" s="13"/>
      <c r="I1191" s="16" t="e">
        <f>_xll.PTreeNodeValue(treeCalc_1!$F$2,595)</f>
        <v>#VALUE!</v>
      </c>
    </row>
    <row r="1192" spans="5:13" x14ac:dyDescent="0.3">
      <c r="I1192" s="17" t="e">
        <v>#VALUE!</v>
      </c>
      <c r="J1192" s="15" t="s">
        <v>133</v>
      </c>
    </row>
    <row r="1193" spans="5:13" x14ac:dyDescent="0.3">
      <c r="I1193" s="13"/>
      <c r="J1193" s="16" t="e">
        <f>_xll.PTreeNodeValue(treeCalc_1!$F$2,596)</f>
        <v>#VALUE!</v>
      </c>
    </row>
    <row r="1194" spans="5:13" x14ac:dyDescent="0.3">
      <c r="J1194" s="17" t="e">
        <v>#VALUE!</v>
      </c>
      <c r="K1194" s="15" t="s">
        <v>132</v>
      </c>
    </row>
    <row r="1195" spans="5:13" x14ac:dyDescent="0.3">
      <c r="J1195" s="13"/>
      <c r="K1195" s="16" t="e">
        <f>_xll.PTreeNodeValue(treeCalc_1!$F$2,597)</f>
        <v>#VALUE!</v>
      </c>
    </row>
    <row r="1196" spans="5:13" x14ac:dyDescent="0.3">
      <c r="K1196" s="17" t="e">
        <v>#VALUE!</v>
      </c>
      <c r="L1196" s="15" t="s">
        <v>134</v>
      </c>
    </row>
    <row r="1197" spans="5:13" x14ac:dyDescent="0.3">
      <c r="K1197" s="13"/>
      <c r="L1197" s="16" t="e">
        <f>_xll.PTreeNodeValue(treeCalc_1!$F$2,598)</f>
        <v>#VALUE!</v>
      </c>
    </row>
    <row r="1198" spans="5:13" x14ac:dyDescent="0.3">
      <c r="L1198" s="17" t="e">
        <v>#VALUE!</v>
      </c>
      <c r="M1198" s="19" t="e">
        <f>_xll.PTreeNodeProbability(treeCalc_1!$F$2,599)</f>
        <v>#VALUE!</v>
      </c>
    </row>
    <row r="1199" spans="5:13" x14ac:dyDescent="0.3">
      <c r="L1199" s="13"/>
      <c r="M1199" s="18" t="e">
        <f>_xll.PTreeNodeValue(treeCalc_1!$F$2,599)</f>
        <v>#VALUE!</v>
      </c>
    </row>
    <row r="1200" spans="5:13" x14ac:dyDescent="0.3">
      <c r="E1200" s="17" t="e">
        <v>#VALUE!</v>
      </c>
      <c r="F1200" s="15" t="s">
        <v>141</v>
      </c>
    </row>
    <row r="1201" spans="5:13" x14ac:dyDescent="0.3">
      <c r="E1201" s="13"/>
      <c r="F1201" s="16" t="e">
        <f>_xll.PTreeNodeValue(treeCalc_1!$F$2,600)</f>
        <v>#VALUE!</v>
      </c>
    </row>
    <row r="1202" spans="5:13" x14ac:dyDescent="0.3">
      <c r="I1202" s="17" t="e">
        <v>#VALUE!</v>
      </c>
      <c r="J1202" s="15" t="s">
        <v>133</v>
      </c>
    </row>
    <row r="1203" spans="5:13" x14ac:dyDescent="0.3">
      <c r="I1203" s="13"/>
      <c r="J1203" s="16" t="e">
        <f>_xll.PTreeNodeValue(treeCalc_1!$F$2,601)</f>
        <v>#VALUE!</v>
      </c>
    </row>
    <row r="1204" spans="5:13" x14ac:dyDescent="0.3">
      <c r="J1204" s="17" t="e">
        <v>#VALUE!</v>
      </c>
      <c r="K1204" s="15" t="s">
        <v>132</v>
      </c>
    </row>
    <row r="1205" spans="5:13" x14ac:dyDescent="0.3">
      <c r="J1205" s="13"/>
      <c r="K1205" s="16" t="e">
        <f>_xll.PTreeNodeValue(treeCalc_1!$F$2,602)</f>
        <v>#VALUE!</v>
      </c>
    </row>
    <row r="1206" spans="5:13" x14ac:dyDescent="0.3">
      <c r="K1206" s="17" t="e">
        <v>#VALUE!</v>
      </c>
      <c r="L1206" s="15" t="s">
        <v>134</v>
      </c>
    </row>
    <row r="1207" spans="5:13" x14ac:dyDescent="0.3">
      <c r="K1207" s="13"/>
      <c r="L1207" s="16" t="e">
        <f>_xll.PTreeNodeValue(treeCalc_1!$F$2,603)</f>
        <v>#VALUE!</v>
      </c>
    </row>
    <row r="1208" spans="5:13" x14ac:dyDescent="0.3">
      <c r="L1208" s="17" t="e">
        <v>#VALUE!</v>
      </c>
      <c r="M1208" s="19" t="e">
        <f>_xll.PTreeNodeProbability(treeCalc_1!$F$2,604)</f>
        <v>#VALUE!</v>
      </c>
    </row>
    <row r="1209" spans="5:13" x14ac:dyDescent="0.3">
      <c r="L1209" s="13"/>
      <c r="M1209" s="18" t="e">
        <f>_xll.PTreeNodeValue(treeCalc_1!$F$2,604)</f>
        <v>#VALUE!</v>
      </c>
    </row>
    <row r="1210" spans="5:13" x14ac:dyDescent="0.3">
      <c r="H1210" s="17" t="e">
        <v>#VALUE!</v>
      </c>
      <c r="I1210" s="15" t="s">
        <v>146</v>
      </c>
    </row>
    <row r="1211" spans="5:13" x14ac:dyDescent="0.3">
      <c r="H1211" s="13"/>
      <c r="I1211" s="16" t="e">
        <f>_xll.PTreeNodeValue(treeCalc_1!$F$2,605)</f>
        <v>#VALUE!</v>
      </c>
    </row>
    <row r="1212" spans="5:13" x14ac:dyDescent="0.3">
      <c r="I1212" s="17" t="e">
        <v>#VALUE!</v>
      </c>
      <c r="J1212" s="15" t="s">
        <v>133</v>
      </c>
    </row>
    <row r="1213" spans="5:13" x14ac:dyDescent="0.3">
      <c r="I1213" s="13"/>
      <c r="J1213" s="16" t="e">
        <f>_xll.PTreeNodeValue(treeCalc_1!$F$2,606)</f>
        <v>#VALUE!</v>
      </c>
    </row>
    <row r="1214" spans="5:13" x14ac:dyDescent="0.3">
      <c r="J1214" s="17" t="e">
        <v>#VALUE!</v>
      </c>
      <c r="K1214" s="15" t="s">
        <v>132</v>
      </c>
    </row>
    <row r="1215" spans="5:13" x14ac:dyDescent="0.3">
      <c r="J1215" s="13"/>
      <c r="K1215" s="16" t="e">
        <f>_xll.PTreeNodeValue(treeCalc_1!$F$2,607)</f>
        <v>#VALUE!</v>
      </c>
    </row>
    <row r="1216" spans="5:13" x14ac:dyDescent="0.3">
      <c r="K1216" s="17" t="e">
        <v>#VALUE!</v>
      </c>
      <c r="L1216" s="15" t="s">
        <v>134</v>
      </c>
    </row>
    <row r="1217" spans="7:13" x14ac:dyDescent="0.3">
      <c r="K1217" s="13"/>
      <c r="L1217" s="16" t="e">
        <f>_xll.PTreeNodeValue(treeCalc_1!$F$2,608)</f>
        <v>#VALUE!</v>
      </c>
    </row>
    <row r="1218" spans="7:13" x14ac:dyDescent="0.3">
      <c r="L1218" s="17" t="e">
        <v>#VALUE!</v>
      </c>
      <c r="M1218" s="19" t="e">
        <f>_xll.PTreeNodeProbability(treeCalc_1!$F$2,609)</f>
        <v>#VALUE!</v>
      </c>
    </row>
    <row r="1219" spans="7:13" x14ac:dyDescent="0.3">
      <c r="L1219" s="13"/>
      <c r="M1219" s="18" t="e">
        <f>_xll.PTreeNodeValue(treeCalc_1!$F$2,609)</f>
        <v>#VALUE!</v>
      </c>
    </row>
    <row r="1220" spans="7:13" x14ac:dyDescent="0.3">
      <c r="G1220" s="17" t="e">
        <v>#VALUE!</v>
      </c>
      <c r="H1220" s="15" t="s">
        <v>145</v>
      </c>
    </row>
    <row r="1221" spans="7:13" x14ac:dyDescent="0.3">
      <c r="G1221" s="13"/>
      <c r="H1221" s="16" t="e">
        <f>_xll.PTreeNodeValue(treeCalc_1!$F$2,610)</f>
        <v>#VALUE!</v>
      </c>
    </row>
    <row r="1222" spans="7:13" x14ac:dyDescent="0.3">
      <c r="I1222" s="17" t="e">
        <v>#VALUE!</v>
      </c>
      <c r="J1222" s="15" t="s">
        <v>133</v>
      </c>
    </row>
    <row r="1223" spans="7:13" x14ac:dyDescent="0.3">
      <c r="I1223" s="13"/>
      <c r="J1223" s="16" t="e">
        <f>_xll.PTreeNodeValue(treeCalc_1!$F$2,611)</f>
        <v>#VALUE!</v>
      </c>
    </row>
    <row r="1224" spans="7:13" x14ac:dyDescent="0.3">
      <c r="J1224" s="17" t="e">
        <v>#VALUE!</v>
      </c>
      <c r="K1224" s="15" t="s">
        <v>132</v>
      </c>
    </row>
    <row r="1225" spans="7:13" x14ac:dyDescent="0.3">
      <c r="J1225" s="13"/>
      <c r="K1225" s="16" t="e">
        <f>_xll.PTreeNodeValue(treeCalc_1!$F$2,612)</f>
        <v>#VALUE!</v>
      </c>
    </row>
    <row r="1226" spans="7:13" x14ac:dyDescent="0.3">
      <c r="K1226" s="17" t="e">
        <v>#VALUE!</v>
      </c>
      <c r="L1226" s="15" t="s">
        <v>134</v>
      </c>
    </row>
    <row r="1227" spans="7:13" x14ac:dyDescent="0.3">
      <c r="K1227" s="13"/>
      <c r="L1227" s="16" t="e">
        <f>_xll.PTreeNodeValue(treeCalc_1!$F$2,613)</f>
        <v>#VALUE!</v>
      </c>
    </row>
    <row r="1228" spans="7:13" x14ac:dyDescent="0.3">
      <c r="L1228" s="17" t="e">
        <v>#VALUE!</v>
      </c>
      <c r="M1228" s="19" t="e">
        <f>_xll.PTreeNodeProbability(treeCalc_1!$F$2,614)</f>
        <v>#VALUE!</v>
      </c>
    </row>
    <row r="1229" spans="7:13" x14ac:dyDescent="0.3">
      <c r="L1229" s="13"/>
      <c r="M1229" s="18" t="e">
        <f>_xll.PTreeNodeValue(treeCalc_1!$F$2,614)</f>
        <v>#VALUE!</v>
      </c>
    </row>
    <row r="1230" spans="7:13" x14ac:dyDescent="0.3">
      <c r="H1230" s="17" t="e">
        <v>#VALUE!</v>
      </c>
      <c r="I1230" s="15" t="s">
        <v>146</v>
      </c>
    </row>
    <row r="1231" spans="7:13" x14ac:dyDescent="0.3">
      <c r="H1231" s="13"/>
      <c r="I1231" s="16" t="e">
        <f>_xll.PTreeNodeValue(treeCalc_1!$F$2,615)</f>
        <v>#VALUE!</v>
      </c>
    </row>
    <row r="1232" spans="7:13" x14ac:dyDescent="0.3">
      <c r="I1232" s="17" t="e">
        <v>#VALUE!</v>
      </c>
      <c r="J1232" s="15" t="s">
        <v>133</v>
      </c>
    </row>
    <row r="1233" spans="6:13" x14ac:dyDescent="0.3">
      <c r="I1233" s="13"/>
      <c r="J1233" s="16" t="e">
        <f>_xll.PTreeNodeValue(treeCalc_1!$F$2,616)</f>
        <v>#VALUE!</v>
      </c>
    </row>
    <row r="1234" spans="6:13" x14ac:dyDescent="0.3">
      <c r="J1234" s="17" t="e">
        <v>#VALUE!</v>
      </c>
      <c r="K1234" s="15" t="s">
        <v>132</v>
      </c>
    </row>
    <row r="1235" spans="6:13" x14ac:dyDescent="0.3">
      <c r="J1235" s="13"/>
      <c r="K1235" s="16" t="e">
        <f>_xll.PTreeNodeValue(treeCalc_1!$F$2,617)</f>
        <v>#VALUE!</v>
      </c>
    </row>
    <row r="1236" spans="6:13" x14ac:dyDescent="0.3">
      <c r="K1236" s="17" t="e">
        <v>#VALUE!</v>
      </c>
      <c r="L1236" s="15" t="s">
        <v>134</v>
      </c>
    </row>
    <row r="1237" spans="6:13" x14ac:dyDescent="0.3">
      <c r="K1237" s="13"/>
      <c r="L1237" s="16" t="e">
        <f>_xll.PTreeNodeValue(treeCalc_1!$F$2,618)</f>
        <v>#VALUE!</v>
      </c>
    </row>
    <row r="1238" spans="6:13" x14ac:dyDescent="0.3">
      <c r="L1238" s="17" t="e">
        <v>#VALUE!</v>
      </c>
      <c r="M1238" s="19" t="e">
        <f>_xll.PTreeNodeProbability(treeCalc_1!$F$2,619)</f>
        <v>#VALUE!</v>
      </c>
    </row>
    <row r="1239" spans="6:13" x14ac:dyDescent="0.3">
      <c r="L1239" s="13"/>
      <c r="M1239" s="18" t="e">
        <f>_xll.PTreeNodeValue(treeCalc_1!$F$2,619)</f>
        <v>#VALUE!</v>
      </c>
    </row>
    <row r="1240" spans="6:13" x14ac:dyDescent="0.3">
      <c r="F1240" s="17" t="e">
        <v>#VALUE!</v>
      </c>
      <c r="G1240" s="15" t="s">
        <v>144</v>
      </c>
    </row>
    <row r="1241" spans="6:13" x14ac:dyDescent="0.3">
      <c r="F1241" s="13"/>
      <c r="G1241" s="16" t="e">
        <f>_xll.PTreeNodeValue(treeCalc_1!$F$2,620)</f>
        <v>#VALUE!</v>
      </c>
    </row>
    <row r="1242" spans="6:13" x14ac:dyDescent="0.3">
      <c r="I1242" s="17" t="e">
        <v>#VALUE!</v>
      </c>
      <c r="J1242" s="15" t="s">
        <v>133</v>
      </c>
    </row>
    <row r="1243" spans="6:13" x14ac:dyDescent="0.3">
      <c r="I1243" s="13"/>
      <c r="J1243" s="16" t="e">
        <f>_xll.PTreeNodeValue(treeCalc_1!$F$2,621)</f>
        <v>#VALUE!</v>
      </c>
    </row>
    <row r="1244" spans="6:13" x14ac:dyDescent="0.3">
      <c r="J1244" s="17" t="e">
        <v>#VALUE!</v>
      </c>
      <c r="K1244" s="15" t="s">
        <v>132</v>
      </c>
    </row>
    <row r="1245" spans="6:13" x14ac:dyDescent="0.3">
      <c r="J1245" s="13"/>
      <c r="K1245" s="16" t="e">
        <f>_xll.PTreeNodeValue(treeCalc_1!$F$2,622)</f>
        <v>#VALUE!</v>
      </c>
    </row>
    <row r="1246" spans="6:13" x14ac:dyDescent="0.3">
      <c r="K1246" s="17" t="e">
        <v>#VALUE!</v>
      </c>
      <c r="L1246" s="15" t="s">
        <v>134</v>
      </c>
    </row>
    <row r="1247" spans="6:13" x14ac:dyDescent="0.3">
      <c r="K1247" s="13"/>
      <c r="L1247" s="16" t="e">
        <f>_xll.PTreeNodeValue(treeCalc_1!$F$2,623)</f>
        <v>#VALUE!</v>
      </c>
    </row>
    <row r="1248" spans="6:13" x14ac:dyDescent="0.3">
      <c r="L1248" s="17" t="e">
        <v>#VALUE!</v>
      </c>
      <c r="M1248" s="19" t="e">
        <f>_xll.PTreeNodeProbability(treeCalc_1!$F$2,624)</f>
        <v>#VALUE!</v>
      </c>
    </row>
    <row r="1249" spans="7:13" x14ac:dyDescent="0.3">
      <c r="L1249" s="13"/>
      <c r="M1249" s="18" t="e">
        <f>_xll.PTreeNodeValue(treeCalc_1!$F$2,624)</f>
        <v>#VALUE!</v>
      </c>
    </row>
    <row r="1250" spans="7:13" x14ac:dyDescent="0.3">
      <c r="H1250" s="17" t="e">
        <v>#VALUE!</v>
      </c>
      <c r="I1250" s="15" t="s">
        <v>146</v>
      </c>
    </row>
    <row r="1251" spans="7:13" x14ac:dyDescent="0.3">
      <c r="H1251" s="13"/>
      <c r="I1251" s="16" t="e">
        <f>_xll.PTreeNodeValue(treeCalc_1!$F$2,625)</f>
        <v>#VALUE!</v>
      </c>
    </row>
    <row r="1252" spans="7:13" x14ac:dyDescent="0.3">
      <c r="I1252" s="17" t="e">
        <v>#VALUE!</v>
      </c>
      <c r="J1252" s="15" t="s">
        <v>133</v>
      </c>
    </row>
    <row r="1253" spans="7:13" x14ac:dyDescent="0.3">
      <c r="I1253" s="13"/>
      <c r="J1253" s="16" t="e">
        <f>_xll.PTreeNodeValue(treeCalc_1!$F$2,626)</f>
        <v>#VALUE!</v>
      </c>
    </row>
    <row r="1254" spans="7:13" x14ac:dyDescent="0.3">
      <c r="J1254" s="17" t="e">
        <v>#VALUE!</v>
      </c>
      <c r="K1254" s="15" t="s">
        <v>132</v>
      </c>
    </row>
    <row r="1255" spans="7:13" x14ac:dyDescent="0.3">
      <c r="J1255" s="13"/>
      <c r="K1255" s="16" t="e">
        <f>_xll.PTreeNodeValue(treeCalc_1!$F$2,627)</f>
        <v>#VALUE!</v>
      </c>
    </row>
    <row r="1256" spans="7:13" x14ac:dyDescent="0.3">
      <c r="K1256" s="17" t="e">
        <v>#VALUE!</v>
      </c>
      <c r="L1256" s="15" t="s">
        <v>134</v>
      </c>
    </row>
    <row r="1257" spans="7:13" x14ac:dyDescent="0.3">
      <c r="K1257" s="13"/>
      <c r="L1257" s="16" t="e">
        <f>_xll.PTreeNodeValue(treeCalc_1!$F$2,628)</f>
        <v>#VALUE!</v>
      </c>
    </row>
    <row r="1258" spans="7:13" x14ac:dyDescent="0.3">
      <c r="L1258" s="17" t="e">
        <v>#VALUE!</v>
      </c>
      <c r="M1258" s="19" t="e">
        <f>_xll.PTreeNodeProbability(treeCalc_1!$F$2,629)</f>
        <v>#VALUE!</v>
      </c>
    </row>
    <row r="1259" spans="7:13" x14ac:dyDescent="0.3">
      <c r="L1259" s="13"/>
      <c r="M1259" s="18" t="e">
        <f>_xll.PTreeNodeValue(treeCalc_1!$F$2,629)</f>
        <v>#VALUE!</v>
      </c>
    </row>
    <row r="1260" spans="7:13" x14ac:dyDescent="0.3">
      <c r="G1260" s="17" t="e">
        <v>#VALUE!</v>
      </c>
      <c r="H1260" s="15" t="s">
        <v>145</v>
      </c>
    </row>
    <row r="1261" spans="7:13" x14ac:dyDescent="0.3">
      <c r="G1261" s="13"/>
      <c r="H1261" s="16" t="e">
        <f>_xll.PTreeNodeValue(treeCalc_1!$F$2,630)</f>
        <v>#VALUE!</v>
      </c>
    </row>
    <row r="1262" spans="7:13" x14ac:dyDescent="0.3">
      <c r="I1262" s="17" t="e">
        <v>#VALUE!</v>
      </c>
      <c r="J1262" s="15" t="s">
        <v>133</v>
      </c>
    </row>
    <row r="1263" spans="7:13" x14ac:dyDescent="0.3">
      <c r="I1263" s="13"/>
      <c r="J1263" s="16" t="e">
        <f>_xll.PTreeNodeValue(treeCalc_1!$F$2,631)</f>
        <v>#VALUE!</v>
      </c>
    </row>
    <row r="1264" spans="7:13" x14ac:dyDescent="0.3">
      <c r="J1264" s="17" t="e">
        <v>#VALUE!</v>
      </c>
      <c r="K1264" s="15" t="s">
        <v>132</v>
      </c>
    </row>
    <row r="1265" spans="1:13" x14ac:dyDescent="0.3">
      <c r="J1265" s="13"/>
      <c r="K1265" s="16" t="e">
        <f>_xll.PTreeNodeValue(treeCalc_1!$F$2,632)</f>
        <v>#VALUE!</v>
      </c>
    </row>
    <row r="1266" spans="1:13" x14ac:dyDescent="0.3">
      <c r="K1266" s="17" t="e">
        <v>#VALUE!</v>
      </c>
      <c r="L1266" s="15" t="s">
        <v>134</v>
      </c>
    </row>
    <row r="1267" spans="1:13" x14ac:dyDescent="0.3">
      <c r="K1267" s="13"/>
      <c r="L1267" s="16" t="e">
        <f>_xll.PTreeNodeValue(treeCalc_1!$F$2,633)</f>
        <v>#VALUE!</v>
      </c>
    </row>
    <row r="1268" spans="1:13" x14ac:dyDescent="0.3">
      <c r="L1268" s="17" t="e">
        <v>#VALUE!</v>
      </c>
      <c r="M1268" s="19" t="e">
        <f>_xll.PTreeNodeProbability(treeCalc_1!$F$2,634)</f>
        <v>#VALUE!</v>
      </c>
    </row>
    <row r="1269" spans="1:13" x14ac:dyDescent="0.3">
      <c r="L1269" s="13"/>
      <c r="M1269" s="18" t="e">
        <f>_xll.PTreeNodeValue(treeCalc_1!$F$2,634)</f>
        <v>#VALUE!</v>
      </c>
    </row>
    <row r="1270" spans="1:13" x14ac:dyDescent="0.3">
      <c r="H1270" s="17" t="e">
        <v>#VALUE!</v>
      </c>
      <c r="I1270" s="15" t="s">
        <v>146</v>
      </c>
    </row>
    <row r="1271" spans="1:13" x14ac:dyDescent="0.3">
      <c r="H1271" s="13"/>
      <c r="I1271" s="16" t="e">
        <f>_xll.PTreeNodeValue(treeCalc_1!$F$2,635)</f>
        <v>#VALUE!</v>
      </c>
    </row>
    <row r="1272" spans="1:13" x14ac:dyDescent="0.3">
      <c r="I1272" s="17" t="e">
        <v>#VALUE!</v>
      </c>
      <c r="J1272" s="15" t="s">
        <v>133</v>
      </c>
    </row>
    <row r="1273" spans="1:13" x14ac:dyDescent="0.3">
      <c r="I1273" s="13"/>
      <c r="J1273" s="16" t="e">
        <f>_xll.PTreeNodeValue(treeCalc_1!$F$2,636)</f>
        <v>#VALUE!</v>
      </c>
    </row>
    <row r="1274" spans="1:13" x14ac:dyDescent="0.3">
      <c r="J1274" s="17" t="e">
        <v>#VALUE!</v>
      </c>
      <c r="K1274" s="15" t="s">
        <v>132</v>
      </c>
    </row>
    <row r="1275" spans="1:13" x14ac:dyDescent="0.3">
      <c r="J1275" s="13"/>
      <c r="K1275" s="16" t="e">
        <f>_xll.PTreeNodeValue(treeCalc_1!$F$2,637)</f>
        <v>#VALUE!</v>
      </c>
    </row>
    <row r="1276" spans="1:13" x14ac:dyDescent="0.3">
      <c r="K1276" s="17" t="e">
        <v>#VALUE!</v>
      </c>
      <c r="L1276" s="15" t="s">
        <v>134</v>
      </c>
    </row>
    <row r="1277" spans="1:13" x14ac:dyDescent="0.3">
      <c r="K1277" s="13"/>
      <c r="L1277" s="16" t="e">
        <f>_xll.PTreeNodeValue(treeCalc_1!$F$2,638)</f>
        <v>#VALUE!</v>
      </c>
    </row>
    <row r="1278" spans="1:13" x14ac:dyDescent="0.3">
      <c r="L1278" s="17" t="e">
        <v>#VALUE!</v>
      </c>
      <c r="M1278" s="19" t="e">
        <f>_xll.PTreeNodeProbability(treeCalc_1!$F$2,639)</f>
        <v>#VALUE!</v>
      </c>
    </row>
    <row r="1279" spans="1:13" x14ac:dyDescent="0.3">
      <c r="L1279" s="13"/>
      <c r="M1279" s="18" t="e">
        <f>_xll.PTreeNodeValue(treeCalc_1!$F$2,639)</f>
        <v>#VALUE!</v>
      </c>
    </row>
    <row r="1280" spans="1:13" x14ac:dyDescent="0.3">
      <c r="A1280" s="13"/>
      <c r="B1280" s="11" t="s">
        <v>142</v>
      </c>
    </row>
    <row r="1281" spans="1:13" x14ac:dyDescent="0.3">
      <c r="A1281" s="13"/>
      <c r="B1281" s="12" t="e">
        <f>_xll.PTreeNodeValue(treeCalc_1!$F$2,640)</f>
        <v>#VALUE!</v>
      </c>
    </row>
    <row r="1282" spans="1:13" x14ac:dyDescent="0.3">
      <c r="I1282" s="17" t="e">
        <v>#VALUE!</v>
      </c>
      <c r="J1282" s="15" t="s">
        <v>133</v>
      </c>
    </row>
    <row r="1283" spans="1:13" x14ac:dyDescent="0.3">
      <c r="I1283" s="13"/>
      <c r="J1283" s="16" t="e">
        <f>_xll.PTreeNodeValue(treeCalc_1!$F$2,641)</f>
        <v>#VALUE!</v>
      </c>
    </row>
    <row r="1284" spans="1:13" x14ac:dyDescent="0.3">
      <c r="J1284" s="17" t="e">
        <v>#VALUE!</v>
      </c>
      <c r="K1284" s="15" t="s">
        <v>132</v>
      </c>
    </row>
    <row r="1285" spans="1:13" x14ac:dyDescent="0.3">
      <c r="J1285" s="13"/>
      <c r="K1285" s="16" t="e">
        <f>_xll.PTreeNodeValue(treeCalc_1!$F$2,642)</f>
        <v>#VALUE!</v>
      </c>
    </row>
    <row r="1286" spans="1:13" x14ac:dyDescent="0.3">
      <c r="K1286" s="17" t="e">
        <v>#VALUE!</v>
      </c>
      <c r="L1286" s="15" t="s">
        <v>134</v>
      </c>
    </row>
    <row r="1287" spans="1:13" x14ac:dyDescent="0.3">
      <c r="K1287" s="13"/>
      <c r="L1287" s="16" t="e">
        <f>_xll.PTreeNodeValue(treeCalc_1!$F$2,643)</f>
        <v>#VALUE!</v>
      </c>
    </row>
    <row r="1288" spans="1:13" x14ac:dyDescent="0.3">
      <c r="L1288" s="17" t="e">
        <v>#VALUE!</v>
      </c>
      <c r="M1288" s="19" t="e">
        <f>_xll.PTreeNodeProbability(treeCalc_1!$F$2,644)</f>
        <v>#VALUE!</v>
      </c>
    </row>
    <row r="1289" spans="1:13" x14ac:dyDescent="0.3">
      <c r="L1289" s="13"/>
      <c r="M1289" s="18" t="e">
        <f>_xll.PTreeNodeValue(treeCalc_1!$F$2,644)</f>
        <v>#VALUE!</v>
      </c>
    </row>
    <row r="1290" spans="1:13" x14ac:dyDescent="0.3">
      <c r="H1290" s="17" t="e">
        <v>#VALUE!</v>
      </c>
      <c r="I1290" s="15" t="s">
        <v>146</v>
      </c>
    </row>
    <row r="1291" spans="1:13" x14ac:dyDescent="0.3">
      <c r="H1291" s="13"/>
      <c r="I1291" s="16" t="e">
        <f>_xll.PTreeNodeValue(treeCalc_1!$F$2,645)</f>
        <v>#VALUE!</v>
      </c>
    </row>
    <row r="1292" spans="1:13" x14ac:dyDescent="0.3">
      <c r="I1292" s="17" t="e">
        <v>#VALUE!</v>
      </c>
      <c r="J1292" s="15" t="s">
        <v>133</v>
      </c>
    </row>
    <row r="1293" spans="1:13" x14ac:dyDescent="0.3">
      <c r="I1293" s="13"/>
      <c r="J1293" s="16" t="e">
        <f>_xll.PTreeNodeValue(treeCalc_1!$F$2,646)</f>
        <v>#VALUE!</v>
      </c>
    </row>
    <row r="1294" spans="1:13" x14ac:dyDescent="0.3">
      <c r="J1294" s="17" t="e">
        <v>#VALUE!</v>
      </c>
      <c r="K1294" s="15" t="s">
        <v>132</v>
      </c>
    </row>
    <row r="1295" spans="1:13" x14ac:dyDescent="0.3">
      <c r="J1295" s="13"/>
      <c r="K1295" s="16" t="e">
        <f>_xll.PTreeNodeValue(treeCalc_1!$F$2,647)</f>
        <v>#VALUE!</v>
      </c>
    </row>
    <row r="1296" spans="1:13" x14ac:dyDescent="0.3">
      <c r="K1296" s="17" t="e">
        <v>#VALUE!</v>
      </c>
      <c r="L1296" s="15" t="s">
        <v>134</v>
      </c>
    </row>
    <row r="1297" spans="7:13" x14ac:dyDescent="0.3">
      <c r="K1297" s="13"/>
      <c r="L1297" s="16" t="e">
        <f>_xll.PTreeNodeValue(treeCalc_1!$F$2,648)</f>
        <v>#VALUE!</v>
      </c>
    </row>
    <row r="1298" spans="7:13" x14ac:dyDescent="0.3">
      <c r="L1298" s="17" t="e">
        <v>#VALUE!</v>
      </c>
      <c r="M1298" s="19" t="e">
        <f>_xll.PTreeNodeProbability(treeCalc_1!$F$2,649)</f>
        <v>#VALUE!</v>
      </c>
    </row>
    <row r="1299" spans="7:13" x14ac:dyDescent="0.3">
      <c r="L1299" s="13"/>
      <c r="M1299" s="18" t="e">
        <f>_xll.PTreeNodeValue(treeCalc_1!$F$2,649)</f>
        <v>#VALUE!</v>
      </c>
    </row>
    <row r="1300" spans="7:13" x14ac:dyDescent="0.3">
      <c r="G1300" s="17" t="e">
        <v>#VALUE!</v>
      </c>
      <c r="H1300" s="15" t="s">
        <v>145</v>
      </c>
    </row>
    <row r="1301" spans="7:13" x14ac:dyDescent="0.3">
      <c r="G1301" s="13"/>
      <c r="H1301" s="16" t="e">
        <f>_xll.PTreeNodeValue(treeCalc_1!$F$2,650)</f>
        <v>#VALUE!</v>
      </c>
    </row>
    <row r="1302" spans="7:13" x14ac:dyDescent="0.3">
      <c r="I1302" s="17" t="e">
        <v>#VALUE!</v>
      </c>
      <c r="J1302" s="15" t="s">
        <v>133</v>
      </c>
    </row>
    <row r="1303" spans="7:13" x14ac:dyDescent="0.3">
      <c r="I1303" s="13"/>
      <c r="J1303" s="16" t="e">
        <f>_xll.PTreeNodeValue(treeCalc_1!$F$2,651)</f>
        <v>#VALUE!</v>
      </c>
    </row>
    <row r="1304" spans="7:13" x14ac:dyDescent="0.3">
      <c r="J1304" s="17" t="e">
        <v>#VALUE!</v>
      </c>
      <c r="K1304" s="15" t="s">
        <v>132</v>
      </c>
    </row>
    <row r="1305" spans="7:13" x14ac:dyDescent="0.3">
      <c r="J1305" s="13"/>
      <c r="K1305" s="16" t="e">
        <f>_xll.PTreeNodeValue(treeCalc_1!$F$2,652)</f>
        <v>#VALUE!</v>
      </c>
    </row>
    <row r="1306" spans="7:13" x14ac:dyDescent="0.3">
      <c r="K1306" s="17" t="e">
        <v>#VALUE!</v>
      </c>
      <c r="L1306" s="15" t="s">
        <v>134</v>
      </c>
    </row>
    <row r="1307" spans="7:13" x14ac:dyDescent="0.3">
      <c r="K1307" s="13"/>
      <c r="L1307" s="16" t="e">
        <f>_xll.PTreeNodeValue(treeCalc_1!$F$2,653)</f>
        <v>#VALUE!</v>
      </c>
    </row>
    <row r="1308" spans="7:13" x14ac:dyDescent="0.3">
      <c r="L1308" s="17" t="e">
        <v>#VALUE!</v>
      </c>
      <c r="M1308" s="19" t="e">
        <f>_xll.PTreeNodeProbability(treeCalc_1!$F$2,654)</f>
        <v>#VALUE!</v>
      </c>
    </row>
    <row r="1309" spans="7:13" x14ac:dyDescent="0.3">
      <c r="L1309" s="13"/>
      <c r="M1309" s="18" t="e">
        <f>_xll.PTreeNodeValue(treeCalc_1!$F$2,654)</f>
        <v>#VALUE!</v>
      </c>
    </row>
    <row r="1310" spans="7:13" x14ac:dyDescent="0.3">
      <c r="H1310" s="17" t="e">
        <v>#VALUE!</v>
      </c>
      <c r="I1310" s="15" t="s">
        <v>146</v>
      </c>
    </row>
    <row r="1311" spans="7:13" x14ac:dyDescent="0.3">
      <c r="H1311" s="13"/>
      <c r="I1311" s="16" t="e">
        <f>_xll.PTreeNodeValue(treeCalc_1!$F$2,655)</f>
        <v>#VALUE!</v>
      </c>
    </row>
    <row r="1312" spans="7:13" x14ac:dyDescent="0.3">
      <c r="I1312" s="17" t="e">
        <v>#VALUE!</v>
      </c>
      <c r="J1312" s="15" t="s">
        <v>133</v>
      </c>
    </row>
    <row r="1313" spans="6:13" x14ac:dyDescent="0.3">
      <c r="I1313" s="13"/>
      <c r="J1313" s="16" t="e">
        <f>_xll.PTreeNodeValue(treeCalc_1!$F$2,656)</f>
        <v>#VALUE!</v>
      </c>
    </row>
    <row r="1314" spans="6:13" x14ac:dyDescent="0.3">
      <c r="J1314" s="17" t="e">
        <v>#VALUE!</v>
      </c>
      <c r="K1314" s="15" t="s">
        <v>132</v>
      </c>
    </row>
    <row r="1315" spans="6:13" x14ac:dyDescent="0.3">
      <c r="J1315" s="13"/>
      <c r="K1315" s="16" t="e">
        <f>_xll.PTreeNodeValue(treeCalc_1!$F$2,657)</f>
        <v>#VALUE!</v>
      </c>
    </row>
    <row r="1316" spans="6:13" x14ac:dyDescent="0.3">
      <c r="K1316" s="17" t="e">
        <v>#VALUE!</v>
      </c>
      <c r="L1316" s="15" t="s">
        <v>134</v>
      </c>
    </row>
    <row r="1317" spans="6:13" x14ac:dyDescent="0.3">
      <c r="K1317" s="13"/>
      <c r="L1317" s="16" t="e">
        <f>_xll.PTreeNodeValue(treeCalc_1!$F$2,658)</f>
        <v>#VALUE!</v>
      </c>
    </row>
    <row r="1318" spans="6:13" x14ac:dyDescent="0.3">
      <c r="L1318" s="17" t="e">
        <v>#VALUE!</v>
      </c>
      <c r="M1318" s="19" t="e">
        <f>_xll.PTreeNodeProbability(treeCalc_1!$F$2,659)</f>
        <v>#VALUE!</v>
      </c>
    </row>
    <row r="1319" spans="6:13" x14ac:dyDescent="0.3">
      <c r="L1319" s="13"/>
      <c r="M1319" s="18" t="e">
        <f>_xll.PTreeNodeValue(treeCalc_1!$F$2,659)</f>
        <v>#VALUE!</v>
      </c>
    </row>
    <row r="1320" spans="6:13" x14ac:dyDescent="0.3">
      <c r="F1320" s="17" t="e">
        <v>#VALUE!</v>
      </c>
      <c r="G1320" s="15" t="s">
        <v>144</v>
      </c>
    </row>
    <row r="1321" spans="6:13" x14ac:dyDescent="0.3">
      <c r="F1321" s="13"/>
      <c r="G1321" s="16" t="e">
        <f>_xll.PTreeNodeValue(treeCalc_1!$F$2,660)</f>
        <v>#VALUE!</v>
      </c>
    </row>
    <row r="1322" spans="6:13" x14ac:dyDescent="0.3">
      <c r="I1322" s="17" t="e">
        <v>#VALUE!</v>
      </c>
      <c r="J1322" s="15" t="s">
        <v>133</v>
      </c>
    </row>
    <row r="1323" spans="6:13" x14ac:dyDescent="0.3">
      <c r="I1323" s="13"/>
      <c r="J1323" s="16" t="e">
        <f>_xll.PTreeNodeValue(treeCalc_1!$F$2,661)</f>
        <v>#VALUE!</v>
      </c>
    </row>
    <row r="1324" spans="6:13" x14ac:dyDescent="0.3">
      <c r="J1324" s="17" t="e">
        <v>#VALUE!</v>
      </c>
      <c r="K1324" s="15" t="s">
        <v>132</v>
      </c>
    </row>
    <row r="1325" spans="6:13" x14ac:dyDescent="0.3">
      <c r="J1325" s="13"/>
      <c r="K1325" s="16" t="e">
        <f>_xll.PTreeNodeValue(treeCalc_1!$F$2,662)</f>
        <v>#VALUE!</v>
      </c>
    </row>
    <row r="1326" spans="6:13" x14ac:dyDescent="0.3">
      <c r="K1326" s="17" t="e">
        <v>#VALUE!</v>
      </c>
      <c r="L1326" s="15" t="s">
        <v>134</v>
      </c>
    </row>
    <row r="1327" spans="6:13" x14ac:dyDescent="0.3">
      <c r="K1327" s="13"/>
      <c r="L1327" s="16" t="e">
        <f>_xll.PTreeNodeValue(treeCalc_1!$F$2,663)</f>
        <v>#VALUE!</v>
      </c>
    </row>
    <row r="1328" spans="6:13" x14ac:dyDescent="0.3">
      <c r="L1328" s="17" t="e">
        <v>#VALUE!</v>
      </c>
      <c r="M1328" s="19" t="e">
        <f>_xll.PTreeNodeProbability(treeCalc_1!$F$2,664)</f>
        <v>#VALUE!</v>
      </c>
    </row>
    <row r="1329" spans="7:13" x14ac:dyDescent="0.3">
      <c r="L1329" s="13"/>
      <c r="M1329" s="18" t="e">
        <f>_xll.PTreeNodeValue(treeCalc_1!$F$2,664)</f>
        <v>#VALUE!</v>
      </c>
    </row>
    <row r="1330" spans="7:13" x14ac:dyDescent="0.3">
      <c r="H1330" s="17" t="e">
        <v>#VALUE!</v>
      </c>
      <c r="I1330" s="15" t="s">
        <v>146</v>
      </c>
    </row>
    <row r="1331" spans="7:13" x14ac:dyDescent="0.3">
      <c r="H1331" s="13"/>
      <c r="I1331" s="16" t="e">
        <f>_xll.PTreeNodeValue(treeCalc_1!$F$2,665)</f>
        <v>#VALUE!</v>
      </c>
    </row>
    <row r="1332" spans="7:13" x14ac:dyDescent="0.3">
      <c r="I1332" s="17" t="e">
        <v>#VALUE!</v>
      </c>
      <c r="J1332" s="15" t="s">
        <v>133</v>
      </c>
    </row>
    <row r="1333" spans="7:13" x14ac:dyDescent="0.3">
      <c r="I1333" s="13"/>
      <c r="J1333" s="16" t="e">
        <f>_xll.PTreeNodeValue(treeCalc_1!$F$2,666)</f>
        <v>#VALUE!</v>
      </c>
    </row>
    <row r="1334" spans="7:13" x14ac:dyDescent="0.3">
      <c r="J1334" s="17" t="e">
        <v>#VALUE!</v>
      </c>
      <c r="K1334" s="15" t="s">
        <v>132</v>
      </c>
    </row>
    <row r="1335" spans="7:13" x14ac:dyDescent="0.3">
      <c r="J1335" s="13"/>
      <c r="K1335" s="16" t="e">
        <f>_xll.PTreeNodeValue(treeCalc_1!$F$2,667)</f>
        <v>#VALUE!</v>
      </c>
    </row>
    <row r="1336" spans="7:13" x14ac:dyDescent="0.3">
      <c r="K1336" s="17" t="e">
        <v>#VALUE!</v>
      </c>
      <c r="L1336" s="15" t="s">
        <v>134</v>
      </c>
    </row>
    <row r="1337" spans="7:13" x14ac:dyDescent="0.3">
      <c r="K1337" s="13"/>
      <c r="L1337" s="16" t="e">
        <f>_xll.PTreeNodeValue(treeCalc_1!$F$2,668)</f>
        <v>#VALUE!</v>
      </c>
    </row>
    <row r="1338" spans="7:13" x14ac:dyDescent="0.3">
      <c r="L1338" s="17" t="e">
        <v>#VALUE!</v>
      </c>
      <c r="M1338" s="19" t="e">
        <f>_xll.PTreeNodeProbability(treeCalc_1!$F$2,669)</f>
        <v>#VALUE!</v>
      </c>
    </row>
    <row r="1339" spans="7:13" x14ac:dyDescent="0.3">
      <c r="L1339" s="13"/>
      <c r="M1339" s="18" t="e">
        <f>_xll.PTreeNodeValue(treeCalc_1!$F$2,669)</f>
        <v>#VALUE!</v>
      </c>
    </row>
    <row r="1340" spans="7:13" x14ac:dyDescent="0.3">
      <c r="G1340" s="17" t="e">
        <v>#VALUE!</v>
      </c>
      <c r="H1340" s="15" t="s">
        <v>145</v>
      </c>
    </row>
    <row r="1341" spans="7:13" x14ac:dyDescent="0.3">
      <c r="G1341" s="13"/>
      <c r="H1341" s="16" t="e">
        <f>_xll.PTreeNodeValue(treeCalc_1!$F$2,670)</f>
        <v>#VALUE!</v>
      </c>
    </row>
    <row r="1342" spans="7:13" x14ac:dyDescent="0.3">
      <c r="I1342" s="17" t="e">
        <v>#VALUE!</v>
      </c>
      <c r="J1342" s="15" t="s">
        <v>133</v>
      </c>
    </row>
    <row r="1343" spans="7:13" x14ac:dyDescent="0.3">
      <c r="I1343" s="13"/>
      <c r="J1343" s="16" t="e">
        <f>_xll.PTreeNodeValue(treeCalc_1!$F$2,671)</f>
        <v>#VALUE!</v>
      </c>
    </row>
    <row r="1344" spans="7:13" x14ac:dyDescent="0.3">
      <c r="J1344" s="17" t="e">
        <v>#VALUE!</v>
      </c>
      <c r="K1344" s="15" t="s">
        <v>132</v>
      </c>
    </row>
    <row r="1345" spans="5:13" x14ac:dyDescent="0.3">
      <c r="J1345" s="13"/>
      <c r="K1345" s="16" t="e">
        <f>_xll.PTreeNodeValue(treeCalc_1!$F$2,672)</f>
        <v>#VALUE!</v>
      </c>
    </row>
    <row r="1346" spans="5:13" x14ac:dyDescent="0.3">
      <c r="K1346" s="17" t="e">
        <v>#VALUE!</v>
      </c>
      <c r="L1346" s="15" t="s">
        <v>134</v>
      </c>
    </row>
    <row r="1347" spans="5:13" x14ac:dyDescent="0.3">
      <c r="K1347" s="13"/>
      <c r="L1347" s="16" t="e">
        <f>_xll.PTreeNodeValue(treeCalc_1!$F$2,673)</f>
        <v>#VALUE!</v>
      </c>
    </row>
    <row r="1348" spans="5:13" x14ac:dyDescent="0.3">
      <c r="L1348" s="17" t="e">
        <v>#VALUE!</v>
      </c>
      <c r="M1348" s="19" t="e">
        <f>_xll.PTreeNodeProbability(treeCalc_1!$F$2,674)</f>
        <v>#VALUE!</v>
      </c>
    </row>
    <row r="1349" spans="5:13" x14ac:dyDescent="0.3">
      <c r="L1349" s="13"/>
      <c r="M1349" s="18" t="e">
        <f>_xll.PTreeNodeValue(treeCalc_1!$F$2,674)</f>
        <v>#VALUE!</v>
      </c>
    </row>
    <row r="1350" spans="5:13" x14ac:dyDescent="0.3">
      <c r="H1350" s="17" t="e">
        <v>#VALUE!</v>
      </c>
      <c r="I1350" s="15" t="s">
        <v>146</v>
      </c>
    </row>
    <row r="1351" spans="5:13" x14ac:dyDescent="0.3">
      <c r="H1351" s="13"/>
      <c r="I1351" s="16" t="e">
        <f>_xll.PTreeNodeValue(treeCalc_1!$F$2,675)</f>
        <v>#VALUE!</v>
      </c>
    </row>
    <row r="1352" spans="5:13" x14ac:dyDescent="0.3">
      <c r="I1352" s="17" t="e">
        <v>#VALUE!</v>
      </c>
      <c r="J1352" s="15" t="s">
        <v>133</v>
      </c>
    </row>
    <row r="1353" spans="5:13" x14ac:dyDescent="0.3">
      <c r="I1353" s="13"/>
      <c r="J1353" s="16" t="e">
        <f>_xll.PTreeNodeValue(treeCalc_1!$F$2,676)</f>
        <v>#VALUE!</v>
      </c>
    </row>
    <row r="1354" spans="5:13" x14ac:dyDescent="0.3">
      <c r="J1354" s="17" t="e">
        <v>#VALUE!</v>
      </c>
      <c r="K1354" s="15" t="s">
        <v>132</v>
      </c>
    </row>
    <row r="1355" spans="5:13" x14ac:dyDescent="0.3">
      <c r="J1355" s="13"/>
      <c r="K1355" s="16" t="e">
        <f>_xll.PTreeNodeValue(treeCalc_1!$F$2,677)</f>
        <v>#VALUE!</v>
      </c>
    </row>
    <row r="1356" spans="5:13" x14ac:dyDescent="0.3">
      <c r="K1356" s="17" t="e">
        <v>#VALUE!</v>
      </c>
      <c r="L1356" s="15" t="s">
        <v>134</v>
      </c>
    </row>
    <row r="1357" spans="5:13" x14ac:dyDescent="0.3">
      <c r="K1357" s="13"/>
      <c r="L1357" s="16" t="e">
        <f>_xll.PTreeNodeValue(treeCalc_1!$F$2,678)</f>
        <v>#VALUE!</v>
      </c>
    </row>
    <row r="1358" spans="5:13" x14ac:dyDescent="0.3">
      <c r="L1358" s="17" t="e">
        <v>#VALUE!</v>
      </c>
      <c r="M1358" s="19" t="e">
        <f>_xll.PTreeNodeProbability(treeCalc_1!$F$2,679)</f>
        <v>#VALUE!</v>
      </c>
    </row>
    <row r="1359" spans="5:13" x14ac:dyDescent="0.3">
      <c r="L1359" s="13"/>
      <c r="M1359" s="18" t="e">
        <f>_xll.PTreeNodeValue(treeCalc_1!$F$2,679)</f>
        <v>#VALUE!</v>
      </c>
    </row>
    <row r="1360" spans="5:13" x14ac:dyDescent="0.3">
      <c r="E1360" s="17" t="e">
        <v>#VALUE!</v>
      </c>
      <c r="F1360" s="15" t="s">
        <v>141</v>
      </c>
    </row>
    <row r="1361" spans="5:13" x14ac:dyDescent="0.3">
      <c r="E1361" s="13"/>
      <c r="F1361" s="16" t="e">
        <f>_xll.PTreeNodeValue(treeCalc_1!$F$2,680)</f>
        <v>#VALUE!</v>
      </c>
    </row>
    <row r="1362" spans="5:13" x14ac:dyDescent="0.3">
      <c r="I1362" s="17" t="e">
        <v>#VALUE!</v>
      </c>
      <c r="J1362" s="15" t="s">
        <v>133</v>
      </c>
    </row>
    <row r="1363" spans="5:13" x14ac:dyDescent="0.3">
      <c r="I1363" s="13"/>
      <c r="J1363" s="16" t="e">
        <f>_xll.PTreeNodeValue(treeCalc_1!$F$2,681)</f>
        <v>#VALUE!</v>
      </c>
    </row>
    <row r="1364" spans="5:13" x14ac:dyDescent="0.3">
      <c r="J1364" s="17" t="e">
        <v>#VALUE!</v>
      </c>
      <c r="K1364" s="15" t="s">
        <v>132</v>
      </c>
    </row>
    <row r="1365" spans="5:13" x14ac:dyDescent="0.3">
      <c r="J1365" s="13"/>
      <c r="K1365" s="16" t="e">
        <f>_xll.PTreeNodeValue(treeCalc_1!$F$2,682)</f>
        <v>#VALUE!</v>
      </c>
    </row>
    <row r="1366" spans="5:13" x14ac:dyDescent="0.3">
      <c r="K1366" s="17" t="e">
        <v>#VALUE!</v>
      </c>
      <c r="L1366" s="15" t="s">
        <v>134</v>
      </c>
    </row>
    <row r="1367" spans="5:13" x14ac:dyDescent="0.3">
      <c r="K1367" s="13"/>
      <c r="L1367" s="16" t="e">
        <f>_xll.PTreeNodeValue(treeCalc_1!$F$2,683)</f>
        <v>#VALUE!</v>
      </c>
    </row>
    <row r="1368" spans="5:13" x14ac:dyDescent="0.3">
      <c r="L1368" s="17" t="e">
        <v>#VALUE!</v>
      </c>
      <c r="M1368" s="19" t="e">
        <f>_xll.PTreeNodeProbability(treeCalc_1!$F$2,684)</f>
        <v>#VALUE!</v>
      </c>
    </row>
    <row r="1369" spans="5:13" x14ac:dyDescent="0.3">
      <c r="L1369" s="13"/>
      <c r="M1369" s="18" t="e">
        <f>_xll.PTreeNodeValue(treeCalc_1!$F$2,684)</f>
        <v>#VALUE!</v>
      </c>
    </row>
    <row r="1370" spans="5:13" x14ac:dyDescent="0.3">
      <c r="H1370" s="17" t="e">
        <v>#VALUE!</v>
      </c>
      <c r="I1370" s="15" t="s">
        <v>146</v>
      </c>
    </row>
    <row r="1371" spans="5:13" x14ac:dyDescent="0.3">
      <c r="H1371" s="13"/>
      <c r="I1371" s="16" t="e">
        <f>_xll.PTreeNodeValue(treeCalc_1!$F$2,685)</f>
        <v>#VALUE!</v>
      </c>
    </row>
    <row r="1372" spans="5:13" x14ac:dyDescent="0.3">
      <c r="I1372" s="17" t="e">
        <v>#VALUE!</v>
      </c>
      <c r="J1372" s="15" t="s">
        <v>133</v>
      </c>
    </row>
    <row r="1373" spans="5:13" x14ac:dyDescent="0.3">
      <c r="I1373" s="13"/>
      <c r="J1373" s="16" t="e">
        <f>_xll.PTreeNodeValue(treeCalc_1!$F$2,686)</f>
        <v>#VALUE!</v>
      </c>
    </row>
    <row r="1374" spans="5:13" x14ac:dyDescent="0.3">
      <c r="J1374" s="17" t="e">
        <v>#VALUE!</v>
      </c>
      <c r="K1374" s="15" t="s">
        <v>132</v>
      </c>
    </row>
    <row r="1375" spans="5:13" x14ac:dyDescent="0.3">
      <c r="J1375" s="13"/>
      <c r="K1375" s="16" t="e">
        <f>_xll.PTreeNodeValue(treeCalc_1!$F$2,687)</f>
        <v>#VALUE!</v>
      </c>
    </row>
    <row r="1376" spans="5:13" x14ac:dyDescent="0.3">
      <c r="K1376" s="17" t="e">
        <v>#VALUE!</v>
      </c>
      <c r="L1376" s="15" t="s">
        <v>134</v>
      </c>
    </row>
    <row r="1377" spans="7:13" x14ac:dyDescent="0.3">
      <c r="K1377" s="13"/>
      <c r="L1377" s="16" t="e">
        <f>_xll.PTreeNodeValue(treeCalc_1!$F$2,688)</f>
        <v>#VALUE!</v>
      </c>
    </row>
    <row r="1378" spans="7:13" x14ac:dyDescent="0.3">
      <c r="L1378" s="17" t="e">
        <v>#VALUE!</v>
      </c>
      <c r="M1378" s="19" t="e">
        <f>_xll.PTreeNodeProbability(treeCalc_1!$F$2,689)</f>
        <v>#VALUE!</v>
      </c>
    </row>
    <row r="1379" spans="7:13" x14ac:dyDescent="0.3">
      <c r="L1379" s="13"/>
      <c r="M1379" s="18" t="e">
        <f>_xll.PTreeNodeValue(treeCalc_1!$F$2,689)</f>
        <v>#VALUE!</v>
      </c>
    </row>
    <row r="1380" spans="7:13" x14ac:dyDescent="0.3">
      <c r="G1380" s="17" t="e">
        <v>#VALUE!</v>
      </c>
      <c r="H1380" s="15" t="s">
        <v>145</v>
      </c>
    </row>
    <row r="1381" spans="7:13" x14ac:dyDescent="0.3">
      <c r="G1381" s="13"/>
      <c r="H1381" s="16" t="e">
        <f>_xll.PTreeNodeValue(treeCalc_1!$F$2,690)</f>
        <v>#VALUE!</v>
      </c>
    </row>
    <row r="1382" spans="7:13" x14ac:dyDescent="0.3">
      <c r="I1382" s="17" t="e">
        <v>#VALUE!</v>
      </c>
      <c r="J1382" s="15" t="s">
        <v>133</v>
      </c>
    </row>
    <row r="1383" spans="7:13" x14ac:dyDescent="0.3">
      <c r="I1383" s="13"/>
      <c r="J1383" s="16" t="e">
        <f>_xll.PTreeNodeValue(treeCalc_1!$F$2,691)</f>
        <v>#VALUE!</v>
      </c>
    </row>
    <row r="1384" spans="7:13" x14ac:dyDescent="0.3">
      <c r="J1384" s="17" t="e">
        <v>#VALUE!</v>
      </c>
      <c r="K1384" s="15" t="s">
        <v>132</v>
      </c>
    </row>
    <row r="1385" spans="7:13" x14ac:dyDescent="0.3">
      <c r="J1385" s="13"/>
      <c r="K1385" s="16" t="e">
        <f>_xll.PTreeNodeValue(treeCalc_1!$F$2,692)</f>
        <v>#VALUE!</v>
      </c>
    </row>
    <row r="1386" spans="7:13" x14ac:dyDescent="0.3">
      <c r="K1386" s="17" t="e">
        <v>#VALUE!</v>
      </c>
      <c r="L1386" s="15" t="s">
        <v>134</v>
      </c>
    </row>
    <row r="1387" spans="7:13" x14ac:dyDescent="0.3">
      <c r="K1387" s="13"/>
      <c r="L1387" s="16" t="e">
        <f>_xll.PTreeNodeValue(treeCalc_1!$F$2,693)</f>
        <v>#VALUE!</v>
      </c>
    </row>
    <row r="1388" spans="7:13" x14ac:dyDescent="0.3">
      <c r="L1388" s="17" t="e">
        <v>#VALUE!</v>
      </c>
      <c r="M1388" s="19" t="e">
        <f>_xll.PTreeNodeProbability(treeCalc_1!$F$2,694)</f>
        <v>#VALUE!</v>
      </c>
    </row>
    <row r="1389" spans="7:13" x14ac:dyDescent="0.3">
      <c r="L1389" s="13"/>
      <c r="M1389" s="18" t="e">
        <f>_xll.PTreeNodeValue(treeCalc_1!$F$2,694)</f>
        <v>#VALUE!</v>
      </c>
    </row>
    <row r="1390" spans="7:13" x14ac:dyDescent="0.3">
      <c r="H1390" s="17" t="e">
        <v>#VALUE!</v>
      </c>
      <c r="I1390" s="15" t="s">
        <v>146</v>
      </c>
    </row>
    <row r="1391" spans="7:13" x14ac:dyDescent="0.3">
      <c r="H1391" s="13"/>
      <c r="I1391" s="16" t="e">
        <f>_xll.PTreeNodeValue(treeCalc_1!$F$2,695)</f>
        <v>#VALUE!</v>
      </c>
    </row>
    <row r="1392" spans="7:13" x14ac:dyDescent="0.3">
      <c r="I1392" s="17" t="e">
        <v>#VALUE!</v>
      </c>
      <c r="J1392" s="15" t="s">
        <v>133</v>
      </c>
    </row>
    <row r="1393" spans="6:13" x14ac:dyDescent="0.3">
      <c r="I1393" s="13"/>
      <c r="J1393" s="16" t="e">
        <f>_xll.PTreeNodeValue(treeCalc_1!$F$2,696)</f>
        <v>#VALUE!</v>
      </c>
    </row>
    <row r="1394" spans="6:13" x14ac:dyDescent="0.3">
      <c r="J1394" s="17" t="e">
        <v>#VALUE!</v>
      </c>
      <c r="K1394" s="15" t="s">
        <v>132</v>
      </c>
    </row>
    <row r="1395" spans="6:13" x14ac:dyDescent="0.3">
      <c r="J1395" s="13"/>
      <c r="K1395" s="16" t="e">
        <f>_xll.PTreeNodeValue(treeCalc_1!$F$2,697)</f>
        <v>#VALUE!</v>
      </c>
    </row>
    <row r="1396" spans="6:13" x14ac:dyDescent="0.3">
      <c r="K1396" s="17" t="e">
        <v>#VALUE!</v>
      </c>
      <c r="L1396" s="15" t="s">
        <v>134</v>
      </c>
    </row>
    <row r="1397" spans="6:13" x14ac:dyDescent="0.3">
      <c r="K1397" s="13"/>
      <c r="L1397" s="16" t="e">
        <f>_xll.PTreeNodeValue(treeCalc_1!$F$2,698)</f>
        <v>#VALUE!</v>
      </c>
    </row>
    <row r="1398" spans="6:13" x14ac:dyDescent="0.3">
      <c r="L1398" s="17" t="e">
        <v>#VALUE!</v>
      </c>
      <c r="M1398" s="19" t="e">
        <f>_xll.PTreeNodeProbability(treeCalc_1!$F$2,699)</f>
        <v>#VALUE!</v>
      </c>
    </row>
    <row r="1399" spans="6:13" x14ac:dyDescent="0.3">
      <c r="L1399" s="13"/>
      <c r="M1399" s="18" t="e">
        <f>_xll.PTreeNodeValue(treeCalc_1!$F$2,699)</f>
        <v>#VALUE!</v>
      </c>
    </row>
    <row r="1400" spans="6:13" x14ac:dyDescent="0.3">
      <c r="F1400" s="17" t="e">
        <v>#VALUE!</v>
      </c>
      <c r="G1400" s="15" t="s">
        <v>144</v>
      </c>
    </row>
    <row r="1401" spans="6:13" x14ac:dyDescent="0.3">
      <c r="F1401" s="13"/>
      <c r="G1401" s="16" t="e">
        <f>_xll.PTreeNodeValue(treeCalc_1!$F$2,700)</f>
        <v>#VALUE!</v>
      </c>
    </row>
    <row r="1402" spans="6:13" x14ac:dyDescent="0.3">
      <c r="I1402" s="17" t="e">
        <v>#VALUE!</v>
      </c>
      <c r="J1402" s="15" t="s">
        <v>133</v>
      </c>
    </row>
    <row r="1403" spans="6:13" x14ac:dyDescent="0.3">
      <c r="I1403" s="13"/>
      <c r="J1403" s="16" t="e">
        <f>_xll.PTreeNodeValue(treeCalc_1!$F$2,701)</f>
        <v>#VALUE!</v>
      </c>
    </row>
    <row r="1404" spans="6:13" x14ac:dyDescent="0.3">
      <c r="J1404" s="17" t="e">
        <v>#VALUE!</v>
      </c>
      <c r="K1404" s="15" t="s">
        <v>132</v>
      </c>
    </row>
    <row r="1405" spans="6:13" x14ac:dyDescent="0.3">
      <c r="J1405" s="13"/>
      <c r="K1405" s="16" t="e">
        <f>_xll.PTreeNodeValue(treeCalc_1!$F$2,702)</f>
        <v>#VALUE!</v>
      </c>
    </row>
    <row r="1406" spans="6:13" x14ac:dyDescent="0.3">
      <c r="K1406" s="17" t="e">
        <v>#VALUE!</v>
      </c>
      <c r="L1406" s="15" t="s">
        <v>134</v>
      </c>
    </row>
    <row r="1407" spans="6:13" x14ac:dyDescent="0.3">
      <c r="K1407" s="13"/>
      <c r="L1407" s="16" t="e">
        <f>_xll.PTreeNodeValue(treeCalc_1!$F$2,703)</f>
        <v>#VALUE!</v>
      </c>
    </row>
    <row r="1408" spans="6:13" x14ac:dyDescent="0.3">
      <c r="L1408" s="17" t="e">
        <v>#VALUE!</v>
      </c>
      <c r="M1408" s="19" t="e">
        <f>_xll.PTreeNodeProbability(treeCalc_1!$F$2,704)</f>
        <v>#VALUE!</v>
      </c>
    </row>
    <row r="1409" spans="7:13" x14ac:dyDescent="0.3">
      <c r="L1409" s="13"/>
      <c r="M1409" s="18" t="e">
        <f>_xll.PTreeNodeValue(treeCalc_1!$F$2,704)</f>
        <v>#VALUE!</v>
      </c>
    </row>
    <row r="1410" spans="7:13" x14ac:dyDescent="0.3">
      <c r="H1410" s="17" t="e">
        <v>#VALUE!</v>
      </c>
      <c r="I1410" s="15" t="s">
        <v>146</v>
      </c>
    </row>
    <row r="1411" spans="7:13" x14ac:dyDescent="0.3">
      <c r="H1411" s="13"/>
      <c r="I1411" s="16" t="e">
        <f>_xll.PTreeNodeValue(treeCalc_1!$F$2,705)</f>
        <v>#VALUE!</v>
      </c>
    </row>
    <row r="1412" spans="7:13" x14ac:dyDescent="0.3">
      <c r="I1412" s="17" t="e">
        <v>#VALUE!</v>
      </c>
      <c r="J1412" s="15" t="s">
        <v>133</v>
      </c>
    </row>
    <row r="1413" spans="7:13" x14ac:dyDescent="0.3">
      <c r="I1413" s="13"/>
      <c r="J1413" s="16" t="e">
        <f>_xll.PTreeNodeValue(treeCalc_1!$F$2,706)</f>
        <v>#VALUE!</v>
      </c>
    </row>
    <row r="1414" spans="7:13" x14ac:dyDescent="0.3">
      <c r="J1414" s="17" t="e">
        <v>#VALUE!</v>
      </c>
      <c r="K1414" s="15" t="s">
        <v>132</v>
      </c>
    </row>
    <row r="1415" spans="7:13" x14ac:dyDescent="0.3">
      <c r="J1415" s="13"/>
      <c r="K1415" s="16" t="e">
        <f>_xll.PTreeNodeValue(treeCalc_1!$F$2,707)</f>
        <v>#VALUE!</v>
      </c>
    </row>
    <row r="1416" spans="7:13" x14ac:dyDescent="0.3">
      <c r="K1416" s="17" t="e">
        <v>#VALUE!</v>
      </c>
      <c r="L1416" s="15" t="s">
        <v>134</v>
      </c>
    </row>
    <row r="1417" spans="7:13" x14ac:dyDescent="0.3">
      <c r="K1417" s="13"/>
      <c r="L1417" s="16" t="e">
        <f>_xll.PTreeNodeValue(treeCalc_1!$F$2,708)</f>
        <v>#VALUE!</v>
      </c>
    </row>
    <row r="1418" spans="7:13" x14ac:dyDescent="0.3">
      <c r="L1418" s="17" t="e">
        <v>#VALUE!</v>
      </c>
      <c r="M1418" s="19" t="e">
        <f>_xll.PTreeNodeProbability(treeCalc_1!$F$2,709)</f>
        <v>#VALUE!</v>
      </c>
    </row>
    <row r="1419" spans="7:13" x14ac:dyDescent="0.3">
      <c r="L1419" s="13"/>
      <c r="M1419" s="18" t="e">
        <f>_xll.PTreeNodeValue(treeCalc_1!$F$2,709)</f>
        <v>#VALUE!</v>
      </c>
    </row>
    <row r="1420" spans="7:13" x14ac:dyDescent="0.3">
      <c r="G1420" s="17" t="e">
        <v>#VALUE!</v>
      </c>
      <c r="H1420" s="15" t="s">
        <v>145</v>
      </c>
    </row>
    <row r="1421" spans="7:13" x14ac:dyDescent="0.3">
      <c r="G1421" s="13"/>
      <c r="H1421" s="16" t="e">
        <f>_xll.PTreeNodeValue(treeCalc_1!$F$2,710)</f>
        <v>#VALUE!</v>
      </c>
    </row>
    <row r="1422" spans="7:13" x14ac:dyDescent="0.3">
      <c r="I1422" s="17" t="e">
        <v>#VALUE!</v>
      </c>
      <c r="J1422" s="15" t="s">
        <v>133</v>
      </c>
    </row>
    <row r="1423" spans="7:13" x14ac:dyDescent="0.3">
      <c r="I1423" s="13"/>
      <c r="J1423" s="16" t="e">
        <f>_xll.PTreeNodeValue(treeCalc_1!$F$2,711)</f>
        <v>#VALUE!</v>
      </c>
    </row>
    <row r="1424" spans="7:13" x14ac:dyDescent="0.3">
      <c r="J1424" s="17" t="e">
        <v>#VALUE!</v>
      </c>
      <c r="K1424" s="15" t="s">
        <v>132</v>
      </c>
    </row>
    <row r="1425" spans="4:13" x14ac:dyDescent="0.3">
      <c r="J1425" s="13"/>
      <c r="K1425" s="16" t="e">
        <f>_xll.PTreeNodeValue(treeCalc_1!$F$2,712)</f>
        <v>#VALUE!</v>
      </c>
    </row>
    <row r="1426" spans="4:13" x14ac:dyDescent="0.3">
      <c r="K1426" s="17" t="e">
        <v>#VALUE!</v>
      </c>
      <c r="L1426" s="15" t="s">
        <v>134</v>
      </c>
    </row>
    <row r="1427" spans="4:13" x14ac:dyDescent="0.3">
      <c r="K1427" s="13"/>
      <c r="L1427" s="16" t="e">
        <f>_xll.PTreeNodeValue(treeCalc_1!$F$2,713)</f>
        <v>#VALUE!</v>
      </c>
    </row>
    <row r="1428" spans="4:13" x14ac:dyDescent="0.3">
      <c r="L1428" s="17" t="e">
        <v>#VALUE!</v>
      </c>
      <c r="M1428" s="19" t="e">
        <f>_xll.PTreeNodeProbability(treeCalc_1!$F$2,714)</f>
        <v>#VALUE!</v>
      </c>
    </row>
    <row r="1429" spans="4:13" x14ac:dyDescent="0.3">
      <c r="L1429" s="13"/>
      <c r="M1429" s="18" t="e">
        <f>_xll.PTreeNodeValue(treeCalc_1!$F$2,714)</f>
        <v>#VALUE!</v>
      </c>
    </row>
    <row r="1430" spans="4:13" x14ac:dyDescent="0.3">
      <c r="H1430" s="17" t="e">
        <v>#VALUE!</v>
      </c>
      <c r="I1430" s="15" t="s">
        <v>146</v>
      </c>
    </row>
    <row r="1431" spans="4:13" x14ac:dyDescent="0.3">
      <c r="H1431" s="13"/>
      <c r="I1431" s="16" t="e">
        <f>_xll.PTreeNodeValue(treeCalc_1!$F$2,715)</f>
        <v>#VALUE!</v>
      </c>
    </row>
    <row r="1432" spans="4:13" x14ac:dyDescent="0.3">
      <c r="I1432" s="17" t="e">
        <v>#VALUE!</v>
      </c>
      <c r="J1432" s="15" t="s">
        <v>133</v>
      </c>
    </row>
    <row r="1433" spans="4:13" x14ac:dyDescent="0.3">
      <c r="I1433" s="13"/>
      <c r="J1433" s="16" t="e">
        <f>_xll.PTreeNodeValue(treeCalc_1!$F$2,716)</f>
        <v>#VALUE!</v>
      </c>
    </row>
    <row r="1434" spans="4:13" x14ac:dyDescent="0.3">
      <c r="J1434" s="17" t="e">
        <v>#VALUE!</v>
      </c>
      <c r="K1434" s="15" t="s">
        <v>132</v>
      </c>
    </row>
    <row r="1435" spans="4:13" x14ac:dyDescent="0.3">
      <c r="J1435" s="13"/>
      <c r="K1435" s="16" t="e">
        <f>_xll.PTreeNodeValue(treeCalc_1!$F$2,717)</f>
        <v>#VALUE!</v>
      </c>
    </row>
    <row r="1436" spans="4:13" x14ac:dyDescent="0.3">
      <c r="K1436" s="17" t="e">
        <v>#VALUE!</v>
      </c>
      <c r="L1436" s="15" t="s">
        <v>134</v>
      </c>
    </row>
    <row r="1437" spans="4:13" x14ac:dyDescent="0.3">
      <c r="K1437" s="13"/>
      <c r="L1437" s="16" t="e">
        <f>_xll.PTreeNodeValue(treeCalc_1!$F$2,718)</f>
        <v>#VALUE!</v>
      </c>
    </row>
    <row r="1438" spans="4:13" x14ac:dyDescent="0.3">
      <c r="L1438" s="17" t="e">
        <v>#VALUE!</v>
      </c>
      <c r="M1438" s="19" t="e">
        <f>_xll.PTreeNodeProbability(treeCalc_1!$F$2,719)</f>
        <v>#VALUE!</v>
      </c>
    </row>
    <row r="1439" spans="4:13" x14ac:dyDescent="0.3">
      <c r="L1439" s="13"/>
      <c r="M1439" s="18" t="e">
        <f>_xll.PTreeNodeValue(treeCalc_1!$F$2,719)</f>
        <v>#VALUE!</v>
      </c>
    </row>
    <row r="1440" spans="4:13" x14ac:dyDescent="0.3">
      <c r="D1440" s="14" t="e">
        <f>_xll.PTreeNodeDecision(treeCalc_1!$F$2,720)</f>
        <v>#VALUE!</v>
      </c>
      <c r="E1440" s="15" t="s">
        <v>143</v>
      </c>
    </row>
    <row r="1441" spans="4:13" x14ac:dyDescent="0.3">
      <c r="D1441" s="13"/>
      <c r="E1441" s="16" t="e">
        <f>_xll.PTreeNodeValue(treeCalc_1!$F$2,720)</f>
        <v>#VALUE!</v>
      </c>
    </row>
    <row r="1442" spans="4:13" x14ac:dyDescent="0.3">
      <c r="I1442" s="17" t="e">
        <v>#VALUE!</v>
      </c>
      <c r="J1442" s="15" t="s">
        <v>133</v>
      </c>
    </row>
    <row r="1443" spans="4:13" x14ac:dyDescent="0.3">
      <c r="I1443" s="13"/>
      <c r="J1443" s="16" t="e">
        <f>_xll.PTreeNodeValue(treeCalc_1!$F$2,721)</f>
        <v>#VALUE!</v>
      </c>
    </row>
    <row r="1444" spans="4:13" x14ac:dyDescent="0.3">
      <c r="J1444" s="17" t="e">
        <v>#VALUE!</v>
      </c>
      <c r="K1444" s="15" t="s">
        <v>132</v>
      </c>
    </row>
    <row r="1445" spans="4:13" x14ac:dyDescent="0.3">
      <c r="J1445" s="13"/>
      <c r="K1445" s="16" t="e">
        <f>_xll.PTreeNodeValue(treeCalc_1!$F$2,722)</f>
        <v>#VALUE!</v>
      </c>
    </row>
    <row r="1446" spans="4:13" x14ac:dyDescent="0.3">
      <c r="K1446" s="17" t="e">
        <v>#VALUE!</v>
      </c>
      <c r="L1446" s="15" t="s">
        <v>134</v>
      </c>
    </row>
    <row r="1447" spans="4:13" x14ac:dyDescent="0.3">
      <c r="K1447" s="13"/>
      <c r="L1447" s="16" t="e">
        <f>_xll.PTreeNodeValue(treeCalc_1!$F$2,723)</f>
        <v>#VALUE!</v>
      </c>
    </row>
    <row r="1448" spans="4:13" x14ac:dyDescent="0.3">
      <c r="L1448" s="17" t="e">
        <v>#VALUE!</v>
      </c>
      <c r="M1448" s="19" t="e">
        <f>_xll.PTreeNodeProbability(treeCalc_1!$F$2,724)</f>
        <v>#VALUE!</v>
      </c>
    </row>
    <row r="1449" spans="4:13" x14ac:dyDescent="0.3">
      <c r="L1449" s="13"/>
      <c r="M1449" s="18" t="e">
        <f>_xll.PTreeNodeValue(treeCalc_1!$F$2,724)</f>
        <v>#VALUE!</v>
      </c>
    </row>
    <row r="1450" spans="4:13" x14ac:dyDescent="0.3">
      <c r="H1450" s="17" t="e">
        <v>#VALUE!</v>
      </c>
      <c r="I1450" s="15" t="s">
        <v>146</v>
      </c>
    </row>
    <row r="1451" spans="4:13" x14ac:dyDescent="0.3">
      <c r="H1451" s="13"/>
      <c r="I1451" s="16" t="e">
        <f>_xll.PTreeNodeValue(treeCalc_1!$F$2,725)</f>
        <v>#VALUE!</v>
      </c>
    </row>
    <row r="1452" spans="4:13" x14ac:dyDescent="0.3">
      <c r="I1452" s="17" t="e">
        <v>#VALUE!</v>
      </c>
      <c r="J1452" s="15" t="s">
        <v>133</v>
      </c>
    </row>
    <row r="1453" spans="4:13" x14ac:dyDescent="0.3">
      <c r="I1453" s="13"/>
      <c r="J1453" s="16" t="e">
        <f>_xll.PTreeNodeValue(treeCalc_1!$F$2,726)</f>
        <v>#VALUE!</v>
      </c>
    </row>
    <row r="1454" spans="4:13" x14ac:dyDescent="0.3">
      <c r="J1454" s="17" t="e">
        <v>#VALUE!</v>
      </c>
      <c r="K1454" s="15" t="s">
        <v>132</v>
      </c>
    </row>
    <row r="1455" spans="4:13" x14ac:dyDescent="0.3">
      <c r="J1455" s="13"/>
      <c r="K1455" s="16" t="e">
        <f>_xll.PTreeNodeValue(treeCalc_1!$F$2,727)</f>
        <v>#VALUE!</v>
      </c>
    </row>
    <row r="1456" spans="4:13" x14ac:dyDescent="0.3">
      <c r="K1456" s="17" t="e">
        <v>#VALUE!</v>
      </c>
      <c r="L1456" s="15" t="s">
        <v>134</v>
      </c>
    </row>
    <row r="1457" spans="7:13" x14ac:dyDescent="0.3">
      <c r="K1457" s="13"/>
      <c r="L1457" s="16" t="e">
        <f>_xll.PTreeNodeValue(treeCalc_1!$F$2,728)</f>
        <v>#VALUE!</v>
      </c>
    </row>
    <row r="1458" spans="7:13" x14ac:dyDescent="0.3">
      <c r="L1458" s="17" t="e">
        <v>#VALUE!</v>
      </c>
      <c r="M1458" s="19" t="e">
        <f>_xll.PTreeNodeProbability(treeCalc_1!$F$2,729)</f>
        <v>#VALUE!</v>
      </c>
    </row>
    <row r="1459" spans="7:13" x14ac:dyDescent="0.3">
      <c r="L1459" s="13"/>
      <c r="M1459" s="18" t="e">
        <f>_xll.PTreeNodeValue(treeCalc_1!$F$2,729)</f>
        <v>#VALUE!</v>
      </c>
    </row>
    <row r="1460" spans="7:13" x14ac:dyDescent="0.3">
      <c r="G1460" s="17" t="e">
        <v>#VALUE!</v>
      </c>
      <c r="H1460" s="15" t="s">
        <v>145</v>
      </c>
    </row>
    <row r="1461" spans="7:13" x14ac:dyDescent="0.3">
      <c r="G1461" s="13"/>
      <c r="H1461" s="16" t="e">
        <f>_xll.PTreeNodeValue(treeCalc_1!$F$2,730)</f>
        <v>#VALUE!</v>
      </c>
    </row>
    <row r="1462" spans="7:13" x14ac:dyDescent="0.3">
      <c r="I1462" s="17" t="e">
        <v>#VALUE!</v>
      </c>
      <c r="J1462" s="15" t="s">
        <v>133</v>
      </c>
    </row>
    <row r="1463" spans="7:13" x14ac:dyDescent="0.3">
      <c r="I1463" s="13"/>
      <c r="J1463" s="16" t="e">
        <f>_xll.PTreeNodeValue(treeCalc_1!$F$2,731)</f>
        <v>#VALUE!</v>
      </c>
    </row>
    <row r="1464" spans="7:13" x14ac:dyDescent="0.3">
      <c r="J1464" s="17" t="e">
        <v>#VALUE!</v>
      </c>
      <c r="K1464" s="15" t="s">
        <v>132</v>
      </c>
    </row>
    <row r="1465" spans="7:13" x14ac:dyDescent="0.3">
      <c r="J1465" s="13"/>
      <c r="K1465" s="16" t="e">
        <f>_xll.PTreeNodeValue(treeCalc_1!$F$2,732)</f>
        <v>#VALUE!</v>
      </c>
    </row>
    <row r="1466" spans="7:13" x14ac:dyDescent="0.3">
      <c r="K1466" s="17" t="e">
        <v>#VALUE!</v>
      </c>
      <c r="L1466" s="15" t="s">
        <v>134</v>
      </c>
    </row>
    <row r="1467" spans="7:13" x14ac:dyDescent="0.3">
      <c r="K1467" s="13"/>
      <c r="L1467" s="16" t="e">
        <f>_xll.PTreeNodeValue(treeCalc_1!$F$2,733)</f>
        <v>#VALUE!</v>
      </c>
    </row>
    <row r="1468" spans="7:13" x14ac:dyDescent="0.3">
      <c r="L1468" s="17" t="e">
        <v>#VALUE!</v>
      </c>
      <c r="M1468" s="19" t="e">
        <f>_xll.PTreeNodeProbability(treeCalc_1!$F$2,734)</f>
        <v>#VALUE!</v>
      </c>
    </row>
    <row r="1469" spans="7:13" x14ac:dyDescent="0.3">
      <c r="L1469" s="13"/>
      <c r="M1469" s="18" t="e">
        <f>_xll.PTreeNodeValue(treeCalc_1!$F$2,734)</f>
        <v>#VALUE!</v>
      </c>
    </row>
    <row r="1470" spans="7:13" x14ac:dyDescent="0.3">
      <c r="H1470" s="17" t="e">
        <v>#VALUE!</v>
      </c>
      <c r="I1470" s="15" t="s">
        <v>146</v>
      </c>
    </row>
    <row r="1471" spans="7:13" x14ac:dyDescent="0.3">
      <c r="H1471" s="13"/>
      <c r="I1471" s="16" t="e">
        <f>_xll.PTreeNodeValue(treeCalc_1!$F$2,735)</f>
        <v>#VALUE!</v>
      </c>
    </row>
    <row r="1472" spans="7:13" x14ac:dyDescent="0.3">
      <c r="I1472" s="17" t="e">
        <v>#VALUE!</v>
      </c>
      <c r="J1472" s="15" t="s">
        <v>133</v>
      </c>
    </row>
    <row r="1473" spans="6:13" x14ac:dyDescent="0.3">
      <c r="I1473" s="13"/>
      <c r="J1473" s="16" t="e">
        <f>_xll.PTreeNodeValue(treeCalc_1!$F$2,736)</f>
        <v>#VALUE!</v>
      </c>
    </row>
    <row r="1474" spans="6:13" x14ac:dyDescent="0.3">
      <c r="J1474" s="17" t="e">
        <v>#VALUE!</v>
      </c>
      <c r="K1474" s="15" t="s">
        <v>132</v>
      </c>
    </row>
    <row r="1475" spans="6:13" x14ac:dyDescent="0.3">
      <c r="J1475" s="13"/>
      <c r="K1475" s="16" t="e">
        <f>_xll.PTreeNodeValue(treeCalc_1!$F$2,737)</f>
        <v>#VALUE!</v>
      </c>
    </row>
    <row r="1476" spans="6:13" x14ac:dyDescent="0.3">
      <c r="K1476" s="17" t="e">
        <v>#VALUE!</v>
      </c>
      <c r="L1476" s="15" t="s">
        <v>134</v>
      </c>
    </row>
    <row r="1477" spans="6:13" x14ac:dyDescent="0.3">
      <c r="K1477" s="13"/>
      <c r="L1477" s="16" t="e">
        <f>_xll.PTreeNodeValue(treeCalc_1!$F$2,738)</f>
        <v>#VALUE!</v>
      </c>
    </row>
    <row r="1478" spans="6:13" x14ac:dyDescent="0.3">
      <c r="L1478" s="17" t="e">
        <v>#VALUE!</v>
      </c>
      <c r="M1478" s="19" t="e">
        <f>_xll.PTreeNodeProbability(treeCalc_1!$F$2,739)</f>
        <v>#VALUE!</v>
      </c>
    </row>
    <row r="1479" spans="6:13" x14ac:dyDescent="0.3">
      <c r="L1479" s="13"/>
      <c r="M1479" s="18" t="e">
        <f>_xll.PTreeNodeValue(treeCalc_1!$F$2,739)</f>
        <v>#VALUE!</v>
      </c>
    </row>
    <row r="1480" spans="6:13" x14ac:dyDescent="0.3">
      <c r="F1480" s="17" t="e">
        <v>#VALUE!</v>
      </c>
      <c r="G1480" s="15" t="s">
        <v>144</v>
      </c>
    </row>
    <row r="1481" spans="6:13" x14ac:dyDescent="0.3">
      <c r="F1481" s="13"/>
      <c r="G1481" s="16" t="e">
        <f>_xll.PTreeNodeValue(treeCalc_1!$F$2,740)</f>
        <v>#VALUE!</v>
      </c>
    </row>
    <row r="1482" spans="6:13" x14ac:dyDescent="0.3">
      <c r="I1482" s="17" t="e">
        <v>#VALUE!</v>
      </c>
      <c r="J1482" s="15" t="s">
        <v>133</v>
      </c>
    </row>
    <row r="1483" spans="6:13" x14ac:dyDescent="0.3">
      <c r="I1483" s="13"/>
      <c r="J1483" s="16" t="e">
        <f>_xll.PTreeNodeValue(treeCalc_1!$F$2,741)</f>
        <v>#VALUE!</v>
      </c>
    </row>
    <row r="1484" spans="6:13" x14ac:dyDescent="0.3">
      <c r="J1484" s="17" t="e">
        <v>#VALUE!</v>
      </c>
      <c r="K1484" s="15" t="s">
        <v>132</v>
      </c>
    </row>
    <row r="1485" spans="6:13" x14ac:dyDescent="0.3">
      <c r="J1485" s="13"/>
      <c r="K1485" s="16" t="e">
        <f>_xll.PTreeNodeValue(treeCalc_1!$F$2,742)</f>
        <v>#VALUE!</v>
      </c>
    </row>
    <row r="1486" spans="6:13" x14ac:dyDescent="0.3">
      <c r="K1486" s="17" t="e">
        <v>#VALUE!</v>
      </c>
      <c r="L1486" s="15" t="s">
        <v>134</v>
      </c>
    </row>
    <row r="1487" spans="6:13" x14ac:dyDescent="0.3">
      <c r="K1487" s="13"/>
      <c r="L1487" s="16" t="e">
        <f>_xll.PTreeNodeValue(treeCalc_1!$F$2,743)</f>
        <v>#VALUE!</v>
      </c>
    </row>
    <row r="1488" spans="6:13" x14ac:dyDescent="0.3">
      <c r="L1488" s="17" t="e">
        <v>#VALUE!</v>
      </c>
      <c r="M1488" s="19" t="e">
        <f>_xll.PTreeNodeProbability(treeCalc_1!$F$2,744)</f>
        <v>#VALUE!</v>
      </c>
    </row>
    <row r="1489" spans="7:13" x14ac:dyDescent="0.3">
      <c r="L1489" s="13"/>
      <c r="M1489" s="18" t="e">
        <f>_xll.PTreeNodeValue(treeCalc_1!$F$2,744)</f>
        <v>#VALUE!</v>
      </c>
    </row>
    <row r="1490" spans="7:13" x14ac:dyDescent="0.3">
      <c r="H1490" s="17" t="e">
        <v>#VALUE!</v>
      </c>
      <c r="I1490" s="15" t="s">
        <v>146</v>
      </c>
    </row>
    <row r="1491" spans="7:13" x14ac:dyDescent="0.3">
      <c r="H1491" s="13"/>
      <c r="I1491" s="16" t="e">
        <f>_xll.PTreeNodeValue(treeCalc_1!$F$2,745)</f>
        <v>#VALUE!</v>
      </c>
    </row>
    <row r="1492" spans="7:13" x14ac:dyDescent="0.3">
      <c r="I1492" s="17" t="e">
        <v>#VALUE!</v>
      </c>
      <c r="J1492" s="15" t="s">
        <v>133</v>
      </c>
    </row>
    <row r="1493" spans="7:13" x14ac:dyDescent="0.3">
      <c r="I1493" s="13"/>
      <c r="J1493" s="16" t="e">
        <f>_xll.PTreeNodeValue(treeCalc_1!$F$2,746)</f>
        <v>#VALUE!</v>
      </c>
    </row>
    <row r="1494" spans="7:13" x14ac:dyDescent="0.3">
      <c r="J1494" s="17" t="e">
        <v>#VALUE!</v>
      </c>
      <c r="K1494" s="15" t="s">
        <v>132</v>
      </c>
    </row>
    <row r="1495" spans="7:13" x14ac:dyDescent="0.3">
      <c r="J1495" s="13"/>
      <c r="K1495" s="16" t="e">
        <f>_xll.PTreeNodeValue(treeCalc_1!$F$2,747)</f>
        <v>#VALUE!</v>
      </c>
    </row>
    <row r="1496" spans="7:13" x14ac:dyDescent="0.3">
      <c r="K1496" s="17" t="e">
        <v>#VALUE!</v>
      </c>
      <c r="L1496" s="15" t="s">
        <v>134</v>
      </c>
    </row>
    <row r="1497" spans="7:13" x14ac:dyDescent="0.3">
      <c r="K1497" s="13"/>
      <c r="L1497" s="16" t="e">
        <f>_xll.PTreeNodeValue(treeCalc_1!$F$2,748)</f>
        <v>#VALUE!</v>
      </c>
    </row>
    <row r="1498" spans="7:13" x14ac:dyDescent="0.3">
      <c r="L1498" s="17" t="e">
        <v>#VALUE!</v>
      </c>
      <c r="M1498" s="19" t="e">
        <f>_xll.PTreeNodeProbability(treeCalc_1!$F$2,749)</f>
        <v>#VALUE!</v>
      </c>
    </row>
    <row r="1499" spans="7:13" x14ac:dyDescent="0.3">
      <c r="L1499" s="13"/>
      <c r="M1499" s="18" t="e">
        <f>_xll.PTreeNodeValue(treeCalc_1!$F$2,749)</f>
        <v>#VALUE!</v>
      </c>
    </row>
    <row r="1500" spans="7:13" x14ac:dyDescent="0.3">
      <c r="G1500" s="17" t="e">
        <v>#VALUE!</v>
      </c>
      <c r="H1500" s="15" t="s">
        <v>145</v>
      </c>
    </row>
    <row r="1501" spans="7:13" x14ac:dyDescent="0.3">
      <c r="G1501" s="13"/>
      <c r="H1501" s="16" t="e">
        <f>_xll.PTreeNodeValue(treeCalc_1!$F$2,750)</f>
        <v>#VALUE!</v>
      </c>
    </row>
    <row r="1502" spans="7:13" x14ac:dyDescent="0.3">
      <c r="I1502" s="17" t="e">
        <v>#VALUE!</v>
      </c>
      <c r="J1502" s="15" t="s">
        <v>133</v>
      </c>
    </row>
    <row r="1503" spans="7:13" x14ac:dyDescent="0.3">
      <c r="I1503" s="13"/>
      <c r="J1503" s="16" t="e">
        <f>_xll.PTreeNodeValue(treeCalc_1!$F$2,751)</f>
        <v>#VALUE!</v>
      </c>
    </row>
    <row r="1504" spans="7:13" x14ac:dyDescent="0.3">
      <c r="J1504" s="17" t="e">
        <v>#VALUE!</v>
      </c>
      <c r="K1504" s="15" t="s">
        <v>132</v>
      </c>
    </row>
    <row r="1505" spans="5:13" x14ac:dyDescent="0.3">
      <c r="J1505" s="13"/>
      <c r="K1505" s="16" t="e">
        <f>_xll.PTreeNodeValue(treeCalc_1!$F$2,752)</f>
        <v>#VALUE!</v>
      </c>
    </row>
    <row r="1506" spans="5:13" x14ac:dyDescent="0.3">
      <c r="K1506" s="17" t="e">
        <v>#VALUE!</v>
      </c>
      <c r="L1506" s="15" t="s">
        <v>134</v>
      </c>
    </row>
    <row r="1507" spans="5:13" x14ac:dyDescent="0.3">
      <c r="K1507" s="13"/>
      <c r="L1507" s="16" t="e">
        <f>_xll.PTreeNodeValue(treeCalc_1!$F$2,753)</f>
        <v>#VALUE!</v>
      </c>
    </row>
    <row r="1508" spans="5:13" x14ac:dyDescent="0.3">
      <c r="L1508" s="17" t="e">
        <v>#VALUE!</v>
      </c>
      <c r="M1508" s="19" t="e">
        <f>_xll.PTreeNodeProbability(treeCalc_1!$F$2,754)</f>
        <v>#VALUE!</v>
      </c>
    </row>
    <row r="1509" spans="5:13" x14ac:dyDescent="0.3">
      <c r="L1509" s="13"/>
      <c r="M1509" s="18" t="e">
        <f>_xll.PTreeNodeValue(treeCalc_1!$F$2,754)</f>
        <v>#VALUE!</v>
      </c>
    </row>
    <row r="1510" spans="5:13" x14ac:dyDescent="0.3">
      <c r="H1510" s="17" t="e">
        <v>#VALUE!</v>
      </c>
      <c r="I1510" s="15" t="s">
        <v>146</v>
      </c>
    </row>
    <row r="1511" spans="5:13" x14ac:dyDescent="0.3">
      <c r="H1511" s="13"/>
      <c r="I1511" s="16" t="e">
        <f>_xll.PTreeNodeValue(treeCalc_1!$F$2,755)</f>
        <v>#VALUE!</v>
      </c>
    </row>
    <row r="1512" spans="5:13" x14ac:dyDescent="0.3">
      <c r="I1512" s="17" t="e">
        <v>#VALUE!</v>
      </c>
      <c r="J1512" s="15" t="s">
        <v>133</v>
      </c>
    </row>
    <row r="1513" spans="5:13" x14ac:dyDescent="0.3">
      <c r="I1513" s="13"/>
      <c r="J1513" s="16" t="e">
        <f>_xll.PTreeNodeValue(treeCalc_1!$F$2,756)</f>
        <v>#VALUE!</v>
      </c>
    </row>
    <row r="1514" spans="5:13" x14ac:dyDescent="0.3">
      <c r="J1514" s="17" t="e">
        <v>#VALUE!</v>
      </c>
      <c r="K1514" s="15" t="s">
        <v>132</v>
      </c>
    </row>
    <row r="1515" spans="5:13" x14ac:dyDescent="0.3">
      <c r="J1515" s="13"/>
      <c r="K1515" s="16" t="e">
        <f>_xll.PTreeNodeValue(treeCalc_1!$F$2,757)</f>
        <v>#VALUE!</v>
      </c>
    </row>
    <row r="1516" spans="5:13" x14ac:dyDescent="0.3">
      <c r="K1516" s="17" t="e">
        <v>#VALUE!</v>
      </c>
      <c r="L1516" s="15" t="s">
        <v>134</v>
      </c>
    </row>
    <row r="1517" spans="5:13" x14ac:dyDescent="0.3">
      <c r="K1517" s="13"/>
      <c r="L1517" s="16" t="e">
        <f>_xll.PTreeNodeValue(treeCalc_1!$F$2,758)</f>
        <v>#VALUE!</v>
      </c>
    </row>
    <row r="1518" spans="5:13" x14ac:dyDescent="0.3">
      <c r="L1518" s="17" t="e">
        <v>#VALUE!</v>
      </c>
      <c r="M1518" s="19" t="e">
        <f>_xll.PTreeNodeProbability(treeCalc_1!$F$2,759)</f>
        <v>#VALUE!</v>
      </c>
    </row>
    <row r="1519" spans="5:13" x14ac:dyDescent="0.3">
      <c r="L1519" s="13"/>
      <c r="M1519" s="18" t="e">
        <f>_xll.PTreeNodeValue(treeCalc_1!$F$2,759)</f>
        <v>#VALUE!</v>
      </c>
    </row>
    <row r="1520" spans="5:13" x14ac:dyDescent="0.3">
      <c r="E1520" s="17" t="e">
        <v>#VALUE!</v>
      </c>
      <c r="F1520" s="15" t="s">
        <v>141</v>
      </c>
    </row>
    <row r="1521" spans="5:13" x14ac:dyDescent="0.3">
      <c r="E1521" s="13"/>
      <c r="F1521" s="16" t="e">
        <f>_xll.PTreeNodeValue(treeCalc_1!$F$2,760)</f>
        <v>#VALUE!</v>
      </c>
    </row>
    <row r="1522" spans="5:13" x14ac:dyDescent="0.3">
      <c r="I1522" s="17" t="e">
        <v>#VALUE!</v>
      </c>
      <c r="J1522" s="15" t="s">
        <v>133</v>
      </c>
    </row>
    <row r="1523" spans="5:13" x14ac:dyDescent="0.3">
      <c r="I1523" s="13"/>
      <c r="J1523" s="16" t="e">
        <f>_xll.PTreeNodeValue(treeCalc_1!$F$2,761)</f>
        <v>#VALUE!</v>
      </c>
    </row>
    <row r="1524" spans="5:13" x14ac:dyDescent="0.3">
      <c r="J1524" s="17" t="e">
        <v>#VALUE!</v>
      </c>
      <c r="K1524" s="15" t="s">
        <v>132</v>
      </c>
    </row>
    <row r="1525" spans="5:13" x14ac:dyDescent="0.3">
      <c r="J1525" s="13"/>
      <c r="K1525" s="16" t="e">
        <f>_xll.PTreeNodeValue(treeCalc_1!$F$2,762)</f>
        <v>#VALUE!</v>
      </c>
    </row>
    <row r="1526" spans="5:13" x14ac:dyDescent="0.3">
      <c r="K1526" s="17" t="e">
        <v>#VALUE!</v>
      </c>
      <c r="L1526" s="15" t="s">
        <v>134</v>
      </c>
    </row>
    <row r="1527" spans="5:13" x14ac:dyDescent="0.3">
      <c r="K1527" s="13"/>
      <c r="L1527" s="16" t="e">
        <f>_xll.PTreeNodeValue(treeCalc_1!$F$2,763)</f>
        <v>#VALUE!</v>
      </c>
    </row>
    <row r="1528" spans="5:13" x14ac:dyDescent="0.3">
      <c r="L1528" s="17" t="e">
        <v>#VALUE!</v>
      </c>
      <c r="M1528" s="19" t="e">
        <f>_xll.PTreeNodeProbability(treeCalc_1!$F$2,764)</f>
        <v>#VALUE!</v>
      </c>
    </row>
    <row r="1529" spans="5:13" x14ac:dyDescent="0.3">
      <c r="L1529" s="13"/>
      <c r="M1529" s="18" t="e">
        <f>_xll.PTreeNodeValue(treeCalc_1!$F$2,764)</f>
        <v>#VALUE!</v>
      </c>
    </row>
    <row r="1530" spans="5:13" x14ac:dyDescent="0.3">
      <c r="H1530" s="17" t="e">
        <v>#VALUE!</v>
      </c>
      <c r="I1530" s="15" t="s">
        <v>146</v>
      </c>
    </row>
    <row r="1531" spans="5:13" x14ac:dyDescent="0.3">
      <c r="H1531" s="13"/>
      <c r="I1531" s="16" t="e">
        <f>_xll.PTreeNodeValue(treeCalc_1!$F$2,765)</f>
        <v>#VALUE!</v>
      </c>
    </row>
    <row r="1532" spans="5:13" x14ac:dyDescent="0.3">
      <c r="I1532" s="17" t="e">
        <v>#VALUE!</v>
      </c>
      <c r="J1532" s="15" t="s">
        <v>133</v>
      </c>
    </row>
    <row r="1533" spans="5:13" x14ac:dyDescent="0.3">
      <c r="I1533" s="13"/>
      <c r="J1533" s="16" t="e">
        <f>_xll.PTreeNodeValue(treeCalc_1!$F$2,766)</f>
        <v>#VALUE!</v>
      </c>
    </row>
    <row r="1534" spans="5:13" x14ac:dyDescent="0.3">
      <c r="J1534" s="17" t="e">
        <v>#VALUE!</v>
      </c>
      <c r="K1534" s="15" t="s">
        <v>132</v>
      </c>
    </row>
    <row r="1535" spans="5:13" x14ac:dyDescent="0.3">
      <c r="J1535" s="13"/>
      <c r="K1535" s="16" t="e">
        <f>_xll.PTreeNodeValue(treeCalc_1!$F$2,767)</f>
        <v>#VALUE!</v>
      </c>
    </row>
    <row r="1536" spans="5:13" x14ac:dyDescent="0.3">
      <c r="K1536" s="17" t="e">
        <v>#VALUE!</v>
      </c>
      <c r="L1536" s="15" t="s">
        <v>134</v>
      </c>
    </row>
    <row r="1537" spans="7:13" x14ac:dyDescent="0.3">
      <c r="K1537" s="13"/>
      <c r="L1537" s="16" t="e">
        <f>_xll.PTreeNodeValue(treeCalc_1!$F$2,768)</f>
        <v>#VALUE!</v>
      </c>
    </row>
    <row r="1538" spans="7:13" x14ac:dyDescent="0.3">
      <c r="L1538" s="17" t="e">
        <v>#VALUE!</v>
      </c>
      <c r="M1538" s="19" t="e">
        <f>_xll.PTreeNodeProbability(treeCalc_1!$F$2,769)</f>
        <v>#VALUE!</v>
      </c>
    </row>
    <row r="1539" spans="7:13" x14ac:dyDescent="0.3">
      <c r="L1539" s="13"/>
      <c r="M1539" s="18" t="e">
        <f>_xll.PTreeNodeValue(treeCalc_1!$F$2,769)</f>
        <v>#VALUE!</v>
      </c>
    </row>
    <row r="1540" spans="7:13" x14ac:dyDescent="0.3">
      <c r="G1540" s="17" t="e">
        <v>#VALUE!</v>
      </c>
      <c r="H1540" s="15" t="s">
        <v>145</v>
      </c>
    </row>
    <row r="1541" spans="7:13" x14ac:dyDescent="0.3">
      <c r="G1541" s="13"/>
      <c r="H1541" s="16" t="e">
        <f>_xll.PTreeNodeValue(treeCalc_1!$F$2,770)</f>
        <v>#VALUE!</v>
      </c>
    </row>
    <row r="1542" spans="7:13" x14ac:dyDescent="0.3">
      <c r="I1542" s="17" t="e">
        <v>#VALUE!</v>
      </c>
      <c r="J1542" s="15" t="s">
        <v>133</v>
      </c>
    </row>
    <row r="1543" spans="7:13" x14ac:dyDescent="0.3">
      <c r="I1543" s="13"/>
      <c r="J1543" s="16" t="e">
        <f>_xll.PTreeNodeValue(treeCalc_1!$F$2,771)</f>
        <v>#VALUE!</v>
      </c>
    </row>
    <row r="1544" spans="7:13" x14ac:dyDescent="0.3">
      <c r="J1544" s="17" t="e">
        <v>#VALUE!</v>
      </c>
      <c r="K1544" s="15" t="s">
        <v>132</v>
      </c>
    </row>
    <row r="1545" spans="7:13" x14ac:dyDescent="0.3">
      <c r="J1545" s="13"/>
      <c r="K1545" s="16" t="e">
        <f>_xll.PTreeNodeValue(treeCalc_1!$F$2,772)</f>
        <v>#VALUE!</v>
      </c>
    </row>
    <row r="1546" spans="7:13" x14ac:dyDescent="0.3">
      <c r="K1546" s="17" t="e">
        <v>#VALUE!</v>
      </c>
      <c r="L1546" s="15" t="s">
        <v>134</v>
      </c>
    </row>
    <row r="1547" spans="7:13" x14ac:dyDescent="0.3">
      <c r="K1547" s="13"/>
      <c r="L1547" s="16" t="e">
        <f>_xll.PTreeNodeValue(treeCalc_1!$F$2,773)</f>
        <v>#VALUE!</v>
      </c>
    </row>
    <row r="1548" spans="7:13" x14ac:dyDescent="0.3">
      <c r="L1548" s="17" t="e">
        <v>#VALUE!</v>
      </c>
      <c r="M1548" s="19" t="e">
        <f>_xll.PTreeNodeProbability(treeCalc_1!$F$2,774)</f>
        <v>#VALUE!</v>
      </c>
    </row>
    <row r="1549" spans="7:13" x14ac:dyDescent="0.3">
      <c r="L1549" s="13"/>
      <c r="M1549" s="18" t="e">
        <f>_xll.PTreeNodeValue(treeCalc_1!$F$2,774)</f>
        <v>#VALUE!</v>
      </c>
    </row>
    <row r="1550" spans="7:13" x14ac:dyDescent="0.3">
      <c r="H1550" s="17" t="e">
        <v>#VALUE!</v>
      </c>
      <c r="I1550" s="15" t="s">
        <v>146</v>
      </c>
    </row>
    <row r="1551" spans="7:13" x14ac:dyDescent="0.3">
      <c r="H1551" s="13"/>
      <c r="I1551" s="16" t="e">
        <f>_xll.PTreeNodeValue(treeCalc_1!$F$2,775)</f>
        <v>#VALUE!</v>
      </c>
    </row>
    <row r="1552" spans="7:13" x14ac:dyDescent="0.3">
      <c r="I1552" s="17" t="e">
        <v>#VALUE!</v>
      </c>
      <c r="J1552" s="15" t="s">
        <v>133</v>
      </c>
    </row>
    <row r="1553" spans="6:13" x14ac:dyDescent="0.3">
      <c r="I1553" s="13"/>
      <c r="J1553" s="16" t="e">
        <f>_xll.PTreeNodeValue(treeCalc_1!$F$2,776)</f>
        <v>#VALUE!</v>
      </c>
    </row>
    <row r="1554" spans="6:13" x14ac:dyDescent="0.3">
      <c r="J1554" s="17" t="e">
        <v>#VALUE!</v>
      </c>
      <c r="K1554" s="15" t="s">
        <v>132</v>
      </c>
    </row>
    <row r="1555" spans="6:13" x14ac:dyDescent="0.3">
      <c r="J1555" s="13"/>
      <c r="K1555" s="16" t="e">
        <f>_xll.PTreeNodeValue(treeCalc_1!$F$2,777)</f>
        <v>#VALUE!</v>
      </c>
    </row>
    <row r="1556" spans="6:13" x14ac:dyDescent="0.3">
      <c r="K1556" s="17" t="e">
        <v>#VALUE!</v>
      </c>
      <c r="L1556" s="15" t="s">
        <v>134</v>
      </c>
    </row>
    <row r="1557" spans="6:13" x14ac:dyDescent="0.3">
      <c r="K1557" s="13"/>
      <c r="L1557" s="16" t="e">
        <f>_xll.PTreeNodeValue(treeCalc_1!$F$2,778)</f>
        <v>#VALUE!</v>
      </c>
    </row>
    <row r="1558" spans="6:13" x14ac:dyDescent="0.3">
      <c r="L1558" s="17" t="e">
        <v>#VALUE!</v>
      </c>
      <c r="M1558" s="19" t="e">
        <f>_xll.PTreeNodeProbability(treeCalc_1!$F$2,779)</f>
        <v>#VALUE!</v>
      </c>
    </row>
    <row r="1559" spans="6:13" x14ac:dyDescent="0.3">
      <c r="L1559" s="13"/>
      <c r="M1559" s="18" t="e">
        <f>_xll.PTreeNodeValue(treeCalc_1!$F$2,779)</f>
        <v>#VALUE!</v>
      </c>
    </row>
    <row r="1560" spans="6:13" x14ac:dyDescent="0.3">
      <c r="F1560" s="17" t="e">
        <v>#VALUE!</v>
      </c>
      <c r="G1560" s="15" t="s">
        <v>144</v>
      </c>
    </row>
    <row r="1561" spans="6:13" x14ac:dyDescent="0.3">
      <c r="F1561" s="13"/>
      <c r="G1561" s="16" t="e">
        <f>_xll.PTreeNodeValue(treeCalc_1!$F$2,780)</f>
        <v>#VALUE!</v>
      </c>
    </row>
    <row r="1562" spans="6:13" x14ac:dyDescent="0.3">
      <c r="I1562" s="17" t="e">
        <v>#VALUE!</v>
      </c>
      <c r="J1562" s="15" t="s">
        <v>133</v>
      </c>
    </row>
    <row r="1563" spans="6:13" x14ac:dyDescent="0.3">
      <c r="I1563" s="13"/>
      <c r="J1563" s="16" t="e">
        <f>_xll.PTreeNodeValue(treeCalc_1!$F$2,781)</f>
        <v>#VALUE!</v>
      </c>
    </row>
    <row r="1564" spans="6:13" x14ac:dyDescent="0.3">
      <c r="J1564" s="17" t="e">
        <v>#VALUE!</v>
      </c>
      <c r="K1564" s="15" t="s">
        <v>132</v>
      </c>
    </row>
    <row r="1565" spans="6:13" x14ac:dyDescent="0.3">
      <c r="J1565" s="13"/>
      <c r="K1565" s="16" t="e">
        <f>_xll.PTreeNodeValue(treeCalc_1!$F$2,782)</f>
        <v>#VALUE!</v>
      </c>
    </row>
    <row r="1566" spans="6:13" x14ac:dyDescent="0.3">
      <c r="K1566" s="17" t="e">
        <v>#VALUE!</v>
      </c>
      <c r="L1566" s="15" t="s">
        <v>134</v>
      </c>
    </row>
    <row r="1567" spans="6:13" x14ac:dyDescent="0.3">
      <c r="K1567" s="13"/>
      <c r="L1567" s="16" t="e">
        <f>_xll.PTreeNodeValue(treeCalc_1!$F$2,783)</f>
        <v>#VALUE!</v>
      </c>
    </row>
    <row r="1568" spans="6:13" x14ac:dyDescent="0.3">
      <c r="L1568" s="17" t="e">
        <v>#VALUE!</v>
      </c>
      <c r="M1568" s="19" t="e">
        <f>_xll.PTreeNodeProbability(treeCalc_1!$F$2,784)</f>
        <v>#VALUE!</v>
      </c>
    </row>
    <row r="1569" spans="7:13" x14ac:dyDescent="0.3">
      <c r="L1569" s="13"/>
      <c r="M1569" s="18" t="e">
        <f>_xll.PTreeNodeValue(treeCalc_1!$F$2,784)</f>
        <v>#VALUE!</v>
      </c>
    </row>
    <row r="1570" spans="7:13" x14ac:dyDescent="0.3">
      <c r="H1570" s="17" t="e">
        <v>#VALUE!</v>
      </c>
      <c r="I1570" s="15" t="s">
        <v>146</v>
      </c>
    </row>
    <row r="1571" spans="7:13" x14ac:dyDescent="0.3">
      <c r="H1571" s="13"/>
      <c r="I1571" s="16" t="e">
        <f>_xll.PTreeNodeValue(treeCalc_1!$F$2,785)</f>
        <v>#VALUE!</v>
      </c>
    </row>
    <row r="1572" spans="7:13" x14ac:dyDescent="0.3">
      <c r="I1572" s="17" t="e">
        <v>#VALUE!</v>
      </c>
      <c r="J1572" s="15" t="s">
        <v>133</v>
      </c>
    </row>
    <row r="1573" spans="7:13" x14ac:dyDescent="0.3">
      <c r="I1573" s="13"/>
      <c r="J1573" s="16" t="e">
        <f>_xll.PTreeNodeValue(treeCalc_1!$F$2,786)</f>
        <v>#VALUE!</v>
      </c>
    </row>
    <row r="1574" spans="7:13" x14ac:dyDescent="0.3">
      <c r="J1574" s="17" t="e">
        <v>#VALUE!</v>
      </c>
      <c r="K1574" s="15" t="s">
        <v>132</v>
      </c>
    </row>
    <row r="1575" spans="7:13" x14ac:dyDescent="0.3">
      <c r="J1575" s="13"/>
      <c r="K1575" s="16" t="e">
        <f>_xll.PTreeNodeValue(treeCalc_1!$F$2,787)</f>
        <v>#VALUE!</v>
      </c>
    </row>
    <row r="1576" spans="7:13" x14ac:dyDescent="0.3">
      <c r="K1576" s="17" t="e">
        <v>#VALUE!</v>
      </c>
      <c r="L1576" s="15" t="s">
        <v>134</v>
      </c>
    </row>
    <row r="1577" spans="7:13" x14ac:dyDescent="0.3">
      <c r="K1577" s="13"/>
      <c r="L1577" s="16" t="e">
        <f>_xll.PTreeNodeValue(treeCalc_1!$F$2,788)</f>
        <v>#VALUE!</v>
      </c>
    </row>
    <row r="1578" spans="7:13" x14ac:dyDescent="0.3">
      <c r="L1578" s="17" t="e">
        <v>#VALUE!</v>
      </c>
      <c r="M1578" s="19" t="e">
        <f>_xll.PTreeNodeProbability(treeCalc_1!$F$2,789)</f>
        <v>#VALUE!</v>
      </c>
    </row>
    <row r="1579" spans="7:13" x14ac:dyDescent="0.3">
      <c r="L1579" s="13"/>
      <c r="M1579" s="18" t="e">
        <f>_xll.PTreeNodeValue(treeCalc_1!$F$2,789)</f>
        <v>#VALUE!</v>
      </c>
    </row>
    <row r="1580" spans="7:13" x14ac:dyDescent="0.3">
      <c r="G1580" s="17" t="e">
        <v>#VALUE!</v>
      </c>
      <c r="H1580" s="15" t="s">
        <v>145</v>
      </c>
    </row>
    <row r="1581" spans="7:13" x14ac:dyDescent="0.3">
      <c r="G1581" s="13"/>
      <c r="H1581" s="16" t="e">
        <f>_xll.PTreeNodeValue(treeCalc_1!$F$2,790)</f>
        <v>#VALUE!</v>
      </c>
    </row>
    <row r="1582" spans="7:13" x14ac:dyDescent="0.3">
      <c r="I1582" s="17" t="e">
        <v>#VALUE!</v>
      </c>
      <c r="J1582" s="15" t="s">
        <v>133</v>
      </c>
    </row>
    <row r="1583" spans="7:13" x14ac:dyDescent="0.3">
      <c r="I1583" s="13"/>
      <c r="J1583" s="16" t="e">
        <f>_xll.PTreeNodeValue(treeCalc_1!$F$2,791)</f>
        <v>#VALUE!</v>
      </c>
    </row>
    <row r="1584" spans="7:13" x14ac:dyDescent="0.3">
      <c r="J1584" s="17" t="e">
        <v>#VALUE!</v>
      </c>
      <c r="K1584" s="15" t="s">
        <v>132</v>
      </c>
    </row>
    <row r="1585" spans="3:13" x14ac:dyDescent="0.3">
      <c r="J1585" s="13"/>
      <c r="K1585" s="16" t="e">
        <f>_xll.PTreeNodeValue(treeCalc_1!$F$2,792)</f>
        <v>#VALUE!</v>
      </c>
    </row>
    <row r="1586" spans="3:13" x14ac:dyDescent="0.3">
      <c r="K1586" s="17" t="e">
        <v>#VALUE!</v>
      </c>
      <c r="L1586" s="15" t="s">
        <v>134</v>
      </c>
    </row>
    <row r="1587" spans="3:13" x14ac:dyDescent="0.3">
      <c r="K1587" s="13"/>
      <c r="L1587" s="16" t="e">
        <f>_xll.PTreeNodeValue(treeCalc_1!$F$2,793)</f>
        <v>#VALUE!</v>
      </c>
    </row>
    <row r="1588" spans="3:13" x14ac:dyDescent="0.3">
      <c r="L1588" s="17" t="e">
        <v>#VALUE!</v>
      </c>
      <c r="M1588" s="19" t="e">
        <f>_xll.PTreeNodeProbability(treeCalc_1!$F$2,794)</f>
        <v>#VALUE!</v>
      </c>
    </row>
    <row r="1589" spans="3:13" x14ac:dyDescent="0.3">
      <c r="L1589" s="13"/>
      <c r="M1589" s="18" t="e">
        <f>_xll.PTreeNodeValue(treeCalc_1!$F$2,794)</f>
        <v>#VALUE!</v>
      </c>
    </row>
    <row r="1590" spans="3:13" x14ac:dyDescent="0.3">
      <c r="H1590" s="17" t="e">
        <v>#VALUE!</v>
      </c>
      <c r="I1590" s="15" t="s">
        <v>146</v>
      </c>
    </row>
    <row r="1591" spans="3:13" x14ac:dyDescent="0.3">
      <c r="H1591" s="13"/>
      <c r="I1591" s="16" t="e">
        <f>_xll.PTreeNodeValue(treeCalc_1!$F$2,795)</f>
        <v>#VALUE!</v>
      </c>
    </row>
    <row r="1592" spans="3:13" x14ac:dyDescent="0.3">
      <c r="I1592" s="17" t="e">
        <v>#VALUE!</v>
      </c>
      <c r="J1592" s="15" t="s">
        <v>133</v>
      </c>
    </row>
    <row r="1593" spans="3:13" x14ac:dyDescent="0.3">
      <c r="I1593" s="13"/>
      <c r="J1593" s="16" t="e">
        <f>_xll.PTreeNodeValue(treeCalc_1!$F$2,796)</f>
        <v>#VALUE!</v>
      </c>
    </row>
    <row r="1594" spans="3:13" x14ac:dyDescent="0.3">
      <c r="J1594" s="17" t="e">
        <v>#VALUE!</v>
      </c>
      <c r="K1594" s="15" t="s">
        <v>132</v>
      </c>
    </row>
    <row r="1595" spans="3:13" x14ac:dyDescent="0.3">
      <c r="J1595" s="13"/>
      <c r="K1595" s="16" t="e">
        <f>_xll.PTreeNodeValue(treeCalc_1!$F$2,797)</f>
        <v>#VALUE!</v>
      </c>
    </row>
    <row r="1596" spans="3:13" x14ac:dyDescent="0.3">
      <c r="K1596" s="17" t="e">
        <v>#VALUE!</v>
      </c>
      <c r="L1596" s="15" t="s">
        <v>134</v>
      </c>
    </row>
    <row r="1597" spans="3:13" x14ac:dyDescent="0.3">
      <c r="K1597" s="13"/>
      <c r="L1597" s="16" t="e">
        <f>_xll.PTreeNodeValue(treeCalc_1!$F$2,798)</f>
        <v>#VALUE!</v>
      </c>
    </row>
    <row r="1598" spans="3:13" x14ac:dyDescent="0.3">
      <c r="L1598" s="17" t="e">
        <v>#VALUE!</v>
      </c>
      <c r="M1598" s="19" t="e">
        <f>_xll.PTreeNodeProbability(treeCalc_1!$F$2,799)</f>
        <v>#VALUE!</v>
      </c>
    </row>
    <row r="1599" spans="3:13" x14ac:dyDescent="0.3">
      <c r="L1599" s="13"/>
      <c r="M1599" s="18" t="e">
        <f>_xll.PTreeNodeValue(treeCalc_1!$F$2,799)</f>
        <v>#VALUE!</v>
      </c>
    </row>
    <row r="1600" spans="3:13" x14ac:dyDescent="0.3">
      <c r="C1600" s="14" t="e">
        <f>_xll.PTreeNodeDecision(treeCalc_1!$F$2,800)</f>
        <v>#VALUE!</v>
      </c>
      <c r="D1600" s="11" t="s">
        <v>139</v>
      </c>
    </row>
    <row r="1601" spans="3:13" x14ac:dyDescent="0.3">
      <c r="C1601" s="13"/>
      <c r="D1601" s="12" t="e">
        <f>_xll.PTreeNodeValue(treeCalc_1!$F$2,800)</f>
        <v>#VALUE!</v>
      </c>
    </row>
    <row r="1602" spans="3:13" x14ac:dyDescent="0.3">
      <c r="I1602" s="17" t="e">
        <v>#VALUE!</v>
      </c>
      <c r="J1602" s="15" t="s">
        <v>133</v>
      </c>
    </row>
    <row r="1603" spans="3:13" x14ac:dyDescent="0.3">
      <c r="I1603" s="13"/>
      <c r="J1603" s="16" t="e">
        <f>_xll.PTreeNodeValue(treeCalc_1!$F$2,801)</f>
        <v>#VALUE!</v>
      </c>
    </row>
    <row r="1604" spans="3:13" x14ac:dyDescent="0.3">
      <c r="J1604" s="17" t="e">
        <v>#VALUE!</v>
      </c>
      <c r="K1604" s="15" t="s">
        <v>132</v>
      </c>
    </row>
    <row r="1605" spans="3:13" x14ac:dyDescent="0.3">
      <c r="J1605" s="13"/>
      <c r="K1605" s="16" t="e">
        <f>_xll.PTreeNodeValue(treeCalc_1!$F$2,802)</f>
        <v>#VALUE!</v>
      </c>
    </row>
    <row r="1606" spans="3:13" x14ac:dyDescent="0.3">
      <c r="K1606" s="17" t="e">
        <v>#VALUE!</v>
      </c>
      <c r="L1606" s="15" t="s">
        <v>134</v>
      </c>
    </row>
    <row r="1607" spans="3:13" x14ac:dyDescent="0.3">
      <c r="K1607" s="13"/>
      <c r="L1607" s="16" t="e">
        <f>_xll.PTreeNodeValue(treeCalc_1!$F$2,803)</f>
        <v>#VALUE!</v>
      </c>
    </row>
    <row r="1608" spans="3:13" x14ac:dyDescent="0.3">
      <c r="L1608" s="17" t="e">
        <v>#VALUE!</v>
      </c>
      <c r="M1608" s="19" t="e">
        <f>_xll.PTreeNodeProbability(treeCalc_1!$F$2,804)</f>
        <v>#VALUE!</v>
      </c>
    </row>
    <row r="1609" spans="3:13" x14ac:dyDescent="0.3">
      <c r="L1609" s="13"/>
      <c r="M1609" s="18" t="e">
        <f>_xll.PTreeNodeValue(treeCalc_1!$F$2,804)</f>
        <v>#VALUE!</v>
      </c>
    </row>
    <row r="1610" spans="3:13" x14ac:dyDescent="0.3">
      <c r="H1610" s="17" t="e">
        <v>#VALUE!</v>
      </c>
      <c r="I1610" s="15" t="s">
        <v>146</v>
      </c>
    </row>
    <row r="1611" spans="3:13" x14ac:dyDescent="0.3">
      <c r="H1611" s="13"/>
      <c r="I1611" s="16" t="e">
        <f>_xll.PTreeNodeValue(treeCalc_1!$F$2,805)</f>
        <v>#VALUE!</v>
      </c>
    </row>
    <row r="1612" spans="3:13" x14ac:dyDescent="0.3">
      <c r="I1612" s="17" t="e">
        <v>#VALUE!</v>
      </c>
      <c r="J1612" s="15" t="s">
        <v>133</v>
      </c>
    </row>
    <row r="1613" spans="3:13" x14ac:dyDescent="0.3">
      <c r="I1613" s="13"/>
      <c r="J1613" s="16" t="e">
        <f>_xll.PTreeNodeValue(treeCalc_1!$F$2,806)</f>
        <v>#VALUE!</v>
      </c>
    </row>
    <row r="1614" spans="3:13" x14ac:dyDescent="0.3">
      <c r="J1614" s="17" t="e">
        <v>#VALUE!</v>
      </c>
      <c r="K1614" s="15" t="s">
        <v>132</v>
      </c>
    </row>
    <row r="1615" spans="3:13" x14ac:dyDescent="0.3">
      <c r="J1615" s="13"/>
      <c r="K1615" s="16" t="e">
        <f>_xll.PTreeNodeValue(treeCalc_1!$F$2,807)</f>
        <v>#VALUE!</v>
      </c>
    </row>
    <row r="1616" spans="3:13" x14ac:dyDescent="0.3">
      <c r="K1616" s="17" t="e">
        <v>#VALUE!</v>
      </c>
      <c r="L1616" s="15" t="s">
        <v>134</v>
      </c>
    </row>
    <row r="1617" spans="7:13" x14ac:dyDescent="0.3">
      <c r="K1617" s="13"/>
      <c r="L1617" s="16" t="e">
        <f>_xll.PTreeNodeValue(treeCalc_1!$F$2,808)</f>
        <v>#VALUE!</v>
      </c>
    </row>
    <row r="1618" spans="7:13" x14ac:dyDescent="0.3">
      <c r="L1618" s="17" t="e">
        <v>#VALUE!</v>
      </c>
      <c r="M1618" s="19" t="e">
        <f>_xll.PTreeNodeProbability(treeCalc_1!$F$2,809)</f>
        <v>#VALUE!</v>
      </c>
    </row>
    <row r="1619" spans="7:13" x14ac:dyDescent="0.3">
      <c r="L1619" s="13"/>
      <c r="M1619" s="18" t="e">
        <f>_xll.PTreeNodeValue(treeCalc_1!$F$2,809)</f>
        <v>#VALUE!</v>
      </c>
    </row>
    <row r="1620" spans="7:13" x14ac:dyDescent="0.3">
      <c r="G1620" s="17" t="e">
        <v>#VALUE!</v>
      </c>
      <c r="H1620" s="15" t="s">
        <v>145</v>
      </c>
    </row>
    <row r="1621" spans="7:13" x14ac:dyDescent="0.3">
      <c r="G1621" s="13"/>
      <c r="H1621" s="16" t="e">
        <f>_xll.PTreeNodeValue(treeCalc_1!$F$2,810)</f>
        <v>#VALUE!</v>
      </c>
    </row>
    <row r="1622" spans="7:13" x14ac:dyDescent="0.3">
      <c r="I1622" s="17" t="e">
        <v>#VALUE!</v>
      </c>
      <c r="J1622" s="15" t="s">
        <v>133</v>
      </c>
    </row>
    <row r="1623" spans="7:13" x14ac:dyDescent="0.3">
      <c r="I1623" s="13"/>
      <c r="J1623" s="16" t="e">
        <f>_xll.PTreeNodeValue(treeCalc_1!$F$2,811)</f>
        <v>#VALUE!</v>
      </c>
    </row>
    <row r="1624" spans="7:13" x14ac:dyDescent="0.3">
      <c r="J1624" s="17" t="e">
        <v>#VALUE!</v>
      </c>
      <c r="K1624" s="15" t="s">
        <v>132</v>
      </c>
    </row>
    <row r="1625" spans="7:13" x14ac:dyDescent="0.3">
      <c r="J1625" s="13"/>
      <c r="K1625" s="16" t="e">
        <f>_xll.PTreeNodeValue(treeCalc_1!$F$2,812)</f>
        <v>#VALUE!</v>
      </c>
    </row>
    <row r="1626" spans="7:13" x14ac:dyDescent="0.3">
      <c r="K1626" s="17" t="e">
        <v>#VALUE!</v>
      </c>
      <c r="L1626" s="15" t="s">
        <v>134</v>
      </c>
    </row>
    <row r="1627" spans="7:13" x14ac:dyDescent="0.3">
      <c r="K1627" s="13"/>
      <c r="L1627" s="16" t="e">
        <f>_xll.PTreeNodeValue(treeCalc_1!$F$2,813)</f>
        <v>#VALUE!</v>
      </c>
    </row>
    <row r="1628" spans="7:13" x14ac:dyDescent="0.3">
      <c r="L1628" s="17" t="e">
        <v>#VALUE!</v>
      </c>
      <c r="M1628" s="19" t="e">
        <f>_xll.PTreeNodeProbability(treeCalc_1!$F$2,814)</f>
        <v>#VALUE!</v>
      </c>
    </row>
    <row r="1629" spans="7:13" x14ac:dyDescent="0.3">
      <c r="L1629" s="13"/>
      <c r="M1629" s="18" t="e">
        <f>_xll.PTreeNodeValue(treeCalc_1!$F$2,814)</f>
        <v>#VALUE!</v>
      </c>
    </row>
    <row r="1630" spans="7:13" x14ac:dyDescent="0.3">
      <c r="H1630" s="17" t="e">
        <v>#VALUE!</v>
      </c>
      <c r="I1630" s="15" t="s">
        <v>146</v>
      </c>
    </row>
    <row r="1631" spans="7:13" x14ac:dyDescent="0.3">
      <c r="H1631" s="13"/>
      <c r="I1631" s="16" t="e">
        <f>_xll.PTreeNodeValue(treeCalc_1!$F$2,815)</f>
        <v>#VALUE!</v>
      </c>
    </row>
    <row r="1632" spans="7:13" x14ac:dyDescent="0.3">
      <c r="I1632" s="17" t="e">
        <v>#VALUE!</v>
      </c>
      <c r="J1632" s="15" t="s">
        <v>133</v>
      </c>
    </row>
    <row r="1633" spans="6:13" x14ac:dyDescent="0.3">
      <c r="I1633" s="13"/>
      <c r="J1633" s="16" t="e">
        <f>_xll.PTreeNodeValue(treeCalc_1!$F$2,816)</f>
        <v>#VALUE!</v>
      </c>
    </row>
    <row r="1634" spans="6:13" x14ac:dyDescent="0.3">
      <c r="J1634" s="17" t="e">
        <v>#VALUE!</v>
      </c>
      <c r="K1634" s="15" t="s">
        <v>132</v>
      </c>
    </row>
    <row r="1635" spans="6:13" x14ac:dyDescent="0.3">
      <c r="J1635" s="13"/>
      <c r="K1635" s="16" t="e">
        <f>_xll.PTreeNodeValue(treeCalc_1!$F$2,817)</f>
        <v>#VALUE!</v>
      </c>
    </row>
    <row r="1636" spans="6:13" x14ac:dyDescent="0.3">
      <c r="K1636" s="17" t="e">
        <v>#VALUE!</v>
      </c>
      <c r="L1636" s="15" t="s">
        <v>134</v>
      </c>
    </row>
    <row r="1637" spans="6:13" x14ac:dyDescent="0.3">
      <c r="K1637" s="13"/>
      <c r="L1637" s="16" t="e">
        <f>_xll.PTreeNodeValue(treeCalc_1!$F$2,818)</f>
        <v>#VALUE!</v>
      </c>
    </row>
    <row r="1638" spans="6:13" x14ac:dyDescent="0.3">
      <c r="L1638" s="17" t="e">
        <v>#VALUE!</v>
      </c>
      <c r="M1638" s="19" t="e">
        <f>_xll.PTreeNodeProbability(treeCalc_1!$F$2,819)</f>
        <v>#VALUE!</v>
      </c>
    </row>
    <row r="1639" spans="6:13" x14ac:dyDescent="0.3">
      <c r="L1639" s="13"/>
      <c r="M1639" s="18" t="e">
        <f>_xll.PTreeNodeValue(treeCalc_1!$F$2,819)</f>
        <v>#VALUE!</v>
      </c>
    </row>
    <row r="1640" spans="6:13" x14ac:dyDescent="0.3">
      <c r="F1640" s="17" t="e">
        <v>#VALUE!</v>
      </c>
      <c r="G1640" s="15" t="s">
        <v>144</v>
      </c>
    </row>
    <row r="1641" spans="6:13" x14ac:dyDescent="0.3">
      <c r="F1641" s="13"/>
      <c r="G1641" s="16" t="e">
        <f>_xll.PTreeNodeValue(treeCalc_1!$F$2,820)</f>
        <v>#VALUE!</v>
      </c>
    </row>
    <row r="1642" spans="6:13" x14ac:dyDescent="0.3">
      <c r="I1642" s="17" t="e">
        <v>#VALUE!</v>
      </c>
      <c r="J1642" s="15" t="s">
        <v>133</v>
      </c>
    </row>
    <row r="1643" spans="6:13" x14ac:dyDescent="0.3">
      <c r="I1643" s="13"/>
      <c r="J1643" s="16" t="e">
        <f>_xll.PTreeNodeValue(treeCalc_1!$F$2,821)</f>
        <v>#VALUE!</v>
      </c>
    </row>
    <row r="1644" spans="6:13" x14ac:dyDescent="0.3">
      <c r="J1644" s="17" t="e">
        <v>#VALUE!</v>
      </c>
      <c r="K1644" s="15" t="s">
        <v>132</v>
      </c>
    </row>
    <row r="1645" spans="6:13" x14ac:dyDescent="0.3">
      <c r="J1645" s="13"/>
      <c r="K1645" s="16" t="e">
        <f>_xll.PTreeNodeValue(treeCalc_1!$F$2,822)</f>
        <v>#VALUE!</v>
      </c>
    </row>
    <row r="1646" spans="6:13" x14ac:dyDescent="0.3">
      <c r="K1646" s="17" t="e">
        <v>#VALUE!</v>
      </c>
      <c r="L1646" s="15" t="s">
        <v>134</v>
      </c>
    </row>
    <row r="1647" spans="6:13" x14ac:dyDescent="0.3">
      <c r="K1647" s="13"/>
      <c r="L1647" s="16" t="e">
        <f>_xll.PTreeNodeValue(treeCalc_1!$F$2,823)</f>
        <v>#VALUE!</v>
      </c>
    </row>
    <row r="1648" spans="6:13" x14ac:dyDescent="0.3">
      <c r="L1648" s="17" t="e">
        <v>#VALUE!</v>
      </c>
      <c r="M1648" s="19" t="e">
        <f>_xll.PTreeNodeProbability(treeCalc_1!$F$2,824)</f>
        <v>#VALUE!</v>
      </c>
    </row>
    <row r="1649" spans="7:13" x14ac:dyDescent="0.3">
      <c r="L1649" s="13"/>
      <c r="M1649" s="18" t="e">
        <f>_xll.PTreeNodeValue(treeCalc_1!$F$2,824)</f>
        <v>#VALUE!</v>
      </c>
    </row>
    <row r="1650" spans="7:13" x14ac:dyDescent="0.3">
      <c r="H1650" s="17" t="e">
        <v>#VALUE!</v>
      </c>
      <c r="I1650" s="15" t="s">
        <v>146</v>
      </c>
    </row>
    <row r="1651" spans="7:13" x14ac:dyDescent="0.3">
      <c r="H1651" s="13"/>
      <c r="I1651" s="16" t="e">
        <f>_xll.PTreeNodeValue(treeCalc_1!$F$2,825)</f>
        <v>#VALUE!</v>
      </c>
    </row>
    <row r="1652" spans="7:13" x14ac:dyDescent="0.3">
      <c r="I1652" s="17" t="e">
        <v>#VALUE!</v>
      </c>
      <c r="J1652" s="15" t="s">
        <v>133</v>
      </c>
    </row>
    <row r="1653" spans="7:13" x14ac:dyDescent="0.3">
      <c r="I1653" s="13"/>
      <c r="J1653" s="16" t="e">
        <f>_xll.PTreeNodeValue(treeCalc_1!$F$2,826)</f>
        <v>#VALUE!</v>
      </c>
    </row>
    <row r="1654" spans="7:13" x14ac:dyDescent="0.3">
      <c r="J1654" s="17" t="e">
        <v>#VALUE!</v>
      </c>
      <c r="K1654" s="15" t="s">
        <v>132</v>
      </c>
    </row>
    <row r="1655" spans="7:13" x14ac:dyDescent="0.3">
      <c r="J1655" s="13"/>
      <c r="K1655" s="16" t="e">
        <f>_xll.PTreeNodeValue(treeCalc_1!$F$2,827)</f>
        <v>#VALUE!</v>
      </c>
    </row>
    <row r="1656" spans="7:13" x14ac:dyDescent="0.3">
      <c r="K1656" s="17" t="e">
        <v>#VALUE!</v>
      </c>
      <c r="L1656" s="15" t="s">
        <v>134</v>
      </c>
    </row>
    <row r="1657" spans="7:13" x14ac:dyDescent="0.3">
      <c r="K1657" s="13"/>
      <c r="L1657" s="16" t="e">
        <f>_xll.PTreeNodeValue(treeCalc_1!$F$2,828)</f>
        <v>#VALUE!</v>
      </c>
    </row>
    <row r="1658" spans="7:13" x14ac:dyDescent="0.3">
      <c r="L1658" s="17" t="e">
        <v>#VALUE!</v>
      </c>
      <c r="M1658" s="19" t="e">
        <f>_xll.PTreeNodeProbability(treeCalc_1!$F$2,829)</f>
        <v>#VALUE!</v>
      </c>
    </row>
    <row r="1659" spans="7:13" x14ac:dyDescent="0.3">
      <c r="L1659" s="13"/>
      <c r="M1659" s="18" t="e">
        <f>_xll.PTreeNodeValue(treeCalc_1!$F$2,829)</f>
        <v>#VALUE!</v>
      </c>
    </row>
    <row r="1660" spans="7:13" x14ac:dyDescent="0.3">
      <c r="G1660" s="17" t="e">
        <v>#VALUE!</v>
      </c>
      <c r="H1660" s="15" t="s">
        <v>145</v>
      </c>
    </row>
    <row r="1661" spans="7:13" x14ac:dyDescent="0.3">
      <c r="G1661" s="13"/>
      <c r="H1661" s="16" t="e">
        <f>_xll.PTreeNodeValue(treeCalc_1!$F$2,830)</f>
        <v>#VALUE!</v>
      </c>
    </row>
    <row r="1662" spans="7:13" x14ac:dyDescent="0.3">
      <c r="I1662" s="17" t="e">
        <v>#VALUE!</v>
      </c>
      <c r="J1662" s="15" t="s">
        <v>133</v>
      </c>
    </row>
    <row r="1663" spans="7:13" x14ac:dyDescent="0.3">
      <c r="I1663" s="13"/>
      <c r="J1663" s="16" t="e">
        <f>_xll.PTreeNodeValue(treeCalc_1!$F$2,831)</f>
        <v>#VALUE!</v>
      </c>
    </row>
    <row r="1664" spans="7:13" x14ac:dyDescent="0.3">
      <c r="J1664" s="17" t="e">
        <v>#VALUE!</v>
      </c>
      <c r="K1664" s="15" t="s">
        <v>132</v>
      </c>
    </row>
    <row r="1665" spans="5:13" x14ac:dyDescent="0.3">
      <c r="J1665" s="13"/>
      <c r="K1665" s="16" t="e">
        <f>_xll.PTreeNodeValue(treeCalc_1!$F$2,832)</f>
        <v>#VALUE!</v>
      </c>
    </row>
    <row r="1666" spans="5:13" x14ac:dyDescent="0.3">
      <c r="K1666" s="17" t="e">
        <v>#VALUE!</v>
      </c>
      <c r="L1666" s="15" t="s">
        <v>134</v>
      </c>
    </row>
    <row r="1667" spans="5:13" x14ac:dyDescent="0.3">
      <c r="K1667" s="13"/>
      <c r="L1667" s="16" t="e">
        <f>_xll.PTreeNodeValue(treeCalc_1!$F$2,833)</f>
        <v>#VALUE!</v>
      </c>
    </row>
    <row r="1668" spans="5:13" x14ac:dyDescent="0.3">
      <c r="L1668" s="17" t="e">
        <v>#VALUE!</v>
      </c>
      <c r="M1668" s="19" t="e">
        <f>_xll.PTreeNodeProbability(treeCalc_1!$F$2,834)</f>
        <v>#VALUE!</v>
      </c>
    </row>
    <row r="1669" spans="5:13" x14ac:dyDescent="0.3">
      <c r="L1669" s="13"/>
      <c r="M1669" s="18" t="e">
        <f>_xll.PTreeNodeValue(treeCalc_1!$F$2,834)</f>
        <v>#VALUE!</v>
      </c>
    </row>
    <row r="1670" spans="5:13" x14ac:dyDescent="0.3">
      <c r="H1670" s="17" t="e">
        <v>#VALUE!</v>
      </c>
      <c r="I1670" s="15" t="s">
        <v>146</v>
      </c>
    </row>
    <row r="1671" spans="5:13" x14ac:dyDescent="0.3">
      <c r="H1671" s="13"/>
      <c r="I1671" s="16" t="e">
        <f>_xll.PTreeNodeValue(treeCalc_1!$F$2,835)</f>
        <v>#VALUE!</v>
      </c>
    </row>
    <row r="1672" spans="5:13" x14ac:dyDescent="0.3">
      <c r="I1672" s="17" t="e">
        <v>#VALUE!</v>
      </c>
      <c r="J1672" s="15" t="s">
        <v>133</v>
      </c>
    </row>
    <row r="1673" spans="5:13" x14ac:dyDescent="0.3">
      <c r="I1673" s="13"/>
      <c r="J1673" s="16" t="e">
        <f>_xll.PTreeNodeValue(treeCalc_1!$F$2,836)</f>
        <v>#VALUE!</v>
      </c>
    </row>
    <row r="1674" spans="5:13" x14ac:dyDescent="0.3">
      <c r="J1674" s="17" t="e">
        <v>#VALUE!</v>
      </c>
      <c r="K1674" s="15" t="s">
        <v>132</v>
      </c>
    </row>
    <row r="1675" spans="5:13" x14ac:dyDescent="0.3">
      <c r="J1675" s="13"/>
      <c r="K1675" s="16" t="e">
        <f>_xll.PTreeNodeValue(treeCalc_1!$F$2,837)</f>
        <v>#VALUE!</v>
      </c>
    </row>
    <row r="1676" spans="5:13" x14ac:dyDescent="0.3">
      <c r="K1676" s="17" t="e">
        <v>#VALUE!</v>
      </c>
      <c r="L1676" s="15" t="s">
        <v>134</v>
      </c>
    </row>
    <row r="1677" spans="5:13" x14ac:dyDescent="0.3">
      <c r="K1677" s="13"/>
      <c r="L1677" s="16" t="e">
        <f>_xll.PTreeNodeValue(treeCalc_1!$F$2,838)</f>
        <v>#VALUE!</v>
      </c>
    </row>
    <row r="1678" spans="5:13" x14ac:dyDescent="0.3">
      <c r="L1678" s="17" t="e">
        <v>#VALUE!</v>
      </c>
      <c r="M1678" s="19" t="e">
        <f>_xll.PTreeNodeProbability(treeCalc_1!$F$2,839)</f>
        <v>#VALUE!</v>
      </c>
    </row>
    <row r="1679" spans="5:13" x14ac:dyDescent="0.3">
      <c r="L1679" s="13"/>
      <c r="M1679" s="18" t="e">
        <f>_xll.PTreeNodeValue(treeCalc_1!$F$2,839)</f>
        <v>#VALUE!</v>
      </c>
    </row>
    <row r="1680" spans="5:13" x14ac:dyDescent="0.3">
      <c r="E1680" s="17" t="e">
        <v>#VALUE!</v>
      </c>
      <c r="F1680" s="15" t="s">
        <v>141</v>
      </c>
    </row>
    <row r="1681" spans="5:13" x14ac:dyDescent="0.3">
      <c r="E1681" s="13"/>
      <c r="F1681" s="16" t="e">
        <f>_xll.PTreeNodeValue(treeCalc_1!$F$2,840)</f>
        <v>#VALUE!</v>
      </c>
    </row>
    <row r="1682" spans="5:13" x14ac:dyDescent="0.3">
      <c r="I1682" s="17" t="e">
        <v>#VALUE!</v>
      </c>
      <c r="J1682" s="15" t="s">
        <v>133</v>
      </c>
    </row>
    <row r="1683" spans="5:13" x14ac:dyDescent="0.3">
      <c r="I1683" s="13"/>
      <c r="J1683" s="16" t="e">
        <f>_xll.PTreeNodeValue(treeCalc_1!$F$2,841)</f>
        <v>#VALUE!</v>
      </c>
    </row>
    <row r="1684" spans="5:13" x14ac:dyDescent="0.3">
      <c r="J1684" s="17" t="e">
        <v>#VALUE!</v>
      </c>
      <c r="K1684" s="15" t="s">
        <v>132</v>
      </c>
    </row>
    <row r="1685" spans="5:13" x14ac:dyDescent="0.3">
      <c r="J1685" s="13"/>
      <c r="K1685" s="16" t="e">
        <f>_xll.PTreeNodeValue(treeCalc_1!$F$2,842)</f>
        <v>#VALUE!</v>
      </c>
    </row>
    <row r="1686" spans="5:13" x14ac:dyDescent="0.3">
      <c r="K1686" s="17" t="e">
        <v>#VALUE!</v>
      </c>
      <c r="L1686" s="15" t="s">
        <v>134</v>
      </c>
    </row>
    <row r="1687" spans="5:13" x14ac:dyDescent="0.3">
      <c r="K1687" s="13"/>
      <c r="L1687" s="16" t="e">
        <f>_xll.PTreeNodeValue(treeCalc_1!$F$2,843)</f>
        <v>#VALUE!</v>
      </c>
    </row>
    <row r="1688" spans="5:13" x14ac:dyDescent="0.3">
      <c r="L1688" s="17" t="e">
        <v>#VALUE!</v>
      </c>
      <c r="M1688" s="19" t="e">
        <f>_xll.PTreeNodeProbability(treeCalc_1!$F$2,844)</f>
        <v>#VALUE!</v>
      </c>
    </row>
    <row r="1689" spans="5:13" x14ac:dyDescent="0.3">
      <c r="L1689" s="13"/>
      <c r="M1689" s="18" t="e">
        <f>_xll.PTreeNodeValue(treeCalc_1!$F$2,844)</f>
        <v>#VALUE!</v>
      </c>
    </row>
    <row r="1690" spans="5:13" x14ac:dyDescent="0.3">
      <c r="H1690" s="17" t="e">
        <v>#VALUE!</v>
      </c>
      <c r="I1690" s="15" t="s">
        <v>146</v>
      </c>
    </row>
    <row r="1691" spans="5:13" x14ac:dyDescent="0.3">
      <c r="H1691" s="13"/>
      <c r="I1691" s="16" t="e">
        <f>_xll.PTreeNodeValue(treeCalc_1!$F$2,845)</f>
        <v>#VALUE!</v>
      </c>
    </row>
    <row r="1692" spans="5:13" x14ac:dyDescent="0.3">
      <c r="I1692" s="17" t="e">
        <v>#VALUE!</v>
      </c>
      <c r="J1692" s="15" t="s">
        <v>133</v>
      </c>
    </row>
    <row r="1693" spans="5:13" x14ac:dyDescent="0.3">
      <c r="I1693" s="13"/>
      <c r="J1693" s="16" t="e">
        <f>_xll.PTreeNodeValue(treeCalc_1!$F$2,846)</f>
        <v>#VALUE!</v>
      </c>
    </row>
    <row r="1694" spans="5:13" x14ac:dyDescent="0.3">
      <c r="J1694" s="17" t="e">
        <v>#VALUE!</v>
      </c>
      <c r="K1694" s="15" t="s">
        <v>132</v>
      </c>
    </row>
    <row r="1695" spans="5:13" x14ac:dyDescent="0.3">
      <c r="J1695" s="13"/>
      <c r="K1695" s="16" t="e">
        <f>_xll.PTreeNodeValue(treeCalc_1!$F$2,847)</f>
        <v>#VALUE!</v>
      </c>
    </row>
    <row r="1696" spans="5:13" x14ac:dyDescent="0.3">
      <c r="K1696" s="17" t="e">
        <v>#VALUE!</v>
      </c>
      <c r="L1696" s="15" t="s">
        <v>134</v>
      </c>
    </row>
    <row r="1697" spans="7:13" x14ac:dyDescent="0.3">
      <c r="K1697" s="13"/>
      <c r="L1697" s="16" t="e">
        <f>_xll.PTreeNodeValue(treeCalc_1!$F$2,848)</f>
        <v>#VALUE!</v>
      </c>
    </row>
    <row r="1698" spans="7:13" x14ac:dyDescent="0.3">
      <c r="L1698" s="17" t="e">
        <v>#VALUE!</v>
      </c>
      <c r="M1698" s="19" t="e">
        <f>_xll.PTreeNodeProbability(treeCalc_1!$F$2,849)</f>
        <v>#VALUE!</v>
      </c>
    </row>
    <row r="1699" spans="7:13" x14ac:dyDescent="0.3">
      <c r="L1699" s="13"/>
      <c r="M1699" s="18" t="e">
        <f>_xll.PTreeNodeValue(treeCalc_1!$F$2,849)</f>
        <v>#VALUE!</v>
      </c>
    </row>
    <row r="1700" spans="7:13" x14ac:dyDescent="0.3">
      <c r="G1700" s="17" t="e">
        <v>#VALUE!</v>
      </c>
      <c r="H1700" s="15" t="s">
        <v>145</v>
      </c>
    </row>
    <row r="1701" spans="7:13" x14ac:dyDescent="0.3">
      <c r="G1701" s="13"/>
      <c r="H1701" s="16" t="e">
        <f>_xll.PTreeNodeValue(treeCalc_1!$F$2,850)</f>
        <v>#VALUE!</v>
      </c>
    </row>
    <row r="1702" spans="7:13" x14ac:dyDescent="0.3">
      <c r="I1702" s="17" t="e">
        <v>#VALUE!</v>
      </c>
      <c r="J1702" s="15" t="s">
        <v>133</v>
      </c>
    </row>
    <row r="1703" spans="7:13" x14ac:dyDescent="0.3">
      <c r="I1703" s="13"/>
      <c r="J1703" s="16" t="e">
        <f>_xll.PTreeNodeValue(treeCalc_1!$F$2,851)</f>
        <v>#VALUE!</v>
      </c>
    </row>
    <row r="1704" spans="7:13" x14ac:dyDescent="0.3">
      <c r="J1704" s="17" t="e">
        <v>#VALUE!</v>
      </c>
      <c r="K1704" s="15" t="s">
        <v>132</v>
      </c>
    </row>
    <row r="1705" spans="7:13" x14ac:dyDescent="0.3">
      <c r="J1705" s="13"/>
      <c r="K1705" s="16" t="e">
        <f>_xll.PTreeNodeValue(treeCalc_1!$F$2,852)</f>
        <v>#VALUE!</v>
      </c>
    </row>
    <row r="1706" spans="7:13" x14ac:dyDescent="0.3">
      <c r="K1706" s="17" t="e">
        <v>#VALUE!</v>
      </c>
      <c r="L1706" s="15" t="s">
        <v>134</v>
      </c>
    </row>
    <row r="1707" spans="7:13" x14ac:dyDescent="0.3">
      <c r="K1707" s="13"/>
      <c r="L1707" s="16" t="e">
        <f>_xll.PTreeNodeValue(treeCalc_1!$F$2,853)</f>
        <v>#VALUE!</v>
      </c>
    </row>
    <row r="1708" spans="7:13" x14ac:dyDescent="0.3">
      <c r="L1708" s="17" t="e">
        <v>#VALUE!</v>
      </c>
      <c r="M1708" s="19" t="e">
        <f>_xll.PTreeNodeProbability(treeCalc_1!$F$2,854)</f>
        <v>#VALUE!</v>
      </c>
    </row>
    <row r="1709" spans="7:13" x14ac:dyDescent="0.3">
      <c r="L1709" s="13"/>
      <c r="M1709" s="18" t="e">
        <f>_xll.PTreeNodeValue(treeCalc_1!$F$2,854)</f>
        <v>#VALUE!</v>
      </c>
    </row>
    <row r="1710" spans="7:13" x14ac:dyDescent="0.3">
      <c r="H1710" s="17" t="e">
        <v>#VALUE!</v>
      </c>
      <c r="I1710" s="15" t="s">
        <v>146</v>
      </c>
    </row>
    <row r="1711" spans="7:13" x14ac:dyDescent="0.3">
      <c r="H1711" s="13"/>
      <c r="I1711" s="16" t="e">
        <f>_xll.PTreeNodeValue(treeCalc_1!$F$2,855)</f>
        <v>#VALUE!</v>
      </c>
    </row>
    <row r="1712" spans="7:13" x14ac:dyDescent="0.3">
      <c r="I1712" s="17" t="e">
        <v>#VALUE!</v>
      </c>
      <c r="J1712" s="15" t="s">
        <v>133</v>
      </c>
    </row>
    <row r="1713" spans="6:13" x14ac:dyDescent="0.3">
      <c r="I1713" s="13"/>
      <c r="J1713" s="16" t="e">
        <f>_xll.PTreeNodeValue(treeCalc_1!$F$2,856)</f>
        <v>#VALUE!</v>
      </c>
    </row>
    <row r="1714" spans="6:13" x14ac:dyDescent="0.3">
      <c r="J1714" s="17" t="e">
        <v>#VALUE!</v>
      </c>
      <c r="K1714" s="15" t="s">
        <v>132</v>
      </c>
    </row>
    <row r="1715" spans="6:13" x14ac:dyDescent="0.3">
      <c r="J1715" s="13"/>
      <c r="K1715" s="16" t="e">
        <f>_xll.PTreeNodeValue(treeCalc_1!$F$2,857)</f>
        <v>#VALUE!</v>
      </c>
    </row>
    <row r="1716" spans="6:13" x14ac:dyDescent="0.3">
      <c r="K1716" s="17" t="e">
        <v>#VALUE!</v>
      </c>
      <c r="L1716" s="15" t="s">
        <v>134</v>
      </c>
    </row>
    <row r="1717" spans="6:13" x14ac:dyDescent="0.3">
      <c r="K1717" s="13"/>
      <c r="L1717" s="16" t="e">
        <f>_xll.PTreeNodeValue(treeCalc_1!$F$2,858)</f>
        <v>#VALUE!</v>
      </c>
    </row>
    <row r="1718" spans="6:13" x14ac:dyDescent="0.3">
      <c r="L1718" s="17" t="e">
        <v>#VALUE!</v>
      </c>
      <c r="M1718" s="19" t="e">
        <f>_xll.PTreeNodeProbability(treeCalc_1!$F$2,859)</f>
        <v>#VALUE!</v>
      </c>
    </row>
    <row r="1719" spans="6:13" x14ac:dyDescent="0.3">
      <c r="L1719" s="13"/>
      <c r="M1719" s="18" t="e">
        <f>_xll.PTreeNodeValue(treeCalc_1!$F$2,859)</f>
        <v>#VALUE!</v>
      </c>
    </row>
    <row r="1720" spans="6:13" x14ac:dyDescent="0.3">
      <c r="F1720" s="17" t="e">
        <v>#VALUE!</v>
      </c>
      <c r="G1720" s="15" t="s">
        <v>144</v>
      </c>
    </row>
    <row r="1721" spans="6:13" x14ac:dyDescent="0.3">
      <c r="F1721" s="13"/>
      <c r="G1721" s="16" t="e">
        <f>_xll.PTreeNodeValue(treeCalc_1!$F$2,860)</f>
        <v>#VALUE!</v>
      </c>
    </row>
    <row r="1722" spans="6:13" x14ac:dyDescent="0.3">
      <c r="I1722" s="17" t="e">
        <v>#VALUE!</v>
      </c>
      <c r="J1722" s="15" t="s">
        <v>133</v>
      </c>
    </row>
    <row r="1723" spans="6:13" x14ac:dyDescent="0.3">
      <c r="I1723" s="13"/>
      <c r="J1723" s="16" t="e">
        <f>_xll.PTreeNodeValue(treeCalc_1!$F$2,861)</f>
        <v>#VALUE!</v>
      </c>
    </row>
    <row r="1724" spans="6:13" x14ac:dyDescent="0.3">
      <c r="J1724" s="17" t="e">
        <v>#VALUE!</v>
      </c>
      <c r="K1724" s="15" t="s">
        <v>132</v>
      </c>
    </row>
    <row r="1725" spans="6:13" x14ac:dyDescent="0.3">
      <c r="J1725" s="13"/>
      <c r="K1725" s="16" t="e">
        <f>_xll.PTreeNodeValue(treeCalc_1!$F$2,862)</f>
        <v>#VALUE!</v>
      </c>
    </row>
    <row r="1726" spans="6:13" x14ac:dyDescent="0.3">
      <c r="K1726" s="17" t="e">
        <v>#VALUE!</v>
      </c>
      <c r="L1726" s="15" t="s">
        <v>134</v>
      </c>
    </row>
    <row r="1727" spans="6:13" x14ac:dyDescent="0.3">
      <c r="K1727" s="13"/>
      <c r="L1727" s="16" t="e">
        <f>_xll.PTreeNodeValue(treeCalc_1!$F$2,863)</f>
        <v>#VALUE!</v>
      </c>
    </row>
    <row r="1728" spans="6:13" x14ac:dyDescent="0.3">
      <c r="L1728" s="17" t="e">
        <v>#VALUE!</v>
      </c>
      <c r="M1728" s="19" t="e">
        <f>_xll.PTreeNodeProbability(treeCalc_1!$F$2,864)</f>
        <v>#VALUE!</v>
      </c>
    </row>
    <row r="1729" spans="7:13" x14ac:dyDescent="0.3">
      <c r="L1729" s="13"/>
      <c r="M1729" s="18" t="e">
        <f>_xll.PTreeNodeValue(treeCalc_1!$F$2,864)</f>
        <v>#VALUE!</v>
      </c>
    </row>
    <row r="1730" spans="7:13" x14ac:dyDescent="0.3">
      <c r="H1730" s="17" t="e">
        <v>#VALUE!</v>
      </c>
      <c r="I1730" s="15" t="s">
        <v>146</v>
      </c>
    </row>
    <row r="1731" spans="7:13" x14ac:dyDescent="0.3">
      <c r="H1731" s="13"/>
      <c r="I1731" s="16" t="e">
        <f>_xll.PTreeNodeValue(treeCalc_1!$F$2,865)</f>
        <v>#VALUE!</v>
      </c>
    </row>
    <row r="1732" spans="7:13" x14ac:dyDescent="0.3">
      <c r="I1732" s="17" t="e">
        <v>#VALUE!</v>
      </c>
      <c r="J1732" s="15" t="s">
        <v>133</v>
      </c>
    </row>
    <row r="1733" spans="7:13" x14ac:dyDescent="0.3">
      <c r="I1733" s="13"/>
      <c r="J1733" s="16" t="e">
        <f>_xll.PTreeNodeValue(treeCalc_1!$F$2,866)</f>
        <v>#VALUE!</v>
      </c>
    </row>
    <row r="1734" spans="7:13" x14ac:dyDescent="0.3">
      <c r="J1734" s="17" t="e">
        <v>#VALUE!</v>
      </c>
      <c r="K1734" s="15" t="s">
        <v>132</v>
      </c>
    </row>
    <row r="1735" spans="7:13" x14ac:dyDescent="0.3">
      <c r="J1735" s="13"/>
      <c r="K1735" s="16" t="e">
        <f>_xll.PTreeNodeValue(treeCalc_1!$F$2,867)</f>
        <v>#VALUE!</v>
      </c>
    </row>
    <row r="1736" spans="7:13" x14ac:dyDescent="0.3">
      <c r="K1736" s="17" t="e">
        <v>#VALUE!</v>
      </c>
      <c r="L1736" s="15" t="s">
        <v>134</v>
      </c>
    </row>
    <row r="1737" spans="7:13" x14ac:dyDescent="0.3">
      <c r="K1737" s="13"/>
      <c r="L1737" s="16" t="e">
        <f>_xll.PTreeNodeValue(treeCalc_1!$F$2,868)</f>
        <v>#VALUE!</v>
      </c>
    </row>
    <row r="1738" spans="7:13" x14ac:dyDescent="0.3">
      <c r="L1738" s="17" t="e">
        <v>#VALUE!</v>
      </c>
      <c r="M1738" s="19" t="e">
        <f>_xll.PTreeNodeProbability(treeCalc_1!$F$2,869)</f>
        <v>#VALUE!</v>
      </c>
    </row>
    <row r="1739" spans="7:13" x14ac:dyDescent="0.3">
      <c r="L1739" s="13"/>
      <c r="M1739" s="18" t="e">
        <f>_xll.PTreeNodeValue(treeCalc_1!$F$2,869)</f>
        <v>#VALUE!</v>
      </c>
    </row>
    <row r="1740" spans="7:13" x14ac:dyDescent="0.3">
      <c r="G1740" s="17" t="e">
        <v>#VALUE!</v>
      </c>
      <c r="H1740" s="15" t="s">
        <v>145</v>
      </c>
    </row>
    <row r="1741" spans="7:13" x14ac:dyDescent="0.3">
      <c r="G1741" s="13"/>
      <c r="H1741" s="16" t="e">
        <f>_xll.PTreeNodeValue(treeCalc_1!$F$2,870)</f>
        <v>#VALUE!</v>
      </c>
    </row>
    <row r="1742" spans="7:13" x14ac:dyDescent="0.3">
      <c r="I1742" s="17" t="e">
        <v>#VALUE!</v>
      </c>
      <c r="J1742" s="15" t="s">
        <v>133</v>
      </c>
    </row>
    <row r="1743" spans="7:13" x14ac:dyDescent="0.3">
      <c r="I1743" s="13"/>
      <c r="J1743" s="16" t="e">
        <f>_xll.PTreeNodeValue(treeCalc_1!$F$2,871)</f>
        <v>#VALUE!</v>
      </c>
    </row>
    <row r="1744" spans="7:13" x14ac:dyDescent="0.3">
      <c r="J1744" s="17" t="e">
        <v>#VALUE!</v>
      </c>
      <c r="K1744" s="15" t="s">
        <v>132</v>
      </c>
    </row>
    <row r="1745" spans="4:13" x14ac:dyDescent="0.3">
      <c r="J1745" s="13"/>
      <c r="K1745" s="16" t="e">
        <f>_xll.PTreeNodeValue(treeCalc_1!$F$2,872)</f>
        <v>#VALUE!</v>
      </c>
    </row>
    <row r="1746" spans="4:13" x14ac:dyDescent="0.3">
      <c r="K1746" s="17" t="e">
        <v>#VALUE!</v>
      </c>
      <c r="L1746" s="15" t="s">
        <v>134</v>
      </c>
    </row>
    <row r="1747" spans="4:13" x14ac:dyDescent="0.3">
      <c r="K1747" s="13"/>
      <c r="L1747" s="16" t="e">
        <f>_xll.PTreeNodeValue(treeCalc_1!$F$2,873)</f>
        <v>#VALUE!</v>
      </c>
    </row>
    <row r="1748" spans="4:13" x14ac:dyDescent="0.3">
      <c r="L1748" s="17" t="e">
        <v>#VALUE!</v>
      </c>
      <c r="M1748" s="19" t="e">
        <f>_xll.PTreeNodeProbability(treeCalc_1!$F$2,874)</f>
        <v>#VALUE!</v>
      </c>
    </row>
    <row r="1749" spans="4:13" x14ac:dyDescent="0.3">
      <c r="L1749" s="13"/>
      <c r="M1749" s="18" t="e">
        <f>_xll.PTreeNodeValue(treeCalc_1!$F$2,874)</f>
        <v>#VALUE!</v>
      </c>
    </row>
    <row r="1750" spans="4:13" x14ac:dyDescent="0.3">
      <c r="H1750" s="17" t="e">
        <v>#VALUE!</v>
      </c>
      <c r="I1750" s="15" t="s">
        <v>146</v>
      </c>
    </row>
    <row r="1751" spans="4:13" x14ac:dyDescent="0.3">
      <c r="H1751" s="13"/>
      <c r="I1751" s="16" t="e">
        <f>_xll.PTreeNodeValue(treeCalc_1!$F$2,875)</f>
        <v>#VALUE!</v>
      </c>
    </row>
    <row r="1752" spans="4:13" x14ac:dyDescent="0.3">
      <c r="I1752" s="17" t="e">
        <v>#VALUE!</v>
      </c>
      <c r="J1752" s="15" t="s">
        <v>133</v>
      </c>
    </row>
    <row r="1753" spans="4:13" x14ac:dyDescent="0.3">
      <c r="I1753" s="13"/>
      <c r="J1753" s="16" t="e">
        <f>_xll.PTreeNodeValue(treeCalc_1!$F$2,876)</f>
        <v>#VALUE!</v>
      </c>
    </row>
    <row r="1754" spans="4:13" x14ac:dyDescent="0.3">
      <c r="J1754" s="17" t="e">
        <v>#VALUE!</v>
      </c>
      <c r="K1754" s="15" t="s">
        <v>132</v>
      </c>
    </row>
    <row r="1755" spans="4:13" x14ac:dyDescent="0.3">
      <c r="J1755" s="13"/>
      <c r="K1755" s="16" t="e">
        <f>_xll.PTreeNodeValue(treeCalc_1!$F$2,877)</f>
        <v>#VALUE!</v>
      </c>
    </row>
    <row r="1756" spans="4:13" x14ac:dyDescent="0.3">
      <c r="K1756" s="17" t="e">
        <v>#VALUE!</v>
      </c>
      <c r="L1756" s="15" t="s">
        <v>134</v>
      </c>
    </row>
    <row r="1757" spans="4:13" x14ac:dyDescent="0.3">
      <c r="K1757" s="13"/>
      <c r="L1757" s="16" t="e">
        <f>_xll.PTreeNodeValue(treeCalc_1!$F$2,878)</f>
        <v>#VALUE!</v>
      </c>
    </row>
    <row r="1758" spans="4:13" x14ac:dyDescent="0.3">
      <c r="L1758" s="17" t="e">
        <v>#VALUE!</v>
      </c>
      <c r="M1758" s="19" t="e">
        <f>_xll.PTreeNodeProbability(treeCalc_1!$F$2,879)</f>
        <v>#VALUE!</v>
      </c>
    </row>
    <row r="1759" spans="4:13" x14ac:dyDescent="0.3">
      <c r="L1759" s="13"/>
      <c r="M1759" s="18" t="e">
        <f>_xll.PTreeNodeValue(treeCalc_1!$F$2,879)</f>
        <v>#VALUE!</v>
      </c>
    </row>
    <row r="1760" spans="4:13" x14ac:dyDescent="0.3">
      <c r="D1760" s="14" t="e">
        <f>_xll.PTreeNodeDecision(treeCalc_1!$F$2,880)</f>
        <v>#VALUE!</v>
      </c>
      <c r="E1760" s="15" t="s">
        <v>143</v>
      </c>
    </row>
    <row r="1761" spans="4:13" x14ac:dyDescent="0.3">
      <c r="D1761" s="13"/>
      <c r="E1761" s="16" t="e">
        <f>_xll.PTreeNodeValue(treeCalc_1!$F$2,880)</f>
        <v>#VALUE!</v>
      </c>
    </row>
    <row r="1762" spans="4:13" x14ac:dyDescent="0.3">
      <c r="I1762" s="17" t="e">
        <v>#VALUE!</v>
      </c>
      <c r="J1762" s="15" t="s">
        <v>133</v>
      </c>
    </row>
    <row r="1763" spans="4:13" x14ac:dyDescent="0.3">
      <c r="I1763" s="13"/>
      <c r="J1763" s="16" t="e">
        <f>_xll.PTreeNodeValue(treeCalc_1!$F$2,881)</f>
        <v>#VALUE!</v>
      </c>
    </row>
    <row r="1764" spans="4:13" x14ac:dyDescent="0.3">
      <c r="J1764" s="17" t="e">
        <v>#VALUE!</v>
      </c>
      <c r="K1764" s="15" t="s">
        <v>132</v>
      </c>
    </row>
    <row r="1765" spans="4:13" x14ac:dyDescent="0.3">
      <c r="J1765" s="13"/>
      <c r="K1765" s="16" t="e">
        <f>_xll.PTreeNodeValue(treeCalc_1!$F$2,882)</f>
        <v>#VALUE!</v>
      </c>
    </row>
    <row r="1766" spans="4:13" x14ac:dyDescent="0.3">
      <c r="K1766" s="17" t="e">
        <v>#VALUE!</v>
      </c>
      <c r="L1766" s="15" t="s">
        <v>134</v>
      </c>
    </row>
    <row r="1767" spans="4:13" x14ac:dyDescent="0.3">
      <c r="K1767" s="13"/>
      <c r="L1767" s="16" t="e">
        <f>_xll.PTreeNodeValue(treeCalc_1!$F$2,883)</f>
        <v>#VALUE!</v>
      </c>
    </row>
    <row r="1768" spans="4:13" x14ac:dyDescent="0.3">
      <c r="L1768" s="17" t="e">
        <v>#VALUE!</v>
      </c>
      <c r="M1768" s="19" t="e">
        <f>_xll.PTreeNodeProbability(treeCalc_1!$F$2,884)</f>
        <v>#VALUE!</v>
      </c>
    </row>
    <row r="1769" spans="4:13" x14ac:dyDescent="0.3">
      <c r="L1769" s="13"/>
      <c r="M1769" s="18" t="e">
        <f>_xll.PTreeNodeValue(treeCalc_1!$F$2,884)</f>
        <v>#VALUE!</v>
      </c>
    </row>
    <row r="1770" spans="4:13" x14ac:dyDescent="0.3">
      <c r="H1770" s="17" t="e">
        <v>#VALUE!</v>
      </c>
      <c r="I1770" s="15" t="s">
        <v>146</v>
      </c>
    </row>
    <row r="1771" spans="4:13" x14ac:dyDescent="0.3">
      <c r="H1771" s="13"/>
      <c r="I1771" s="16" t="e">
        <f>_xll.PTreeNodeValue(treeCalc_1!$F$2,885)</f>
        <v>#VALUE!</v>
      </c>
    </row>
    <row r="1772" spans="4:13" x14ac:dyDescent="0.3">
      <c r="I1772" s="17" t="e">
        <v>#VALUE!</v>
      </c>
      <c r="J1772" s="15" t="s">
        <v>133</v>
      </c>
    </row>
    <row r="1773" spans="4:13" x14ac:dyDescent="0.3">
      <c r="I1773" s="13"/>
      <c r="J1773" s="16" t="e">
        <f>_xll.PTreeNodeValue(treeCalc_1!$F$2,886)</f>
        <v>#VALUE!</v>
      </c>
    </row>
    <row r="1774" spans="4:13" x14ac:dyDescent="0.3">
      <c r="J1774" s="17" t="e">
        <v>#VALUE!</v>
      </c>
      <c r="K1774" s="15" t="s">
        <v>132</v>
      </c>
    </row>
    <row r="1775" spans="4:13" x14ac:dyDescent="0.3">
      <c r="J1775" s="13"/>
      <c r="K1775" s="16" t="e">
        <f>_xll.PTreeNodeValue(treeCalc_1!$F$2,887)</f>
        <v>#VALUE!</v>
      </c>
    </row>
    <row r="1776" spans="4:13" x14ac:dyDescent="0.3">
      <c r="K1776" s="17" t="e">
        <v>#VALUE!</v>
      </c>
      <c r="L1776" s="15" t="s">
        <v>134</v>
      </c>
    </row>
    <row r="1777" spans="7:13" x14ac:dyDescent="0.3">
      <c r="K1777" s="13"/>
      <c r="L1777" s="16" t="e">
        <f>_xll.PTreeNodeValue(treeCalc_1!$F$2,888)</f>
        <v>#VALUE!</v>
      </c>
    </row>
    <row r="1778" spans="7:13" x14ac:dyDescent="0.3">
      <c r="L1778" s="17" t="e">
        <v>#VALUE!</v>
      </c>
      <c r="M1778" s="19" t="e">
        <f>_xll.PTreeNodeProbability(treeCalc_1!$F$2,889)</f>
        <v>#VALUE!</v>
      </c>
    </row>
    <row r="1779" spans="7:13" x14ac:dyDescent="0.3">
      <c r="L1779" s="13"/>
      <c r="M1779" s="18" t="e">
        <f>_xll.PTreeNodeValue(treeCalc_1!$F$2,889)</f>
        <v>#VALUE!</v>
      </c>
    </row>
    <row r="1780" spans="7:13" x14ac:dyDescent="0.3">
      <c r="G1780" s="17" t="e">
        <v>#VALUE!</v>
      </c>
      <c r="H1780" s="15" t="s">
        <v>145</v>
      </c>
    </row>
    <row r="1781" spans="7:13" x14ac:dyDescent="0.3">
      <c r="G1781" s="13"/>
      <c r="H1781" s="16" t="e">
        <f>_xll.PTreeNodeValue(treeCalc_1!$F$2,890)</f>
        <v>#VALUE!</v>
      </c>
    </row>
    <row r="1782" spans="7:13" x14ac:dyDescent="0.3">
      <c r="I1782" s="17" t="e">
        <v>#VALUE!</v>
      </c>
      <c r="J1782" s="15" t="s">
        <v>133</v>
      </c>
    </row>
    <row r="1783" spans="7:13" x14ac:dyDescent="0.3">
      <c r="I1783" s="13"/>
      <c r="J1783" s="16" t="e">
        <f>_xll.PTreeNodeValue(treeCalc_1!$F$2,891)</f>
        <v>#VALUE!</v>
      </c>
    </row>
    <row r="1784" spans="7:13" x14ac:dyDescent="0.3">
      <c r="J1784" s="17" t="e">
        <v>#VALUE!</v>
      </c>
      <c r="K1784" s="15" t="s">
        <v>132</v>
      </c>
    </row>
    <row r="1785" spans="7:13" x14ac:dyDescent="0.3">
      <c r="J1785" s="13"/>
      <c r="K1785" s="16" t="e">
        <f>_xll.PTreeNodeValue(treeCalc_1!$F$2,892)</f>
        <v>#VALUE!</v>
      </c>
    </row>
    <row r="1786" spans="7:13" x14ac:dyDescent="0.3">
      <c r="K1786" s="17" t="e">
        <v>#VALUE!</v>
      </c>
      <c r="L1786" s="15" t="s">
        <v>134</v>
      </c>
    </row>
    <row r="1787" spans="7:13" x14ac:dyDescent="0.3">
      <c r="K1787" s="13"/>
      <c r="L1787" s="16" t="e">
        <f>_xll.PTreeNodeValue(treeCalc_1!$F$2,893)</f>
        <v>#VALUE!</v>
      </c>
    </row>
    <row r="1788" spans="7:13" x14ac:dyDescent="0.3">
      <c r="L1788" s="17" t="e">
        <v>#VALUE!</v>
      </c>
      <c r="M1788" s="19" t="e">
        <f>_xll.PTreeNodeProbability(treeCalc_1!$F$2,894)</f>
        <v>#VALUE!</v>
      </c>
    </row>
    <row r="1789" spans="7:13" x14ac:dyDescent="0.3">
      <c r="L1789" s="13"/>
      <c r="M1789" s="18" t="e">
        <f>_xll.PTreeNodeValue(treeCalc_1!$F$2,894)</f>
        <v>#VALUE!</v>
      </c>
    </row>
    <row r="1790" spans="7:13" x14ac:dyDescent="0.3">
      <c r="H1790" s="17" t="e">
        <v>#VALUE!</v>
      </c>
      <c r="I1790" s="15" t="s">
        <v>146</v>
      </c>
    </row>
    <row r="1791" spans="7:13" x14ac:dyDescent="0.3">
      <c r="H1791" s="13"/>
      <c r="I1791" s="16" t="e">
        <f>_xll.PTreeNodeValue(treeCalc_1!$F$2,895)</f>
        <v>#VALUE!</v>
      </c>
    </row>
    <row r="1792" spans="7:13" x14ac:dyDescent="0.3">
      <c r="I1792" s="17" t="e">
        <v>#VALUE!</v>
      </c>
      <c r="J1792" s="15" t="s">
        <v>133</v>
      </c>
    </row>
    <row r="1793" spans="6:13" x14ac:dyDescent="0.3">
      <c r="I1793" s="13"/>
      <c r="J1793" s="16" t="e">
        <f>_xll.PTreeNodeValue(treeCalc_1!$F$2,896)</f>
        <v>#VALUE!</v>
      </c>
    </row>
    <row r="1794" spans="6:13" x14ac:dyDescent="0.3">
      <c r="J1794" s="17" t="e">
        <v>#VALUE!</v>
      </c>
      <c r="K1794" s="15" t="s">
        <v>132</v>
      </c>
    </row>
    <row r="1795" spans="6:13" x14ac:dyDescent="0.3">
      <c r="J1795" s="13"/>
      <c r="K1795" s="16" t="e">
        <f>_xll.PTreeNodeValue(treeCalc_1!$F$2,897)</f>
        <v>#VALUE!</v>
      </c>
    </row>
    <row r="1796" spans="6:13" x14ac:dyDescent="0.3">
      <c r="K1796" s="17" t="e">
        <v>#VALUE!</v>
      </c>
      <c r="L1796" s="15" t="s">
        <v>134</v>
      </c>
    </row>
    <row r="1797" spans="6:13" x14ac:dyDescent="0.3">
      <c r="K1797" s="13"/>
      <c r="L1797" s="16" t="e">
        <f>_xll.PTreeNodeValue(treeCalc_1!$F$2,898)</f>
        <v>#VALUE!</v>
      </c>
    </row>
    <row r="1798" spans="6:13" x14ac:dyDescent="0.3">
      <c r="L1798" s="17" t="e">
        <v>#VALUE!</v>
      </c>
      <c r="M1798" s="19" t="e">
        <f>_xll.PTreeNodeProbability(treeCalc_1!$F$2,899)</f>
        <v>#VALUE!</v>
      </c>
    </row>
    <row r="1799" spans="6:13" x14ac:dyDescent="0.3">
      <c r="L1799" s="13"/>
      <c r="M1799" s="18" t="e">
        <f>_xll.PTreeNodeValue(treeCalc_1!$F$2,899)</f>
        <v>#VALUE!</v>
      </c>
    </row>
    <row r="1800" spans="6:13" x14ac:dyDescent="0.3">
      <c r="F1800" s="17" t="e">
        <v>#VALUE!</v>
      </c>
      <c r="G1800" s="15" t="s">
        <v>144</v>
      </c>
    </row>
    <row r="1801" spans="6:13" x14ac:dyDescent="0.3">
      <c r="F1801" s="13"/>
      <c r="G1801" s="16" t="e">
        <f>_xll.PTreeNodeValue(treeCalc_1!$F$2,900)</f>
        <v>#VALUE!</v>
      </c>
    </row>
    <row r="1802" spans="6:13" x14ac:dyDescent="0.3">
      <c r="I1802" s="17" t="e">
        <v>#VALUE!</v>
      </c>
      <c r="J1802" s="15" t="s">
        <v>133</v>
      </c>
    </row>
    <row r="1803" spans="6:13" x14ac:dyDescent="0.3">
      <c r="I1803" s="13"/>
      <c r="J1803" s="16" t="e">
        <f>_xll.PTreeNodeValue(treeCalc_1!$F$2,901)</f>
        <v>#VALUE!</v>
      </c>
    </row>
    <row r="1804" spans="6:13" x14ac:dyDescent="0.3">
      <c r="J1804" s="17" t="e">
        <v>#VALUE!</v>
      </c>
      <c r="K1804" s="15" t="s">
        <v>132</v>
      </c>
    </row>
    <row r="1805" spans="6:13" x14ac:dyDescent="0.3">
      <c r="J1805" s="13"/>
      <c r="K1805" s="16" t="e">
        <f>_xll.PTreeNodeValue(treeCalc_1!$F$2,902)</f>
        <v>#VALUE!</v>
      </c>
    </row>
    <row r="1806" spans="6:13" x14ac:dyDescent="0.3">
      <c r="K1806" s="17" t="e">
        <v>#VALUE!</v>
      </c>
      <c r="L1806" s="15" t="s">
        <v>134</v>
      </c>
    </row>
    <row r="1807" spans="6:13" x14ac:dyDescent="0.3">
      <c r="K1807" s="13"/>
      <c r="L1807" s="16" t="e">
        <f>_xll.PTreeNodeValue(treeCalc_1!$F$2,903)</f>
        <v>#VALUE!</v>
      </c>
    </row>
    <row r="1808" spans="6:13" x14ac:dyDescent="0.3">
      <c r="L1808" s="17" t="e">
        <v>#VALUE!</v>
      </c>
      <c r="M1808" s="19" t="e">
        <f>_xll.PTreeNodeProbability(treeCalc_1!$F$2,904)</f>
        <v>#VALUE!</v>
      </c>
    </row>
    <row r="1809" spans="7:13" x14ac:dyDescent="0.3">
      <c r="L1809" s="13"/>
      <c r="M1809" s="18" t="e">
        <f>_xll.PTreeNodeValue(treeCalc_1!$F$2,904)</f>
        <v>#VALUE!</v>
      </c>
    </row>
    <row r="1810" spans="7:13" x14ac:dyDescent="0.3">
      <c r="H1810" s="17" t="e">
        <v>#VALUE!</v>
      </c>
      <c r="I1810" s="15" t="s">
        <v>146</v>
      </c>
    </row>
    <row r="1811" spans="7:13" x14ac:dyDescent="0.3">
      <c r="H1811" s="13"/>
      <c r="I1811" s="16" t="e">
        <f>_xll.PTreeNodeValue(treeCalc_1!$F$2,905)</f>
        <v>#VALUE!</v>
      </c>
    </row>
    <row r="1812" spans="7:13" x14ac:dyDescent="0.3">
      <c r="I1812" s="17" t="e">
        <v>#VALUE!</v>
      </c>
      <c r="J1812" s="15" t="s">
        <v>133</v>
      </c>
    </row>
    <row r="1813" spans="7:13" x14ac:dyDescent="0.3">
      <c r="I1813" s="13"/>
      <c r="J1813" s="16" t="e">
        <f>_xll.PTreeNodeValue(treeCalc_1!$F$2,906)</f>
        <v>#VALUE!</v>
      </c>
    </row>
    <row r="1814" spans="7:13" x14ac:dyDescent="0.3">
      <c r="J1814" s="17" t="e">
        <v>#VALUE!</v>
      </c>
      <c r="K1814" s="15" t="s">
        <v>132</v>
      </c>
    </row>
    <row r="1815" spans="7:13" x14ac:dyDescent="0.3">
      <c r="J1815" s="13"/>
      <c r="K1815" s="16" t="e">
        <f>_xll.PTreeNodeValue(treeCalc_1!$F$2,907)</f>
        <v>#VALUE!</v>
      </c>
    </row>
    <row r="1816" spans="7:13" x14ac:dyDescent="0.3">
      <c r="K1816" s="17" t="e">
        <v>#VALUE!</v>
      </c>
      <c r="L1816" s="15" t="s">
        <v>134</v>
      </c>
    </row>
    <row r="1817" spans="7:13" x14ac:dyDescent="0.3">
      <c r="K1817" s="13"/>
      <c r="L1817" s="16" t="e">
        <f>_xll.PTreeNodeValue(treeCalc_1!$F$2,908)</f>
        <v>#VALUE!</v>
      </c>
    </row>
    <row r="1818" spans="7:13" x14ac:dyDescent="0.3">
      <c r="L1818" s="17" t="e">
        <v>#VALUE!</v>
      </c>
      <c r="M1818" s="19" t="e">
        <f>_xll.PTreeNodeProbability(treeCalc_1!$F$2,909)</f>
        <v>#VALUE!</v>
      </c>
    </row>
    <row r="1819" spans="7:13" x14ac:dyDescent="0.3">
      <c r="L1819" s="13"/>
      <c r="M1819" s="18" t="e">
        <f>_xll.PTreeNodeValue(treeCalc_1!$F$2,909)</f>
        <v>#VALUE!</v>
      </c>
    </row>
    <row r="1820" spans="7:13" x14ac:dyDescent="0.3">
      <c r="G1820" s="17" t="e">
        <v>#VALUE!</v>
      </c>
      <c r="H1820" s="15" t="s">
        <v>145</v>
      </c>
    </row>
    <row r="1821" spans="7:13" x14ac:dyDescent="0.3">
      <c r="G1821" s="13"/>
      <c r="H1821" s="16" t="e">
        <f>_xll.PTreeNodeValue(treeCalc_1!$F$2,910)</f>
        <v>#VALUE!</v>
      </c>
    </row>
    <row r="1822" spans="7:13" x14ac:dyDescent="0.3">
      <c r="I1822" s="17" t="e">
        <v>#VALUE!</v>
      </c>
      <c r="J1822" s="15" t="s">
        <v>133</v>
      </c>
    </row>
    <row r="1823" spans="7:13" x14ac:dyDescent="0.3">
      <c r="I1823" s="13"/>
      <c r="J1823" s="16" t="e">
        <f>_xll.PTreeNodeValue(treeCalc_1!$F$2,911)</f>
        <v>#VALUE!</v>
      </c>
    </row>
    <row r="1824" spans="7:13" x14ac:dyDescent="0.3">
      <c r="J1824" s="17" t="e">
        <v>#VALUE!</v>
      </c>
      <c r="K1824" s="15" t="s">
        <v>132</v>
      </c>
    </row>
    <row r="1825" spans="5:13" x14ac:dyDescent="0.3">
      <c r="J1825" s="13"/>
      <c r="K1825" s="16" t="e">
        <f>_xll.PTreeNodeValue(treeCalc_1!$F$2,912)</f>
        <v>#VALUE!</v>
      </c>
    </row>
    <row r="1826" spans="5:13" x14ac:dyDescent="0.3">
      <c r="K1826" s="17" t="e">
        <v>#VALUE!</v>
      </c>
      <c r="L1826" s="15" t="s">
        <v>134</v>
      </c>
    </row>
    <row r="1827" spans="5:13" x14ac:dyDescent="0.3">
      <c r="K1827" s="13"/>
      <c r="L1827" s="16" t="e">
        <f>_xll.PTreeNodeValue(treeCalc_1!$F$2,913)</f>
        <v>#VALUE!</v>
      </c>
    </row>
    <row r="1828" spans="5:13" x14ac:dyDescent="0.3">
      <c r="L1828" s="17" t="e">
        <v>#VALUE!</v>
      </c>
      <c r="M1828" s="19" t="e">
        <f>_xll.PTreeNodeProbability(treeCalc_1!$F$2,914)</f>
        <v>#VALUE!</v>
      </c>
    </row>
    <row r="1829" spans="5:13" x14ac:dyDescent="0.3">
      <c r="L1829" s="13"/>
      <c r="M1829" s="18" t="e">
        <f>_xll.PTreeNodeValue(treeCalc_1!$F$2,914)</f>
        <v>#VALUE!</v>
      </c>
    </row>
    <row r="1830" spans="5:13" x14ac:dyDescent="0.3">
      <c r="H1830" s="17" t="e">
        <v>#VALUE!</v>
      </c>
      <c r="I1830" s="15" t="s">
        <v>146</v>
      </c>
    </row>
    <row r="1831" spans="5:13" x14ac:dyDescent="0.3">
      <c r="H1831" s="13"/>
      <c r="I1831" s="16" t="e">
        <f>_xll.PTreeNodeValue(treeCalc_1!$F$2,915)</f>
        <v>#VALUE!</v>
      </c>
    </row>
    <row r="1832" spans="5:13" x14ac:dyDescent="0.3">
      <c r="I1832" s="17" t="e">
        <v>#VALUE!</v>
      </c>
      <c r="J1832" s="15" t="s">
        <v>133</v>
      </c>
    </row>
    <row r="1833" spans="5:13" x14ac:dyDescent="0.3">
      <c r="I1833" s="13"/>
      <c r="J1833" s="16" t="e">
        <f>_xll.PTreeNodeValue(treeCalc_1!$F$2,916)</f>
        <v>#VALUE!</v>
      </c>
    </row>
    <row r="1834" spans="5:13" x14ac:dyDescent="0.3">
      <c r="J1834" s="17" t="e">
        <v>#VALUE!</v>
      </c>
      <c r="K1834" s="15" t="s">
        <v>132</v>
      </c>
    </row>
    <row r="1835" spans="5:13" x14ac:dyDescent="0.3">
      <c r="J1835" s="13"/>
      <c r="K1835" s="16" t="e">
        <f>_xll.PTreeNodeValue(treeCalc_1!$F$2,917)</f>
        <v>#VALUE!</v>
      </c>
    </row>
    <row r="1836" spans="5:13" x14ac:dyDescent="0.3">
      <c r="K1836" s="17" t="e">
        <v>#VALUE!</v>
      </c>
      <c r="L1836" s="15" t="s">
        <v>134</v>
      </c>
    </row>
    <row r="1837" spans="5:13" x14ac:dyDescent="0.3">
      <c r="K1837" s="13"/>
      <c r="L1837" s="16" t="e">
        <f>_xll.PTreeNodeValue(treeCalc_1!$F$2,918)</f>
        <v>#VALUE!</v>
      </c>
    </row>
    <row r="1838" spans="5:13" x14ac:dyDescent="0.3">
      <c r="L1838" s="17" t="e">
        <v>#VALUE!</v>
      </c>
      <c r="M1838" s="19" t="e">
        <f>_xll.PTreeNodeProbability(treeCalc_1!$F$2,919)</f>
        <v>#VALUE!</v>
      </c>
    </row>
    <row r="1839" spans="5:13" x14ac:dyDescent="0.3">
      <c r="L1839" s="13"/>
      <c r="M1839" s="18" t="e">
        <f>_xll.PTreeNodeValue(treeCalc_1!$F$2,919)</f>
        <v>#VALUE!</v>
      </c>
    </row>
    <row r="1840" spans="5:13" x14ac:dyDescent="0.3">
      <c r="E1840" s="17" t="e">
        <v>#VALUE!</v>
      </c>
      <c r="F1840" s="15" t="s">
        <v>141</v>
      </c>
    </row>
    <row r="1841" spans="5:13" x14ac:dyDescent="0.3">
      <c r="E1841" s="13"/>
      <c r="F1841" s="16" t="e">
        <f>_xll.PTreeNodeValue(treeCalc_1!$F$2,920)</f>
        <v>#VALUE!</v>
      </c>
    </row>
    <row r="1842" spans="5:13" x14ac:dyDescent="0.3">
      <c r="I1842" s="17" t="e">
        <v>#VALUE!</v>
      </c>
      <c r="J1842" s="15" t="s">
        <v>133</v>
      </c>
    </row>
    <row r="1843" spans="5:13" x14ac:dyDescent="0.3">
      <c r="I1843" s="13"/>
      <c r="J1843" s="16" t="e">
        <f>_xll.PTreeNodeValue(treeCalc_1!$F$2,921)</f>
        <v>#VALUE!</v>
      </c>
    </row>
    <row r="1844" spans="5:13" x14ac:dyDescent="0.3">
      <c r="J1844" s="17" t="e">
        <v>#VALUE!</v>
      </c>
      <c r="K1844" s="15" t="s">
        <v>132</v>
      </c>
    </row>
    <row r="1845" spans="5:13" x14ac:dyDescent="0.3">
      <c r="J1845" s="13"/>
      <c r="K1845" s="16" t="e">
        <f>_xll.PTreeNodeValue(treeCalc_1!$F$2,922)</f>
        <v>#VALUE!</v>
      </c>
    </row>
    <row r="1846" spans="5:13" x14ac:dyDescent="0.3">
      <c r="K1846" s="17" t="e">
        <v>#VALUE!</v>
      </c>
      <c r="L1846" s="15" t="s">
        <v>134</v>
      </c>
    </row>
    <row r="1847" spans="5:13" x14ac:dyDescent="0.3">
      <c r="K1847" s="13"/>
      <c r="L1847" s="16" t="e">
        <f>_xll.PTreeNodeValue(treeCalc_1!$F$2,923)</f>
        <v>#VALUE!</v>
      </c>
    </row>
    <row r="1848" spans="5:13" x14ac:dyDescent="0.3">
      <c r="L1848" s="17" t="e">
        <v>#VALUE!</v>
      </c>
      <c r="M1848" s="19" t="e">
        <f>_xll.PTreeNodeProbability(treeCalc_1!$F$2,924)</f>
        <v>#VALUE!</v>
      </c>
    </row>
    <row r="1849" spans="5:13" x14ac:dyDescent="0.3">
      <c r="L1849" s="13"/>
      <c r="M1849" s="18" t="e">
        <f>_xll.PTreeNodeValue(treeCalc_1!$F$2,924)</f>
        <v>#VALUE!</v>
      </c>
    </row>
    <row r="1850" spans="5:13" x14ac:dyDescent="0.3">
      <c r="H1850" s="17" t="e">
        <v>#VALUE!</v>
      </c>
      <c r="I1850" s="15" t="s">
        <v>146</v>
      </c>
    </row>
    <row r="1851" spans="5:13" x14ac:dyDescent="0.3">
      <c r="H1851" s="13"/>
      <c r="I1851" s="16" t="e">
        <f>_xll.PTreeNodeValue(treeCalc_1!$F$2,925)</f>
        <v>#VALUE!</v>
      </c>
    </row>
    <row r="1852" spans="5:13" x14ac:dyDescent="0.3">
      <c r="I1852" s="17" t="e">
        <v>#VALUE!</v>
      </c>
      <c r="J1852" s="15" t="s">
        <v>133</v>
      </c>
    </row>
    <row r="1853" spans="5:13" x14ac:dyDescent="0.3">
      <c r="I1853" s="13"/>
      <c r="J1853" s="16" t="e">
        <f>_xll.PTreeNodeValue(treeCalc_1!$F$2,926)</f>
        <v>#VALUE!</v>
      </c>
    </row>
    <row r="1854" spans="5:13" x14ac:dyDescent="0.3">
      <c r="J1854" s="17" t="e">
        <v>#VALUE!</v>
      </c>
      <c r="K1854" s="15" t="s">
        <v>132</v>
      </c>
    </row>
    <row r="1855" spans="5:13" x14ac:dyDescent="0.3">
      <c r="J1855" s="13"/>
      <c r="K1855" s="16" t="e">
        <f>_xll.PTreeNodeValue(treeCalc_1!$F$2,927)</f>
        <v>#VALUE!</v>
      </c>
    </row>
    <row r="1856" spans="5:13" x14ac:dyDescent="0.3">
      <c r="K1856" s="17" t="e">
        <v>#VALUE!</v>
      </c>
      <c r="L1856" s="15" t="s">
        <v>134</v>
      </c>
    </row>
    <row r="1857" spans="7:13" x14ac:dyDescent="0.3">
      <c r="K1857" s="13"/>
      <c r="L1857" s="16" t="e">
        <f>_xll.PTreeNodeValue(treeCalc_1!$F$2,928)</f>
        <v>#VALUE!</v>
      </c>
    </row>
    <row r="1858" spans="7:13" x14ac:dyDescent="0.3">
      <c r="L1858" s="17" t="e">
        <v>#VALUE!</v>
      </c>
      <c r="M1858" s="19" t="e">
        <f>_xll.PTreeNodeProbability(treeCalc_1!$F$2,929)</f>
        <v>#VALUE!</v>
      </c>
    </row>
    <row r="1859" spans="7:13" x14ac:dyDescent="0.3">
      <c r="L1859" s="13"/>
      <c r="M1859" s="18" t="e">
        <f>_xll.PTreeNodeValue(treeCalc_1!$F$2,929)</f>
        <v>#VALUE!</v>
      </c>
    </row>
    <row r="1860" spans="7:13" x14ac:dyDescent="0.3">
      <c r="G1860" s="17" t="e">
        <v>#VALUE!</v>
      </c>
      <c r="H1860" s="15" t="s">
        <v>145</v>
      </c>
    </row>
    <row r="1861" spans="7:13" x14ac:dyDescent="0.3">
      <c r="G1861" s="13"/>
      <c r="H1861" s="16" t="e">
        <f>_xll.PTreeNodeValue(treeCalc_1!$F$2,930)</f>
        <v>#VALUE!</v>
      </c>
    </row>
    <row r="1862" spans="7:13" x14ac:dyDescent="0.3">
      <c r="I1862" s="17" t="e">
        <v>#VALUE!</v>
      </c>
      <c r="J1862" s="15" t="s">
        <v>133</v>
      </c>
    </row>
    <row r="1863" spans="7:13" x14ac:dyDescent="0.3">
      <c r="I1863" s="13"/>
      <c r="J1863" s="16" t="e">
        <f>_xll.PTreeNodeValue(treeCalc_1!$F$2,931)</f>
        <v>#VALUE!</v>
      </c>
    </row>
    <row r="1864" spans="7:13" x14ac:dyDescent="0.3">
      <c r="J1864" s="17" t="e">
        <v>#VALUE!</v>
      </c>
      <c r="K1864" s="15" t="s">
        <v>132</v>
      </c>
    </row>
    <row r="1865" spans="7:13" x14ac:dyDescent="0.3">
      <c r="J1865" s="13"/>
      <c r="K1865" s="16" t="e">
        <f>_xll.PTreeNodeValue(treeCalc_1!$F$2,932)</f>
        <v>#VALUE!</v>
      </c>
    </row>
    <row r="1866" spans="7:13" x14ac:dyDescent="0.3">
      <c r="K1866" s="17" t="e">
        <v>#VALUE!</v>
      </c>
      <c r="L1866" s="15" t="s">
        <v>134</v>
      </c>
    </row>
    <row r="1867" spans="7:13" x14ac:dyDescent="0.3">
      <c r="K1867" s="13"/>
      <c r="L1867" s="16" t="e">
        <f>_xll.PTreeNodeValue(treeCalc_1!$F$2,933)</f>
        <v>#VALUE!</v>
      </c>
    </row>
    <row r="1868" spans="7:13" x14ac:dyDescent="0.3">
      <c r="L1868" s="17" t="e">
        <v>#VALUE!</v>
      </c>
      <c r="M1868" s="19" t="e">
        <f>_xll.PTreeNodeProbability(treeCalc_1!$F$2,934)</f>
        <v>#VALUE!</v>
      </c>
    </row>
    <row r="1869" spans="7:13" x14ac:dyDescent="0.3">
      <c r="L1869" s="13"/>
      <c r="M1869" s="18" t="e">
        <f>_xll.PTreeNodeValue(treeCalc_1!$F$2,934)</f>
        <v>#VALUE!</v>
      </c>
    </row>
    <row r="1870" spans="7:13" x14ac:dyDescent="0.3">
      <c r="H1870" s="17" t="e">
        <v>#VALUE!</v>
      </c>
      <c r="I1870" s="15" t="s">
        <v>146</v>
      </c>
    </row>
    <row r="1871" spans="7:13" x14ac:dyDescent="0.3">
      <c r="H1871" s="13"/>
      <c r="I1871" s="16" t="e">
        <f>_xll.PTreeNodeValue(treeCalc_1!$F$2,935)</f>
        <v>#VALUE!</v>
      </c>
    </row>
    <row r="1872" spans="7:13" x14ac:dyDescent="0.3">
      <c r="I1872" s="17" t="e">
        <v>#VALUE!</v>
      </c>
      <c r="J1872" s="15" t="s">
        <v>133</v>
      </c>
    </row>
    <row r="1873" spans="6:13" x14ac:dyDescent="0.3">
      <c r="I1873" s="13"/>
      <c r="J1873" s="16" t="e">
        <f>_xll.PTreeNodeValue(treeCalc_1!$F$2,936)</f>
        <v>#VALUE!</v>
      </c>
    </row>
    <row r="1874" spans="6:13" x14ac:dyDescent="0.3">
      <c r="J1874" s="17" t="e">
        <v>#VALUE!</v>
      </c>
      <c r="K1874" s="15" t="s">
        <v>132</v>
      </c>
    </row>
    <row r="1875" spans="6:13" x14ac:dyDescent="0.3">
      <c r="J1875" s="13"/>
      <c r="K1875" s="16" t="e">
        <f>_xll.PTreeNodeValue(treeCalc_1!$F$2,937)</f>
        <v>#VALUE!</v>
      </c>
    </row>
    <row r="1876" spans="6:13" x14ac:dyDescent="0.3">
      <c r="K1876" s="17" t="e">
        <v>#VALUE!</v>
      </c>
      <c r="L1876" s="15" t="s">
        <v>134</v>
      </c>
    </row>
    <row r="1877" spans="6:13" x14ac:dyDescent="0.3">
      <c r="K1877" s="13"/>
      <c r="L1877" s="16" t="e">
        <f>_xll.PTreeNodeValue(treeCalc_1!$F$2,938)</f>
        <v>#VALUE!</v>
      </c>
    </row>
    <row r="1878" spans="6:13" x14ac:dyDescent="0.3">
      <c r="L1878" s="17" t="e">
        <v>#VALUE!</v>
      </c>
      <c r="M1878" s="19" t="e">
        <f>_xll.PTreeNodeProbability(treeCalc_1!$F$2,939)</f>
        <v>#VALUE!</v>
      </c>
    </row>
    <row r="1879" spans="6:13" x14ac:dyDescent="0.3">
      <c r="L1879" s="13"/>
      <c r="M1879" s="18" t="e">
        <f>_xll.PTreeNodeValue(treeCalc_1!$F$2,939)</f>
        <v>#VALUE!</v>
      </c>
    </row>
    <row r="1880" spans="6:13" x14ac:dyDescent="0.3">
      <c r="F1880" s="17" t="e">
        <v>#VALUE!</v>
      </c>
      <c r="G1880" s="15" t="s">
        <v>144</v>
      </c>
    </row>
    <row r="1881" spans="6:13" x14ac:dyDescent="0.3">
      <c r="F1881" s="13"/>
      <c r="G1881" s="16" t="e">
        <f>_xll.PTreeNodeValue(treeCalc_1!$F$2,940)</f>
        <v>#VALUE!</v>
      </c>
    </row>
    <row r="1882" spans="6:13" x14ac:dyDescent="0.3">
      <c r="I1882" s="17" t="e">
        <v>#VALUE!</v>
      </c>
      <c r="J1882" s="15" t="s">
        <v>133</v>
      </c>
    </row>
    <row r="1883" spans="6:13" x14ac:dyDescent="0.3">
      <c r="I1883" s="13"/>
      <c r="J1883" s="16" t="e">
        <f>_xll.PTreeNodeValue(treeCalc_1!$F$2,941)</f>
        <v>#VALUE!</v>
      </c>
    </row>
    <row r="1884" spans="6:13" x14ac:dyDescent="0.3">
      <c r="J1884" s="17" t="e">
        <v>#VALUE!</v>
      </c>
      <c r="K1884" s="15" t="s">
        <v>132</v>
      </c>
    </row>
    <row r="1885" spans="6:13" x14ac:dyDescent="0.3">
      <c r="J1885" s="13"/>
      <c r="K1885" s="16" t="e">
        <f>_xll.PTreeNodeValue(treeCalc_1!$F$2,942)</f>
        <v>#VALUE!</v>
      </c>
    </row>
    <row r="1886" spans="6:13" x14ac:dyDescent="0.3">
      <c r="K1886" s="17" t="e">
        <v>#VALUE!</v>
      </c>
      <c r="L1886" s="15" t="s">
        <v>134</v>
      </c>
    </row>
    <row r="1887" spans="6:13" x14ac:dyDescent="0.3">
      <c r="K1887" s="13"/>
      <c r="L1887" s="16" t="e">
        <f>_xll.PTreeNodeValue(treeCalc_1!$F$2,943)</f>
        <v>#VALUE!</v>
      </c>
    </row>
    <row r="1888" spans="6:13" x14ac:dyDescent="0.3">
      <c r="L1888" s="17" t="e">
        <v>#VALUE!</v>
      </c>
      <c r="M1888" s="19" t="e">
        <f>_xll.PTreeNodeProbability(treeCalc_1!$F$2,944)</f>
        <v>#VALUE!</v>
      </c>
    </row>
    <row r="1889" spans="7:13" x14ac:dyDescent="0.3">
      <c r="L1889" s="13"/>
      <c r="M1889" s="18" t="e">
        <f>_xll.PTreeNodeValue(treeCalc_1!$F$2,944)</f>
        <v>#VALUE!</v>
      </c>
    </row>
    <row r="1890" spans="7:13" x14ac:dyDescent="0.3">
      <c r="H1890" s="17" t="e">
        <v>#VALUE!</v>
      </c>
      <c r="I1890" s="15" t="s">
        <v>146</v>
      </c>
    </row>
    <row r="1891" spans="7:13" x14ac:dyDescent="0.3">
      <c r="H1891" s="13"/>
      <c r="I1891" s="16" t="e">
        <f>_xll.PTreeNodeValue(treeCalc_1!$F$2,945)</f>
        <v>#VALUE!</v>
      </c>
    </row>
    <row r="1892" spans="7:13" x14ac:dyDescent="0.3">
      <c r="I1892" s="17" t="e">
        <v>#VALUE!</v>
      </c>
      <c r="J1892" s="15" t="s">
        <v>133</v>
      </c>
    </row>
    <row r="1893" spans="7:13" x14ac:dyDescent="0.3">
      <c r="I1893" s="13"/>
      <c r="J1893" s="16" t="e">
        <f>_xll.PTreeNodeValue(treeCalc_1!$F$2,946)</f>
        <v>#VALUE!</v>
      </c>
    </row>
    <row r="1894" spans="7:13" x14ac:dyDescent="0.3">
      <c r="J1894" s="17" t="e">
        <v>#VALUE!</v>
      </c>
      <c r="K1894" s="15" t="s">
        <v>132</v>
      </c>
    </row>
    <row r="1895" spans="7:13" x14ac:dyDescent="0.3">
      <c r="J1895" s="13"/>
      <c r="K1895" s="16" t="e">
        <f>_xll.PTreeNodeValue(treeCalc_1!$F$2,947)</f>
        <v>#VALUE!</v>
      </c>
    </row>
    <row r="1896" spans="7:13" x14ac:dyDescent="0.3">
      <c r="K1896" s="17" t="e">
        <v>#VALUE!</v>
      </c>
      <c r="L1896" s="15" t="s">
        <v>134</v>
      </c>
    </row>
    <row r="1897" spans="7:13" x14ac:dyDescent="0.3">
      <c r="K1897" s="13"/>
      <c r="L1897" s="16" t="e">
        <f>_xll.PTreeNodeValue(treeCalc_1!$F$2,948)</f>
        <v>#VALUE!</v>
      </c>
    </row>
    <row r="1898" spans="7:13" x14ac:dyDescent="0.3">
      <c r="L1898" s="17" t="e">
        <v>#VALUE!</v>
      </c>
      <c r="M1898" s="19" t="e">
        <f>_xll.PTreeNodeProbability(treeCalc_1!$F$2,949)</f>
        <v>#VALUE!</v>
      </c>
    </row>
    <row r="1899" spans="7:13" x14ac:dyDescent="0.3">
      <c r="L1899" s="13"/>
      <c r="M1899" s="18" t="e">
        <f>_xll.PTreeNodeValue(treeCalc_1!$F$2,949)</f>
        <v>#VALUE!</v>
      </c>
    </row>
    <row r="1900" spans="7:13" x14ac:dyDescent="0.3">
      <c r="G1900" s="17" t="e">
        <v>#VALUE!</v>
      </c>
      <c r="H1900" s="15" t="s">
        <v>145</v>
      </c>
    </row>
    <row r="1901" spans="7:13" x14ac:dyDescent="0.3">
      <c r="G1901" s="13"/>
      <c r="H1901" s="16" t="e">
        <f>_xll.PTreeNodeValue(treeCalc_1!$F$2,950)</f>
        <v>#VALUE!</v>
      </c>
    </row>
    <row r="1902" spans="7:13" x14ac:dyDescent="0.3">
      <c r="I1902" s="17" t="e">
        <v>#VALUE!</v>
      </c>
      <c r="J1902" s="15" t="s">
        <v>133</v>
      </c>
    </row>
    <row r="1903" spans="7:13" x14ac:dyDescent="0.3">
      <c r="I1903" s="13"/>
      <c r="J1903" s="16" t="e">
        <f>_xll.PTreeNodeValue(treeCalc_1!$F$2,951)</f>
        <v>#VALUE!</v>
      </c>
    </row>
    <row r="1904" spans="7:13" x14ac:dyDescent="0.3">
      <c r="J1904" s="17" t="e">
        <v>#VALUE!</v>
      </c>
      <c r="K1904" s="15" t="s">
        <v>132</v>
      </c>
    </row>
    <row r="1905" spans="2:13" x14ac:dyDescent="0.3">
      <c r="J1905" s="13"/>
      <c r="K1905" s="16" t="e">
        <f>_xll.PTreeNodeValue(treeCalc_1!$F$2,952)</f>
        <v>#VALUE!</v>
      </c>
    </row>
    <row r="1906" spans="2:13" x14ac:dyDescent="0.3">
      <c r="K1906" s="17" t="e">
        <v>#VALUE!</v>
      </c>
      <c r="L1906" s="15" t="s">
        <v>134</v>
      </c>
    </row>
    <row r="1907" spans="2:13" x14ac:dyDescent="0.3">
      <c r="K1907" s="13"/>
      <c r="L1907" s="16" t="e">
        <f>_xll.PTreeNodeValue(treeCalc_1!$F$2,953)</f>
        <v>#VALUE!</v>
      </c>
    </row>
    <row r="1908" spans="2:13" x14ac:dyDescent="0.3">
      <c r="L1908" s="17" t="e">
        <v>#VALUE!</v>
      </c>
      <c r="M1908" s="19" t="e">
        <f>_xll.PTreeNodeProbability(treeCalc_1!$F$2,954)</f>
        <v>#VALUE!</v>
      </c>
    </row>
    <row r="1909" spans="2:13" x14ac:dyDescent="0.3">
      <c r="L1909" s="13"/>
      <c r="M1909" s="18" t="e">
        <f>_xll.PTreeNodeValue(treeCalc_1!$F$2,954)</f>
        <v>#VALUE!</v>
      </c>
    </row>
    <row r="1910" spans="2:13" x14ac:dyDescent="0.3">
      <c r="H1910" s="17" t="e">
        <v>#VALUE!</v>
      </c>
      <c r="I1910" s="15" t="s">
        <v>146</v>
      </c>
    </row>
    <row r="1911" spans="2:13" x14ac:dyDescent="0.3">
      <c r="H1911" s="13"/>
      <c r="I1911" s="16" t="e">
        <f>_xll.PTreeNodeValue(treeCalc_1!$F$2,955)</f>
        <v>#VALUE!</v>
      </c>
    </row>
    <row r="1912" spans="2:13" x14ac:dyDescent="0.3">
      <c r="I1912" s="17" t="e">
        <v>#VALUE!</v>
      </c>
      <c r="J1912" s="15" t="s">
        <v>133</v>
      </c>
    </row>
    <row r="1913" spans="2:13" x14ac:dyDescent="0.3">
      <c r="I1913" s="13"/>
      <c r="J1913" s="16" t="e">
        <f>_xll.PTreeNodeValue(treeCalc_1!$F$2,956)</f>
        <v>#VALUE!</v>
      </c>
    </row>
    <row r="1914" spans="2:13" x14ac:dyDescent="0.3">
      <c r="J1914" s="17" t="e">
        <v>#VALUE!</v>
      </c>
      <c r="K1914" s="15" t="s">
        <v>132</v>
      </c>
    </row>
    <row r="1915" spans="2:13" x14ac:dyDescent="0.3">
      <c r="J1915" s="13"/>
      <c r="K1915" s="16" t="e">
        <f>_xll.PTreeNodeValue(treeCalc_1!$F$2,957)</f>
        <v>#VALUE!</v>
      </c>
    </row>
    <row r="1916" spans="2:13" x14ac:dyDescent="0.3">
      <c r="K1916" s="17" t="e">
        <v>#VALUE!</v>
      </c>
      <c r="L1916" s="15" t="s">
        <v>134</v>
      </c>
    </row>
    <row r="1917" spans="2:13" x14ac:dyDescent="0.3">
      <c r="K1917" s="13"/>
      <c r="L1917" s="16" t="e">
        <f>_xll.PTreeNodeValue(treeCalc_1!$F$2,958)</f>
        <v>#VALUE!</v>
      </c>
    </row>
    <row r="1918" spans="2:13" x14ac:dyDescent="0.3">
      <c r="L1918" s="17" t="e">
        <v>#VALUE!</v>
      </c>
      <c r="M1918" s="19" t="e">
        <f>_xll.PTreeNodeProbability(treeCalc_1!$F$2,959)</f>
        <v>#VALUE!</v>
      </c>
    </row>
    <row r="1919" spans="2:13" x14ac:dyDescent="0.3">
      <c r="L1919" s="13"/>
      <c r="M1919" s="18" t="e">
        <f>_xll.PTreeNodeValue(treeCalc_1!$F$2,959)</f>
        <v>#VALUE!</v>
      </c>
    </row>
    <row r="1920" spans="2:13" x14ac:dyDescent="0.3">
      <c r="B1920" s="14" t="e">
        <f>_xll.PTreeNodeDecision(treeCalc_1!$F$2,960)</f>
        <v>#VALUE!</v>
      </c>
      <c r="C1920" s="11" t="s">
        <v>140</v>
      </c>
    </row>
    <row r="1921" spans="2:13" x14ac:dyDescent="0.3">
      <c r="B1921" s="13"/>
      <c r="C1921" s="12" t="e">
        <f>_xll.PTreeNodeValue(treeCalc_1!$F$2,960)</f>
        <v>#VALUE!</v>
      </c>
    </row>
    <row r="1922" spans="2:13" x14ac:dyDescent="0.3">
      <c r="I1922" s="17" t="e">
        <v>#VALUE!</v>
      </c>
      <c r="J1922" s="15" t="s">
        <v>133</v>
      </c>
    </row>
    <row r="1923" spans="2:13" x14ac:dyDescent="0.3">
      <c r="I1923" s="13"/>
      <c r="J1923" s="16" t="e">
        <f>_xll.PTreeNodeValue(treeCalc_1!$F$2,961)</f>
        <v>#VALUE!</v>
      </c>
    </row>
    <row r="1924" spans="2:13" x14ac:dyDescent="0.3">
      <c r="J1924" s="17" t="e">
        <v>#VALUE!</v>
      </c>
      <c r="K1924" s="15" t="s">
        <v>132</v>
      </c>
    </row>
    <row r="1925" spans="2:13" x14ac:dyDescent="0.3">
      <c r="J1925" s="13"/>
      <c r="K1925" s="16" t="e">
        <f>_xll.PTreeNodeValue(treeCalc_1!$F$2,962)</f>
        <v>#VALUE!</v>
      </c>
    </row>
    <row r="1926" spans="2:13" x14ac:dyDescent="0.3">
      <c r="K1926" s="17" t="e">
        <v>#VALUE!</v>
      </c>
      <c r="L1926" s="15" t="s">
        <v>134</v>
      </c>
    </row>
    <row r="1927" spans="2:13" x14ac:dyDescent="0.3">
      <c r="K1927" s="13"/>
      <c r="L1927" s="16" t="e">
        <f>_xll.PTreeNodeValue(treeCalc_1!$F$2,963)</f>
        <v>#VALUE!</v>
      </c>
    </row>
    <row r="1928" spans="2:13" x14ac:dyDescent="0.3">
      <c r="L1928" s="17" t="e">
        <v>#VALUE!</v>
      </c>
      <c r="M1928" s="19" t="e">
        <f>_xll.PTreeNodeProbability(treeCalc_1!$F$2,964)</f>
        <v>#VALUE!</v>
      </c>
    </row>
    <row r="1929" spans="2:13" x14ac:dyDescent="0.3">
      <c r="L1929" s="13"/>
      <c r="M1929" s="18" t="e">
        <f>_xll.PTreeNodeValue(treeCalc_1!$F$2,964)</f>
        <v>#VALUE!</v>
      </c>
    </row>
    <row r="1930" spans="2:13" x14ac:dyDescent="0.3">
      <c r="H1930" s="17" t="e">
        <v>#VALUE!</v>
      </c>
      <c r="I1930" s="15" t="s">
        <v>146</v>
      </c>
    </row>
    <row r="1931" spans="2:13" x14ac:dyDescent="0.3">
      <c r="H1931" s="13"/>
      <c r="I1931" s="16" t="e">
        <f>_xll.PTreeNodeValue(treeCalc_1!$F$2,965)</f>
        <v>#VALUE!</v>
      </c>
    </row>
    <row r="1932" spans="2:13" x14ac:dyDescent="0.3">
      <c r="I1932" s="17" t="e">
        <v>#VALUE!</v>
      </c>
      <c r="J1932" s="15" t="s">
        <v>133</v>
      </c>
    </row>
    <row r="1933" spans="2:13" x14ac:dyDescent="0.3">
      <c r="I1933" s="13"/>
      <c r="J1933" s="16" t="e">
        <f>_xll.PTreeNodeValue(treeCalc_1!$F$2,966)</f>
        <v>#VALUE!</v>
      </c>
    </row>
    <row r="1934" spans="2:13" x14ac:dyDescent="0.3">
      <c r="J1934" s="17" t="e">
        <v>#VALUE!</v>
      </c>
      <c r="K1934" s="15" t="s">
        <v>132</v>
      </c>
    </row>
    <row r="1935" spans="2:13" x14ac:dyDescent="0.3">
      <c r="J1935" s="13"/>
      <c r="K1935" s="16" t="e">
        <f>_xll.PTreeNodeValue(treeCalc_1!$F$2,967)</f>
        <v>#VALUE!</v>
      </c>
    </row>
    <row r="1936" spans="2:13" x14ac:dyDescent="0.3">
      <c r="K1936" s="17" t="e">
        <v>#VALUE!</v>
      </c>
      <c r="L1936" s="15" t="s">
        <v>134</v>
      </c>
    </row>
    <row r="1937" spans="7:13" x14ac:dyDescent="0.3">
      <c r="K1937" s="13"/>
      <c r="L1937" s="16" t="e">
        <f>_xll.PTreeNodeValue(treeCalc_1!$F$2,968)</f>
        <v>#VALUE!</v>
      </c>
    </row>
    <row r="1938" spans="7:13" x14ac:dyDescent="0.3">
      <c r="L1938" s="17" t="e">
        <v>#VALUE!</v>
      </c>
      <c r="M1938" s="19" t="e">
        <f>_xll.PTreeNodeProbability(treeCalc_1!$F$2,969)</f>
        <v>#VALUE!</v>
      </c>
    </row>
    <row r="1939" spans="7:13" x14ac:dyDescent="0.3">
      <c r="L1939" s="13"/>
      <c r="M1939" s="18" t="e">
        <f>_xll.PTreeNodeValue(treeCalc_1!$F$2,969)</f>
        <v>#VALUE!</v>
      </c>
    </row>
    <row r="1940" spans="7:13" x14ac:dyDescent="0.3">
      <c r="G1940" s="17" t="e">
        <v>#VALUE!</v>
      </c>
      <c r="H1940" s="15" t="s">
        <v>145</v>
      </c>
    </row>
    <row r="1941" spans="7:13" x14ac:dyDescent="0.3">
      <c r="G1941" s="13"/>
      <c r="H1941" s="16" t="e">
        <f>_xll.PTreeNodeValue(treeCalc_1!$F$2,970)</f>
        <v>#VALUE!</v>
      </c>
    </row>
    <row r="1942" spans="7:13" x14ac:dyDescent="0.3">
      <c r="I1942" s="17" t="e">
        <v>#VALUE!</v>
      </c>
      <c r="J1942" s="15" t="s">
        <v>133</v>
      </c>
    </row>
    <row r="1943" spans="7:13" x14ac:dyDescent="0.3">
      <c r="I1943" s="13"/>
      <c r="J1943" s="16" t="e">
        <f>_xll.PTreeNodeValue(treeCalc_1!$F$2,971)</f>
        <v>#VALUE!</v>
      </c>
    </row>
    <row r="1944" spans="7:13" x14ac:dyDescent="0.3">
      <c r="J1944" s="17" t="e">
        <v>#VALUE!</v>
      </c>
      <c r="K1944" s="15" t="s">
        <v>132</v>
      </c>
    </row>
    <row r="1945" spans="7:13" x14ac:dyDescent="0.3">
      <c r="J1945" s="13"/>
      <c r="K1945" s="16" t="e">
        <f>_xll.PTreeNodeValue(treeCalc_1!$F$2,972)</f>
        <v>#VALUE!</v>
      </c>
    </row>
    <row r="1946" spans="7:13" x14ac:dyDescent="0.3">
      <c r="K1946" s="17" t="e">
        <v>#VALUE!</v>
      </c>
      <c r="L1946" s="15" t="s">
        <v>134</v>
      </c>
    </row>
    <row r="1947" spans="7:13" x14ac:dyDescent="0.3">
      <c r="K1947" s="13"/>
      <c r="L1947" s="16" t="e">
        <f>_xll.PTreeNodeValue(treeCalc_1!$F$2,973)</f>
        <v>#VALUE!</v>
      </c>
    </row>
    <row r="1948" spans="7:13" x14ac:dyDescent="0.3">
      <c r="L1948" s="17" t="e">
        <v>#VALUE!</v>
      </c>
      <c r="M1948" s="19" t="e">
        <f>_xll.PTreeNodeProbability(treeCalc_1!$F$2,974)</f>
        <v>#VALUE!</v>
      </c>
    </row>
    <row r="1949" spans="7:13" x14ac:dyDescent="0.3">
      <c r="L1949" s="13"/>
      <c r="M1949" s="18" t="e">
        <f>_xll.PTreeNodeValue(treeCalc_1!$F$2,974)</f>
        <v>#VALUE!</v>
      </c>
    </row>
    <row r="1950" spans="7:13" x14ac:dyDescent="0.3">
      <c r="H1950" s="17" t="e">
        <v>#VALUE!</v>
      </c>
      <c r="I1950" s="15" t="s">
        <v>146</v>
      </c>
    </row>
    <row r="1951" spans="7:13" x14ac:dyDescent="0.3">
      <c r="H1951" s="13"/>
      <c r="I1951" s="16" t="e">
        <f>_xll.PTreeNodeValue(treeCalc_1!$F$2,975)</f>
        <v>#VALUE!</v>
      </c>
    </row>
    <row r="1952" spans="7:13" x14ac:dyDescent="0.3">
      <c r="I1952" s="17" t="e">
        <v>#VALUE!</v>
      </c>
      <c r="J1952" s="15" t="s">
        <v>133</v>
      </c>
    </row>
    <row r="1953" spans="6:13" x14ac:dyDescent="0.3">
      <c r="I1953" s="13"/>
      <c r="J1953" s="16" t="e">
        <f>_xll.PTreeNodeValue(treeCalc_1!$F$2,976)</f>
        <v>#VALUE!</v>
      </c>
    </row>
    <row r="1954" spans="6:13" x14ac:dyDescent="0.3">
      <c r="J1954" s="17" t="e">
        <v>#VALUE!</v>
      </c>
      <c r="K1954" s="15" t="s">
        <v>132</v>
      </c>
    </row>
    <row r="1955" spans="6:13" x14ac:dyDescent="0.3">
      <c r="J1955" s="13"/>
      <c r="K1955" s="16" t="e">
        <f>_xll.PTreeNodeValue(treeCalc_1!$F$2,977)</f>
        <v>#VALUE!</v>
      </c>
    </row>
    <row r="1956" spans="6:13" x14ac:dyDescent="0.3">
      <c r="K1956" s="17" t="e">
        <v>#VALUE!</v>
      </c>
      <c r="L1956" s="15" t="s">
        <v>134</v>
      </c>
    </row>
    <row r="1957" spans="6:13" x14ac:dyDescent="0.3">
      <c r="K1957" s="13"/>
      <c r="L1957" s="16" t="e">
        <f>_xll.PTreeNodeValue(treeCalc_1!$F$2,978)</f>
        <v>#VALUE!</v>
      </c>
    </row>
    <row r="1958" spans="6:13" x14ac:dyDescent="0.3">
      <c r="L1958" s="17" t="e">
        <v>#VALUE!</v>
      </c>
      <c r="M1958" s="19" t="e">
        <f>_xll.PTreeNodeProbability(treeCalc_1!$F$2,979)</f>
        <v>#VALUE!</v>
      </c>
    </row>
    <row r="1959" spans="6:13" x14ac:dyDescent="0.3">
      <c r="L1959" s="13"/>
      <c r="M1959" s="18" t="e">
        <f>_xll.PTreeNodeValue(treeCalc_1!$F$2,979)</f>
        <v>#VALUE!</v>
      </c>
    </row>
    <row r="1960" spans="6:13" x14ac:dyDescent="0.3">
      <c r="F1960" s="17" t="e">
        <v>#VALUE!</v>
      </c>
      <c r="G1960" s="15" t="s">
        <v>144</v>
      </c>
    </row>
    <row r="1961" spans="6:13" x14ac:dyDescent="0.3">
      <c r="F1961" s="13"/>
      <c r="G1961" s="16" t="e">
        <f>_xll.PTreeNodeValue(treeCalc_1!$F$2,980)</f>
        <v>#VALUE!</v>
      </c>
    </row>
    <row r="1962" spans="6:13" x14ac:dyDescent="0.3">
      <c r="I1962" s="17" t="e">
        <v>#VALUE!</v>
      </c>
      <c r="J1962" s="15" t="s">
        <v>133</v>
      </c>
    </row>
    <row r="1963" spans="6:13" x14ac:dyDescent="0.3">
      <c r="I1963" s="13"/>
      <c r="J1963" s="16" t="e">
        <f>_xll.PTreeNodeValue(treeCalc_1!$F$2,981)</f>
        <v>#VALUE!</v>
      </c>
    </row>
    <row r="1964" spans="6:13" x14ac:dyDescent="0.3">
      <c r="J1964" s="17" t="e">
        <v>#VALUE!</v>
      </c>
      <c r="K1964" s="15" t="s">
        <v>132</v>
      </c>
    </row>
    <row r="1965" spans="6:13" x14ac:dyDescent="0.3">
      <c r="J1965" s="13"/>
      <c r="K1965" s="16" t="e">
        <f>_xll.PTreeNodeValue(treeCalc_1!$F$2,982)</f>
        <v>#VALUE!</v>
      </c>
    </row>
    <row r="1966" spans="6:13" x14ac:dyDescent="0.3">
      <c r="K1966" s="17" t="e">
        <v>#VALUE!</v>
      </c>
      <c r="L1966" s="15" t="s">
        <v>134</v>
      </c>
    </row>
    <row r="1967" spans="6:13" x14ac:dyDescent="0.3">
      <c r="K1967" s="13"/>
      <c r="L1967" s="16" t="e">
        <f>_xll.PTreeNodeValue(treeCalc_1!$F$2,983)</f>
        <v>#VALUE!</v>
      </c>
    </row>
    <row r="1968" spans="6:13" x14ac:dyDescent="0.3">
      <c r="L1968" s="17" t="e">
        <v>#VALUE!</v>
      </c>
      <c r="M1968" s="19" t="e">
        <f>_xll.PTreeNodeProbability(treeCalc_1!$F$2,984)</f>
        <v>#VALUE!</v>
      </c>
    </row>
    <row r="1969" spans="7:13" x14ac:dyDescent="0.3">
      <c r="L1969" s="13"/>
      <c r="M1969" s="18" t="e">
        <f>_xll.PTreeNodeValue(treeCalc_1!$F$2,984)</f>
        <v>#VALUE!</v>
      </c>
    </row>
    <row r="1970" spans="7:13" x14ac:dyDescent="0.3">
      <c r="H1970" s="17" t="e">
        <v>#VALUE!</v>
      </c>
      <c r="I1970" s="15" t="s">
        <v>146</v>
      </c>
    </row>
    <row r="1971" spans="7:13" x14ac:dyDescent="0.3">
      <c r="H1971" s="13"/>
      <c r="I1971" s="16" t="e">
        <f>_xll.PTreeNodeValue(treeCalc_1!$F$2,985)</f>
        <v>#VALUE!</v>
      </c>
    </row>
    <row r="1972" spans="7:13" x14ac:dyDescent="0.3">
      <c r="I1972" s="17" t="e">
        <v>#VALUE!</v>
      </c>
      <c r="J1972" s="15" t="s">
        <v>133</v>
      </c>
    </row>
    <row r="1973" spans="7:13" x14ac:dyDescent="0.3">
      <c r="I1973" s="13"/>
      <c r="J1973" s="16" t="e">
        <f>_xll.PTreeNodeValue(treeCalc_1!$F$2,986)</f>
        <v>#VALUE!</v>
      </c>
    </row>
    <row r="1974" spans="7:13" x14ac:dyDescent="0.3">
      <c r="J1974" s="17" t="e">
        <v>#VALUE!</v>
      </c>
      <c r="K1974" s="15" t="s">
        <v>132</v>
      </c>
    </row>
    <row r="1975" spans="7:13" x14ac:dyDescent="0.3">
      <c r="J1975" s="13"/>
      <c r="K1975" s="16" t="e">
        <f>_xll.PTreeNodeValue(treeCalc_1!$F$2,987)</f>
        <v>#VALUE!</v>
      </c>
    </row>
    <row r="1976" spans="7:13" x14ac:dyDescent="0.3">
      <c r="K1976" s="17" t="e">
        <v>#VALUE!</v>
      </c>
      <c r="L1976" s="15" t="s">
        <v>134</v>
      </c>
    </row>
    <row r="1977" spans="7:13" x14ac:dyDescent="0.3">
      <c r="K1977" s="13"/>
      <c r="L1977" s="16" t="e">
        <f>_xll.PTreeNodeValue(treeCalc_1!$F$2,988)</f>
        <v>#VALUE!</v>
      </c>
    </row>
    <row r="1978" spans="7:13" x14ac:dyDescent="0.3">
      <c r="L1978" s="17" t="e">
        <v>#VALUE!</v>
      </c>
      <c r="M1978" s="19" t="e">
        <f>_xll.PTreeNodeProbability(treeCalc_1!$F$2,989)</f>
        <v>#VALUE!</v>
      </c>
    </row>
    <row r="1979" spans="7:13" x14ac:dyDescent="0.3">
      <c r="L1979" s="13"/>
      <c r="M1979" s="18" t="e">
        <f>_xll.PTreeNodeValue(treeCalc_1!$F$2,989)</f>
        <v>#VALUE!</v>
      </c>
    </row>
    <row r="1980" spans="7:13" x14ac:dyDescent="0.3">
      <c r="G1980" s="17" t="e">
        <v>#VALUE!</v>
      </c>
      <c r="H1980" s="15" t="s">
        <v>145</v>
      </c>
    </row>
    <row r="1981" spans="7:13" x14ac:dyDescent="0.3">
      <c r="G1981" s="13"/>
      <c r="H1981" s="16" t="e">
        <f>_xll.PTreeNodeValue(treeCalc_1!$F$2,990)</f>
        <v>#VALUE!</v>
      </c>
    </row>
    <row r="1982" spans="7:13" x14ac:dyDescent="0.3">
      <c r="I1982" s="17" t="e">
        <v>#VALUE!</v>
      </c>
      <c r="J1982" s="15" t="s">
        <v>133</v>
      </c>
    </row>
    <row r="1983" spans="7:13" x14ac:dyDescent="0.3">
      <c r="I1983" s="13"/>
      <c r="J1983" s="16" t="e">
        <f>_xll.PTreeNodeValue(treeCalc_1!$F$2,991)</f>
        <v>#VALUE!</v>
      </c>
    </row>
    <row r="1984" spans="7:13" x14ac:dyDescent="0.3">
      <c r="J1984" s="17" t="e">
        <v>#VALUE!</v>
      </c>
      <c r="K1984" s="15" t="s">
        <v>132</v>
      </c>
    </row>
    <row r="1985" spans="5:13" x14ac:dyDescent="0.3">
      <c r="J1985" s="13"/>
      <c r="K1985" s="16" t="e">
        <f>_xll.PTreeNodeValue(treeCalc_1!$F$2,992)</f>
        <v>#VALUE!</v>
      </c>
    </row>
    <row r="1986" spans="5:13" x14ac:dyDescent="0.3">
      <c r="K1986" s="17" t="e">
        <v>#VALUE!</v>
      </c>
      <c r="L1986" s="15" t="s">
        <v>134</v>
      </c>
    </row>
    <row r="1987" spans="5:13" x14ac:dyDescent="0.3">
      <c r="K1987" s="13"/>
      <c r="L1987" s="16" t="e">
        <f>_xll.PTreeNodeValue(treeCalc_1!$F$2,993)</f>
        <v>#VALUE!</v>
      </c>
    </row>
    <row r="1988" spans="5:13" x14ac:dyDescent="0.3">
      <c r="L1988" s="17" t="e">
        <v>#VALUE!</v>
      </c>
      <c r="M1988" s="19" t="e">
        <f>_xll.PTreeNodeProbability(treeCalc_1!$F$2,994)</f>
        <v>#VALUE!</v>
      </c>
    </row>
    <row r="1989" spans="5:13" x14ac:dyDescent="0.3">
      <c r="L1989" s="13"/>
      <c r="M1989" s="18" t="e">
        <f>_xll.PTreeNodeValue(treeCalc_1!$F$2,994)</f>
        <v>#VALUE!</v>
      </c>
    </row>
    <row r="1990" spans="5:13" x14ac:dyDescent="0.3">
      <c r="H1990" s="17" t="e">
        <v>#VALUE!</v>
      </c>
      <c r="I1990" s="15" t="s">
        <v>146</v>
      </c>
    </row>
    <row r="1991" spans="5:13" x14ac:dyDescent="0.3">
      <c r="H1991" s="13"/>
      <c r="I1991" s="16" t="e">
        <f>_xll.PTreeNodeValue(treeCalc_1!$F$2,995)</f>
        <v>#VALUE!</v>
      </c>
    </row>
    <row r="1992" spans="5:13" x14ac:dyDescent="0.3">
      <c r="I1992" s="17" t="e">
        <v>#VALUE!</v>
      </c>
      <c r="J1992" s="15" t="s">
        <v>133</v>
      </c>
    </row>
    <row r="1993" spans="5:13" x14ac:dyDescent="0.3">
      <c r="I1993" s="13"/>
      <c r="J1993" s="16" t="e">
        <f>_xll.PTreeNodeValue(treeCalc_1!$F$2,996)</f>
        <v>#VALUE!</v>
      </c>
    </row>
    <row r="1994" spans="5:13" x14ac:dyDescent="0.3">
      <c r="J1994" s="17" t="e">
        <v>#VALUE!</v>
      </c>
      <c r="K1994" s="15" t="s">
        <v>132</v>
      </c>
    </row>
    <row r="1995" spans="5:13" x14ac:dyDescent="0.3">
      <c r="J1995" s="13"/>
      <c r="K1995" s="16" t="e">
        <f>_xll.PTreeNodeValue(treeCalc_1!$F$2,997)</f>
        <v>#VALUE!</v>
      </c>
    </row>
    <row r="1996" spans="5:13" x14ac:dyDescent="0.3">
      <c r="K1996" s="17" t="e">
        <v>#VALUE!</v>
      </c>
      <c r="L1996" s="15" t="s">
        <v>134</v>
      </c>
    </row>
    <row r="1997" spans="5:13" x14ac:dyDescent="0.3">
      <c r="K1997" s="13"/>
      <c r="L1997" s="16" t="e">
        <f>_xll.PTreeNodeValue(treeCalc_1!$F$2,998)</f>
        <v>#VALUE!</v>
      </c>
    </row>
    <row r="1998" spans="5:13" x14ac:dyDescent="0.3">
      <c r="L1998" s="17" t="e">
        <v>#VALUE!</v>
      </c>
      <c r="M1998" s="19" t="e">
        <f>_xll.PTreeNodeProbability(treeCalc_1!$F$2,999)</f>
        <v>#VALUE!</v>
      </c>
    </row>
    <row r="1999" spans="5:13" x14ac:dyDescent="0.3">
      <c r="L1999" s="13"/>
      <c r="M1999" s="18" t="e">
        <f>_xll.PTreeNodeValue(treeCalc_1!$F$2,999)</f>
        <v>#VALUE!</v>
      </c>
    </row>
    <row r="2000" spans="5:13" x14ac:dyDescent="0.3">
      <c r="E2000" s="17" t="e">
        <v>#VALUE!</v>
      </c>
      <c r="F2000" s="15" t="s">
        <v>141</v>
      </c>
    </row>
    <row r="2001" spans="5:13" x14ac:dyDescent="0.3">
      <c r="E2001" s="13"/>
      <c r="F2001" s="16" t="e">
        <f>_xll.PTreeNodeValue(treeCalc_1!$F$2,1000)</f>
        <v>#VALUE!</v>
      </c>
    </row>
    <row r="2002" spans="5:13" x14ac:dyDescent="0.3">
      <c r="I2002" s="17" t="e">
        <v>#VALUE!</v>
      </c>
      <c r="J2002" s="15" t="s">
        <v>133</v>
      </c>
    </row>
    <row r="2003" spans="5:13" x14ac:dyDescent="0.3">
      <c r="I2003" s="13"/>
      <c r="J2003" s="16" t="e">
        <f>_xll.PTreeNodeValue(treeCalc_1!$F$2,1001)</f>
        <v>#VALUE!</v>
      </c>
    </row>
    <row r="2004" spans="5:13" x14ac:dyDescent="0.3">
      <c r="J2004" s="17" t="e">
        <v>#VALUE!</v>
      </c>
      <c r="K2004" s="15" t="s">
        <v>132</v>
      </c>
    </row>
    <row r="2005" spans="5:13" x14ac:dyDescent="0.3">
      <c r="J2005" s="13"/>
      <c r="K2005" s="16" t="e">
        <f>_xll.PTreeNodeValue(treeCalc_1!$F$2,1002)</f>
        <v>#VALUE!</v>
      </c>
    </row>
    <row r="2006" spans="5:13" x14ac:dyDescent="0.3">
      <c r="K2006" s="17" t="e">
        <v>#VALUE!</v>
      </c>
      <c r="L2006" s="15" t="s">
        <v>134</v>
      </c>
    </row>
    <row r="2007" spans="5:13" x14ac:dyDescent="0.3">
      <c r="K2007" s="13"/>
      <c r="L2007" s="16" t="e">
        <f>_xll.PTreeNodeValue(treeCalc_1!$F$2,1003)</f>
        <v>#VALUE!</v>
      </c>
    </row>
    <row r="2008" spans="5:13" x14ac:dyDescent="0.3">
      <c r="L2008" s="17" t="e">
        <v>#VALUE!</v>
      </c>
      <c r="M2008" s="19" t="e">
        <f>_xll.PTreeNodeProbability(treeCalc_1!$F$2,1004)</f>
        <v>#VALUE!</v>
      </c>
    </row>
    <row r="2009" spans="5:13" x14ac:dyDescent="0.3">
      <c r="L2009" s="13"/>
      <c r="M2009" s="18" t="e">
        <f>_xll.PTreeNodeValue(treeCalc_1!$F$2,1004)</f>
        <v>#VALUE!</v>
      </c>
    </row>
    <row r="2010" spans="5:13" x14ac:dyDescent="0.3">
      <c r="H2010" s="17" t="e">
        <v>#VALUE!</v>
      </c>
      <c r="I2010" s="15" t="s">
        <v>146</v>
      </c>
    </row>
    <row r="2011" spans="5:13" x14ac:dyDescent="0.3">
      <c r="H2011" s="13"/>
      <c r="I2011" s="16" t="e">
        <f>_xll.PTreeNodeValue(treeCalc_1!$F$2,1005)</f>
        <v>#VALUE!</v>
      </c>
    </row>
    <row r="2012" spans="5:13" x14ac:dyDescent="0.3">
      <c r="I2012" s="17" t="e">
        <v>#VALUE!</v>
      </c>
      <c r="J2012" s="15" t="s">
        <v>133</v>
      </c>
    </row>
    <row r="2013" spans="5:13" x14ac:dyDescent="0.3">
      <c r="I2013" s="13"/>
      <c r="J2013" s="16" t="e">
        <f>_xll.PTreeNodeValue(treeCalc_1!$F$2,1006)</f>
        <v>#VALUE!</v>
      </c>
    </row>
    <row r="2014" spans="5:13" x14ac:dyDescent="0.3">
      <c r="J2014" s="17" t="e">
        <v>#VALUE!</v>
      </c>
      <c r="K2014" s="15" t="s">
        <v>132</v>
      </c>
    </row>
    <row r="2015" spans="5:13" x14ac:dyDescent="0.3">
      <c r="J2015" s="13"/>
      <c r="K2015" s="16" t="e">
        <f>_xll.PTreeNodeValue(treeCalc_1!$F$2,1007)</f>
        <v>#VALUE!</v>
      </c>
    </row>
    <row r="2016" spans="5:13" x14ac:dyDescent="0.3">
      <c r="K2016" s="17" t="e">
        <v>#VALUE!</v>
      </c>
      <c r="L2016" s="15" t="s">
        <v>134</v>
      </c>
    </row>
    <row r="2017" spans="7:13" x14ac:dyDescent="0.3">
      <c r="K2017" s="13"/>
      <c r="L2017" s="16" t="e">
        <f>_xll.PTreeNodeValue(treeCalc_1!$F$2,1008)</f>
        <v>#VALUE!</v>
      </c>
    </row>
    <row r="2018" spans="7:13" x14ac:dyDescent="0.3">
      <c r="L2018" s="17" t="e">
        <v>#VALUE!</v>
      </c>
      <c r="M2018" s="19" t="e">
        <f>_xll.PTreeNodeProbability(treeCalc_1!$F$2,1009)</f>
        <v>#VALUE!</v>
      </c>
    </row>
    <row r="2019" spans="7:13" x14ac:dyDescent="0.3">
      <c r="L2019" s="13"/>
      <c r="M2019" s="18" t="e">
        <f>_xll.PTreeNodeValue(treeCalc_1!$F$2,1009)</f>
        <v>#VALUE!</v>
      </c>
    </row>
    <row r="2020" spans="7:13" x14ac:dyDescent="0.3">
      <c r="G2020" s="17" t="e">
        <v>#VALUE!</v>
      </c>
      <c r="H2020" s="15" t="s">
        <v>145</v>
      </c>
    </row>
    <row r="2021" spans="7:13" x14ac:dyDescent="0.3">
      <c r="G2021" s="13"/>
      <c r="H2021" s="16" t="e">
        <f>_xll.PTreeNodeValue(treeCalc_1!$F$2,1010)</f>
        <v>#VALUE!</v>
      </c>
    </row>
    <row r="2022" spans="7:13" x14ac:dyDescent="0.3">
      <c r="I2022" s="17" t="e">
        <v>#VALUE!</v>
      </c>
      <c r="J2022" s="15" t="s">
        <v>133</v>
      </c>
    </row>
    <row r="2023" spans="7:13" x14ac:dyDescent="0.3">
      <c r="I2023" s="13"/>
      <c r="J2023" s="16" t="e">
        <f>_xll.PTreeNodeValue(treeCalc_1!$F$2,1011)</f>
        <v>#VALUE!</v>
      </c>
    </row>
    <row r="2024" spans="7:13" x14ac:dyDescent="0.3">
      <c r="J2024" s="17" t="e">
        <v>#VALUE!</v>
      </c>
      <c r="K2024" s="15" t="s">
        <v>132</v>
      </c>
    </row>
    <row r="2025" spans="7:13" x14ac:dyDescent="0.3">
      <c r="J2025" s="13"/>
      <c r="K2025" s="16" t="e">
        <f>_xll.PTreeNodeValue(treeCalc_1!$F$2,1012)</f>
        <v>#VALUE!</v>
      </c>
    </row>
    <row r="2026" spans="7:13" x14ac:dyDescent="0.3">
      <c r="K2026" s="17" t="e">
        <v>#VALUE!</v>
      </c>
      <c r="L2026" s="15" t="s">
        <v>134</v>
      </c>
    </row>
    <row r="2027" spans="7:13" x14ac:dyDescent="0.3">
      <c r="K2027" s="13"/>
      <c r="L2027" s="16" t="e">
        <f>_xll.PTreeNodeValue(treeCalc_1!$F$2,1013)</f>
        <v>#VALUE!</v>
      </c>
    </row>
    <row r="2028" spans="7:13" x14ac:dyDescent="0.3">
      <c r="L2028" s="17" t="e">
        <v>#VALUE!</v>
      </c>
      <c r="M2028" s="19" t="e">
        <f>_xll.PTreeNodeProbability(treeCalc_1!$F$2,1014)</f>
        <v>#VALUE!</v>
      </c>
    </row>
    <row r="2029" spans="7:13" x14ac:dyDescent="0.3">
      <c r="L2029" s="13"/>
      <c r="M2029" s="18" t="e">
        <f>_xll.PTreeNodeValue(treeCalc_1!$F$2,1014)</f>
        <v>#VALUE!</v>
      </c>
    </row>
    <row r="2030" spans="7:13" x14ac:dyDescent="0.3">
      <c r="H2030" s="17" t="e">
        <v>#VALUE!</v>
      </c>
      <c r="I2030" s="15" t="s">
        <v>146</v>
      </c>
    </row>
    <row r="2031" spans="7:13" x14ac:dyDescent="0.3">
      <c r="H2031" s="13"/>
      <c r="I2031" s="16" t="e">
        <f>_xll.PTreeNodeValue(treeCalc_1!$F$2,1015)</f>
        <v>#VALUE!</v>
      </c>
    </row>
    <row r="2032" spans="7:13" x14ac:dyDescent="0.3">
      <c r="I2032" s="17" t="e">
        <v>#VALUE!</v>
      </c>
      <c r="J2032" s="15" t="s">
        <v>133</v>
      </c>
    </row>
    <row r="2033" spans="6:13" x14ac:dyDescent="0.3">
      <c r="I2033" s="13"/>
      <c r="J2033" s="16" t="e">
        <f>_xll.PTreeNodeValue(treeCalc_1!$F$2,1016)</f>
        <v>#VALUE!</v>
      </c>
    </row>
    <row r="2034" spans="6:13" x14ac:dyDescent="0.3">
      <c r="J2034" s="17" t="e">
        <v>#VALUE!</v>
      </c>
      <c r="K2034" s="15" t="s">
        <v>132</v>
      </c>
    </row>
    <row r="2035" spans="6:13" x14ac:dyDescent="0.3">
      <c r="J2035" s="13"/>
      <c r="K2035" s="16" t="e">
        <f>_xll.PTreeNodeValue(treeCalc_1!$F$2,1017)</f>
        <v>#VALUE!</v>
      </c>
    </row>
    <row r="2036" spans="6:13" x14ac:dyDescent="0.3">
      <c r="K2036" s="17" t="e">
        <v>#VALUE!</v>
      </c>
      <c r="L2036" s="15" t="s">
        <v>134</v>
      </c>
    </row>
    <row r="2037" spans="6:13" x14ac:dyDescent="0.3">
      <c r="K2037" s="13"/>
      <c r="L2037" s="16" t="e">
        <f>_xll.PTreeNodeValue(treeCalc_1!$F$2,1018)</f>
        <v>#VALUE!</v>
      </c>
    </row>
    <row r="2038" spans="6:13" x14ac:dyDescent="0.3">
      <c r="L2038" s="17" t="e">
        <v>#VALUE!</v>
      </c>
      <c r="M2038" s="19" t="e">
        <f>_xll.PTreeNodeProbability(treeCalc_1!$F$2,1019)</f>
        <v>#VALUE!</v>
      </c>
    </row>
    <row r="2039" spans="6:13" x14ac:dyDescent="0.3">
      <c r="L2039" s="13"/>
      <c r="M2039" s="18" t="e">
        <f>_xll.PTreeNodeValue(treeCalc_1!$F$2,1019)</f>
        <v>#VALUE!</v>
      </c>
    </row>
    <row r="2040" spans="6:13" x14ac:dyDescent="0.3">
      <c r="F2040" s="17" t="e">
        <v>#VALUE!</v>
      </c>
      <c r="G2040" s="15" t="s">
        <v>144</v>
      </c>
    </row>
    <row r="2041" spans="6:13" x14ac:dyDescent="0.3">
      <c r="F2041" s="13"/>
      <c r="G2041" s="16" t="e">
        <f>_xll.PTreeNodeValue(treeCalc_1!$F$2,1020)</f>
        <v>#VALUE!</v>
      </c>
    </row>
    <row r="2042" spans="6:13" x14ac:dyDescent="0.3">
      <c r="I2042" s="17" t="e">
        <v>#VALUE!</v>
      </c>
      <c r="J2042" s="15" t="s">
        <v>133</v>
      </c>
    </row>
    <row r="2043" spans="6:13" x14ac:dyDescent="0.3">
      <c r="I2043" s="13"/>
      <c r="J2043" s="16" t="e">
        <f>_xll.PTreeNodeValue(treeCalc_1!$F$2,1021)</f>
        <v>#VALUE!</v>
      </c>
    </row>
    <row r="2044" spans="6:13" x14ac:dyDescent="0.3">
      <c r="J2044" s="17" t="e">
        <v>#VALUE!</v>
      </c>
      <c r="K2044" s="15" t="s">
        <v>132</v>
      </c>
    </row>
    <row r="2045" spans="6:13" x14ac:dyDescent="0.3">
      <c r="J2045" s="13"/>
      <c r="K2045" s="16" t="e">
        <f>_xll.PTreeNodeValue(treeCalc_1!$F$2,1022)</f>
        <v>#VALUE!</v>
      </c>
    </row>
    <row r="2046" spans="6:13" x14ac:dyDescent="0.3">
      <c r="K2046" s="17" t="e">
        <v>#VALUE!</v>
      </c>
      <c r="L2046" s="15" t="s">
        <v>134</v>
      </c>
    </row>
    <row r="2047" spans="6:13" x14ac:dyDescent="0.3">
      <c r="K2047" s="13"/>
      <c r="L2047" s="16" t="e">
        <f>_xll.PTreeNodeValue(treeCalc_1!$F$2,1023)</f>
        <v>#VALUE!</v>
      </c>
    </row>
    <row r="2048" spans="6:13" x14ac:dyDescent="0.3">
      <c r="L2048" s="17" t="e">
        <v>#VALUE!</v>
      </c>
      <c r="M2048" s="19" t="e">
        <f>_xll.PTreeNodeProbability(treeCalc_1!$F$2,1024)</f>
        <v>#VALUE!</v>
      </c>
    </row>
    <row r="2049" spans="7:13" x14ac:dyDescent="0.3">
      <c r="L2049" s="13"/>
      <c r="M2049" s="18" t="e">
        <f>_xll.PTreeNodeValue(treeCalc_1!$F$2,1024)</f>
        <v>#VALUE!</v>
      </c>
    </row>
    <row r="2050" spans="7:13" x14ac:dyDescent="0.3">
      <c r="H2050" s="17" t="e">
        <v>#VALUE!</v>
      </c>
      <c r="I2050" s="15" t="s">
        <v>146</v>
      </c>
    </row>
    <row r="2051" spans="7:13" x14ac:dyDescent="0.3">
      <c r="H2051" s="13"/>
      <c r="I2051" s="16" t="e">
        <f>_xll.PTreeNodeValue(treeCalc_1!$F$2,1025)</f>
        <v>#VALUE!</v>
      </c>
    </row>
    <row r="2052" spans="7:13" x14ac:dyDescent="0.3">
      <c r="I2052" s="17" t="e">
        <v>#VALUE!</v>
      </c>
      <c r="J2052" s="15" t="s">
        <v>133</v>
      </c>
    </row>
    <row r="2053" spans="7:13" x14ac:dyDescent="0.3">
      <c r="I2053" s="13"/>
      <c r="J2053" s="16" t="e">
        <f>_xll.PTreeNodeValue(treeCalc_1!$F$2,1026)</f>
        <v>#VALUE!</v>
      </c>
    </row>
    <row r="2054" spans="7:13" x14ac:dyDescent="0.3">
      <c r="J2054" s="17" t="e">
        <v>#VALUE!</v>
      </c>
      <c r="K2054" s="15" t="s">
        <v>132</v>
      </c>
    </row>
    <row r="2055" spans="7:13" x14ac:dyDescent="0.3">
      <c r="J2055" s="13"/>
      <c r="K2055" s="16" t="e">
        <f>_xll.PTreeNodeValue(treeCalc_1!$F$2,1027)</f>
        <v>#VALUE!</v>
      </c>
    </row>
    <row r="2056" spans="7:13" x14ac:dyDescent="0.3">
      <c r="K2056" s="17" t="e">
        <v>#VALUE!</v>
      </c>
      <c r="L2056" s="15" t="s">
        <v>134</v>
      </c>
    </row>
    <row r="2057" spans="7:13" x14ac:dyDescent="0.3">
      <c r="K2057" s="13"/>
      <c r="L2057" s="16" t="e">
        <f>_xll.PTreeNodeValue(treeCalc_1!$F$2,1028)</f>
        <v>#VALUE!</v>
      </c>
    </row>
    <row r="2058" spans="7:13" x14ac:dyDescent="0.3">
      <c r="L2058" s="17" t="e">
        <v>#VALUE!</v>
      </c>
      <c r="M2058" s="19" t="e">
        <f>_xll.PTreeNodeProbability(treeCalc_1!$F$2,1029)</f>
        <v>#VALUE!</v>
      </c>
    </row>
    <row r="2059" spans="7:13" x14ac:dyDescent="0.3">
      <c r="L2059" s="13"/>
      <c r="M2059" s="18" t="e">
        <f>_xll.PTreeNodeValue(treeCalc_1!$F$2,1029)</f>
        <v>#VALUE!</v>
      </c>
    </row>
    <row r="2060" spans="7:13" x14ac:dyDescent="0.3">
      <c r="G2060" s="17" t="e">
        <v>#VALUE!</v>
      </c>
      <c r="H2060" s="15" t="s">
        <v>145</v>
      </c>
    </row>
    <row r="2061" spans="7:13" x14ac:dyDescent="0.3">
      <c r="G2061" s="13"/>
      <c r="H2061" s="16" t="e">
        <f>_xll.PTreeNodeValue(treeCalc_1!$F$2,1030)</f>
        <v>#VALUE!</v>
      </c>
    </row>
    <row r="2062" spans="7:13" x14ac:dyDescent="0.3">
      <c r="I2062" s="17" t="e">
        <v>#VALUE!</v>
      </c>
      <c r="J2062" s="15" t="s">
        <v>133</v>
      </c>
    </row>
    <row r="2063" spans="7:13" x14ac:dyDescent="0.3">
      <c r="I2063" s="13"/>
      <c r="J2063" s="16" t="e">
        <f>_xll.PTreeNodeValue(treeCalc_1!$F$2,1031)</f>
        <v>#VALUE!</v>
      </c>
    </row>
    <row r="2064" spans="7:13" x14ac:dyDescent="0.3">
      <c r="J2064" s="17" t="e">
        <v>#VALUE!</v>
      </c>
      <c r="K2064" s="15" t="s">
        <v>132</v>
      </c>
    </row>
    <row r="2065" spans="4:13" x14ac:dyDescent="0.3">
      <c r="J2065" s="13"/>
      <c r="K2065" s="16" t="e">
        <f>_xll.PTreeNodeValue(treeCalc_1!$F$2,1032)</f>
        <v>#VALUE!</v>
      </c>
    </row>
    <row r="2066" spans="4:13" x14ac:dyDescent="0.3">
      <c r="K2066" s="17" t="e">
        <v>#VALUE!</v>
      </c>
      <c r="L2066" s="15" t="s">
        <v>134</v>
      </c>
    </row>
    <row r="2067" spans="4:13" x14ac:dyDescent="0.3">
      <c r="K2067" s="13"/>
      <c r="L2067" s="16" t="e">
        <f>_xll.PTreeNodeValue(treeCalc_1!$F$2,1033)</f>
        <v>#VALUE!</v>
      </c>
    </row>
    <row r="2068" spans="4:13" x14ac:dyDescent="0.3">
      <c r="L2068" s="17" t="e">
        <v>#VALUE!</v>
      </c>
      <c r="M2068" s="19" t="e">
        <f>_xll.PTreeNodeProbability(treeCalc_1!$F$2,1034)</f>
        <v>#VALUE!</v>
      </c>
    </row>
    <row r="2069" spans="4:13" x14ac:dyDescent="0.3">
      <c r="L2069" s="13"/>
      <c r="M2069" s="18" t="e">
        <f>_xll.PTreeNodeValue(treeCalc_1!$F$2,1034)</f>
        <v>#VALUE!</v>
      </c>
    </row>
    <row r="2070" spans="4:13" x14ac:dyDescent="0.3">
      <c r="H2070" s="17" t="e">
        <v>#VALUE!</v>
      </c>
      <c r="I2070" s="15" t="s">
        <v>146</v>
      </c>
    </row>
    <row r="2071" spans="4:13" x14ac:dyDescent="0.3">
      <c r="H2071" s="13"/>
      <c r="I2071" s="16" t="e">
        <f>_xll.PTreeNodeValue(treeCalc_1!$F$2,1035)</f>
        <v>#VALUE!</v>
      </c>
    </row>
    <row r="2072" spans="4:13" x14ac:dyDescent="0.3">
      <c r="I2072" s="17" t="e">
        <v>#VALUE!</v>
      </c>
      <c r="J2072" s="15" t="s">
        <v>133</v>
      </c>
    </row>
    <row r="2073" spans="4:13" x14ac:dyDescent="0.3">
      <c r="I2073" s="13"/>
      <c r="J2073" s="16" t="e">
        <f>_xll.PTreeNodeValue(treeCalc_1!$F$2,1036)</f>
        <v>#VALUE!</v>
      </c>
    </row>
    <row r="2074" spans="4:13" x14ac:dyDescent="0.3">
      <c r="J2074" s="17" t="e">
        <v>#VALUE!</v>
      </c>
      <c r="K2074" s="15" t="s">
        <v>132</v>
      </c>
    </row>
    <row r="2075" spans="4:13" x14ac:dyDescent="0.3">
      <c r="J2075" s="13"/>
      <c r="K2075" s="16" t="e">
        <f>_xll.PTreeNodeValue(treeCalc_1!$F$2,1037)</f>
        <v>#VALUE!</v>
      </c>
    </row>
    <row r="2076" spans="4:13" x14ac:dyDescent="0.3">
      <c r="K2076" s="17" t="e">
        <v>#VALUE!</v>
      </c>
      <c r="L2076" s="15" t="s">
        <v>134</v>
      </c>
    </row>
    <row r="2077" spans="4:13" x14ac:dyDescent="0.3">
      <c r="K2077" s="13"/>
      <c r="L2077" s="16" t="e">
        <f>_xll.PTreeNodeValue(treeCalc_1!$F$2,1038)</f>
        <v>#VALUE!</v>
      </c>
    </row>
    <row r="2078" spans="4:13" x14ac:dyDescent="0.3">
      <c r="L2078" s="17" t="e">
        <v>#VALUE!</v>
      </c>
      <c r="M2078" s="19" t="e">
        <f>_xll.PTreeNodeProbability(treeCalc_1!$F$2,1039)</f>
        <v>#VALUE!</v>
      </c>
    </row>
    <row r="2079" spans="4:13" x14ac:dyDescent="0.3">
      <c r="L2079" s="13"/>
      <c r="M2079" s="18" t="e">
        <f>_xll.PTreeNodeValue(treeCalc_1!$F$2,1039)</f>
        <v>#VALUE!</v>
      </c>
    </row>
    <row r="2080" spans="4:13" x14ac:dyDescent="0.3">
      <c r="D2080" s="14" t="e">
        <f>_xll.PTreeNodeDecision(treeCalc_1!$F$2,1040)</f>
        <v>#VALUE!</v>
      </c>
      <c r="E2080" s="15" t="s">
        <v>143</v>
      </c>
    </row>
    <row r="2081" spans="4:13" x14ac:dyDescent="0.3">
      <c r="D2081" s="13"/>
      <c r="E2081" s="16" t="e">
        <f>_xll.PTreeNodeValue(treeCalc_1!$F$2,1040)</f>
        <v>#VALUE!</v>
      </c>
    </row>
    <row r="2082" spans="4:13" x14ac:dyDescent="0.3">
      <c r="I2082" s="17" t="e">
        <v>#VALUE!</v>
      </c>
      <c r="J2082" s="15" t="s">
        <v>133</v>
      </c>
    </row>
    <row r="2083" spans="4:13" x14ac:dyDescent="0.3">
      <c r="I2083" s="13"/>
      <c r="J2083" s="16" t="e">
        <f>_xll.PTreeNodeValue(treeCalc_1!$F$2,1041)</f>
        <v>#VALUE!</v>
      </c>
    </row>
    <row r="2084" spans="4:13" x14ac:dyDescent="0.3">
      <c r="J2084" s="17" t="e">
        <v>#VALUE!</v>
      </c>
      <c r="K2084" s="15" t="s">
        <v>132</v>
      </c>
    </row>
    <row r="2085" spans="4:13" x14ac:dyDescent="0.3">
      <c r="J2085" s="13"/>
      <c r="K2085" s="16" t="e">
        <f>_xll.PTreeNodeValue(treeCalc_1!$F$2,1042)</f>
        <v>#VALUE!</v>
      </c>
    </row>
    <row r="2086" spans="4:13" x14ac:dyDescent="0.3">
      <c r="K2086" s="17" t="e">
        <v>#VALUE!</v>
      </c>
      <c r="L2086" s="15" t="s">
        <v>134</v>
      </c>
    </row>
    <row r="2087" spans="4:13" x14ac:dyDescent="0.3">
      <c r="K2087" s="13"/>
      <c r="L2087" s="16" t="e">
        <f>_xll.PTreeNodeValue(treeCalc_1!$F$2,1043)</f>
        <v>#VALUE!</v>
      </c>
    </row>
    <row r="2088" spans="4:13" x14ac:dyDescent="0.3">
      <c r="L2088" s="17" t="e">
        <v>#VALUE!</v>
      </c>
      <c r="M2088" s="19" t="e">
        <f>_xll.PTreeNodeProbability(treeCalc_1!$F$2,1044)</f>
        <v>#VALUE!</v>
      </c>
    </row>
    <row r="2089" spans="4:13" x14ac:dyDescent="0.3">
      <c r="L2089" s="13"/>
      <c r="M2089" s="18" t="e">
        <f>_xll.PTreeNodeValue(treeCalc_1!$F$2,1044)</f>
        <v>#VALUE!</v>
      </c>
    </row>
    <row r="2090" spans="4:13" x14ac:dyDescent="0.3">
      <c r="H2090" s="17" t="e">
        <v>#VALUE!</v>
      </c>
      <c r="I2090" s="15" t="s">
        <v>146</v>
      </c>
    </row>
    <row r="2091" spans="4:13" x14ac:dyDescent="0.3">
      <c r="H2091" s="13"/>
      <c r="I2091" s="16" t="e">
        <f>_xll.PTreeNodeValue(treeCalc_1!$F$2,1045)</f>
        <v>#VALUE!</v>
      </c>
    </row>
    <row r="2092" spans="4:13" x14ac:dyDescent="0.3">
      <c r="I2092" s="17" t="e">
        <v>#VALUE!</v>
      </c>
      <c r="J2092" s="15" t="s">
        <v>133</v>
      </c>
    </row>
    <row r="2093" spans="4:13" x14ac:dyDescent="0.3">
      <c r="I2093" s="13"/>
      <c r="J2093" s="16" t="e">
        <f>_xll.PTreeNodeValue(treeCalc_1!$F$2,1046)</f>
        <v>#VALUE!</v>
      </c>
    </row>
    <row r="2094" spans="4:13" x14ac:dyDescent="0.3">
      <c r="J2094" s="17" t="e">
        <v>#VALUE!</v>
      </c>
      <c r="K2094" s="15" t="s">
        <v>132</v>
      </c>
    </row>
    <row r="2095" spans="4:13" x14ac:dyDescent="0.3">
      <c r="J2095" s="13"/>
      <c r="K2095" s="16" t="e">
        <f>_xll.PTreeNodeValue(treeCalc_1!$F$2,1047)</f>
        <v>#VALUE!</v>
      </c>
    </row>
    <row r="2096" spans="4:13" x14ac:dyDescent="0.3">
      <c r="K2096" s="17" t="e">
        <v>#VALUE!</v>
      </c>
      <c r="L2096" s="15" t="s">
        <v>134</v>
      </c>
    </row>
    <row r="2097" spans="7:13" x14ac:dyDescent="0.3">
      <c r="K2097" s="13"/>
      <c r="L2097" s="16" t="e">
        <f>_xll.PTreeNodeValue(treeCalc_1!$F$2,1048)</f>
        <v>#VALUE!</v>
      </c>
    </row>
    <row r="2098" spans="7:13" x14ac:dyDescent="0.3">
      <c r="L2098" s="17" t="e">
        <v>#VALUE!</v>
      </c>
      <c r="M2098" s="19" t="e">
        <f>_xll.PTreeNodeProbability(treeCalc_1!$F$2,1049)</f>
        <v>#VALUE!</v>
      </c>
    </row>
    <row r="2099" spans="7:13" x14ac:dyDescent="0.3">
      <c r="L2099" s="13"/>
      <c r="M2099" s="18" t="e">
        <f>_xll.PTreeNodeValue(treeCalc_1!$F$2,1049)</f>
        <v>#VALUE!</v>
      </c>
    </row>
    <row r="2100" spans="7:13" x14ac:dyDescent="0.3">
      <c r="G2100" s="17" t="e">
        <v>#VALUE!</v>
      </c>
      <c r="H2100" s="15" t="s">
        <v>145</v>
      </c>
    </row>
    <row r="2101" spans="7:13" x14ac:dyDescent="0.3">
      <c r="G2101" s="13"/>
      <c r="H2101" s="16" t="e">
        <f>_xll.PTreeNodeValue(treeCalc_1!$F$2,1050)</f>
        <v>#VALUE!</v>
      </c>
    </row>
    <row r="2102" spans="7:13" x14ac:dyDescent="0.3">
      <c r="I2102" s="17" t="e">
        <v>#VALUE!</v>
      </c>
      <c r="J2102" s="15" t="s">
        <v>133</v>
      </c>
    </row>
    <row r="2103" spans="7:13" x14ac:dyDescent="0.3">
      <c r="I2103" s="13"/>
      <c r="J2103" s="16" t="e">
        <f>_xll.PTreeNodeValue(treeCalc_1!$F$2,1051)</f>
        <v>#VALUE!</v>
      </c>
    </row>
    <row r="2104" spans="7:13" x14ac:dyDescent="0.3">
      <c r="J2104" s="17" t="e">
        <v>#VALUE!</v>
      </c>
      <c r="K2104" s="15" t="s">
        <v>132</v>
      </c>
    </row>
    <row r="2105" spans="7:13" x14ac:dyDescent="0.3">
      <c r="J2105" s="13"/>
      <c r="K2105" s="16" t="e">
        <f>_xll.PTreeNodeValue(treeCalc_1!$F$2,1052)</f>
        <v>#VALUE!</v>
      </c>
    </row>
    <row r="2106" spans="7:13" x14ac:dyDescent="0.3">
      <c r="K2106" s="17" t="e">
        <v>#VALUE!</v>
      </c>
      <c r="L2106" s="15" t="s">
        <v>134</v>
      </c>
    </row>
    <row r="2107" spans="7:13" x14ac:dyDescent="0.3">
      <c r="K2107" s="13"/>
      <c r="L2107" s="16" t="e">
        <f>_xll.PTreeNodeValue(treeCalc_1!$F$2,1053)</f>
        <v>#VALUE!</v>
      </c>
    </row>
    <row r="2108" spans="7:13" x14ac:dyDescent="0.3">
      <c r="L2108" s="17" t="e">
        <v>#VALUE!</v>
      </c>
      <c r="M2108" s="19" t="e">
        <f>_xll.PTreeNodeProbability(treeCalc_1!$F$2,1054)</f>
        <v>#VALUE!</v>
      </c>
    </row>
    <row r="2109" spans="7:13" x14ac:dyDescent="0.3">
      <c r="L2109" s="13"/>
      <c r="M2109" s="18" t="e">
        <f>_xll.PTreeNodeValue(treeCalc_1!$F$2,1054)</f>
        <v>#VALUE!</v>
      </c>
    </row>
    <row r="2110" spans="7:13" x14ac:dyDescent="0.3">
      <c r="H2110" s="17" t="e">
        <v>#VALUE!</v>
      </c>
      <c r="I2110" s="15" t="s">
        <v>146</v>
      </c>
    </row>
    <row r="2111" spans="7:13" x14ac:dyDescent="0.3">
      <c r="H2111" s="13"/>
      <c r="I2111" s="16" t="e">
        <f>_xll.PTreeNodeValue(treeCalc_1!$F$2,1055)</f>
        <v>#VALUE!</v>
      </c>
    </row>
    <row r="2112" spans="7:13" x14ac:dyDescent="0.3">
      <c r="I2112" s="17" t="e">
        <v>#VALUE!</v>
      </c>
      <c r="J2112" s="15" t="s">
        <v>133</v>
      </c>
    </row>
    <row r="2113" spans="6:13" x14ac:dyDescent="0.3">
      <c r="I2113" s="13"/>
      <c r="J2113" s="16" t="e">
        <f>_xll.PTreeNodeValue(treeCalc_1!$F$2,1056)</f>
        <v>#VALUE!</v>
      </c>
    </row>
    <row r="2114" spans="6:13" x14ac:dyDescent="0.3">
      <c r="J2114" s="17" t="e">
        <v>#VALUE!</v>
      </c>
      <c r="K2114" s="15" t="s">
        <v>132</v>
      </c>
    </row>
    <row r="2115" spans="6:13" x14ac:dyDescent="0.3">
      <c r="J2115" s="13"/>
      <c r="K2115" s="16" t="e">
        <f>_xll.PTreeNodeValue(treeCalc_1!$F$2,1057)</f>
        <v>#VALUE!</v>
      </c>
    </row>
    <row r="2116" spans="6:13" x14ac:dyDescent="0.3">
      <c r="K2116" s="17" t="e">
        <v>#VALUE!</v>
      </c>
      <c r="L2116" s="15" t="s">
        <v>134</v>
      </c>
    </row>
    <row r="2117" spans="6:13" x14ac:dyDescent="0.3">
      <c r="K2117" s="13"/>
      <c r="L2117" s="16" t="e">
        <f>_xll.PTreeNodeValue(treeCalc_1!$F$2,1058)</f>
        <v>#VALUE!</v>
      </c>
    </row>
    <row r="2118" spans="6:13" x14ac:dyDescent="0.3">
      <c r="L2118" s="17" t="e">
        <v>#VALUE!</v>
      </c>
      <c r="M2118" s="19" t="e">
        <f>_xll.PTreeNodeProbability(treeCalc_1!$F$2,1059)</f>
        <v>#VALUE!</v>
      </c>
    </row>
    <row r="2119" spans="6:13" x14ac:dyDescent="0.3">
      <c r="L2119" s="13"/>
      <c r="M2119" s="18" t="e">
        <f>_xll.PTreeNodeValue(treeCalc_1!$F$2,1059)</f>
        <v>#VALUE!</v>
      </c>
    </row>
    <row r="2120" spans="6:13" x14ac:dyDescent="0.3">
      <c r="F2120" s="17" t="e">
        <v>#VALUE!</v>
      </c>
      <c r="G2120" s="15" t="s">
        <v>144</v>
      </c>
    </row>
    <row r="2121" spans="6:13" x14ac:dyDescent="0.3">
      <c r="F2121" s="13"/>
      <c r="G2121" s="16" t="e">
        <f>_xll.PTreeNodeValue(treeCalc_1!$F$2,1060)</f>
        <v>#VALUE!</v>
      </c>
    </row>
    <row r="2122" spans="6:13" x14ac:dyDescent="0.3">
      <c r="I2122" s="17" t="e">
        <v>#VALUE!</v>
      </c>
      <c r="J2122" s="15" t="s">
        <v>133</v>
      </c>
    </row>
    <row r="2123" spans="6:13" x14ac:dyDescent="0.3">
      <c r="I2123" s="13"/>
      <c r="J2123" s="16" t="e">
        <f>_xll.PTreeNodeValue(treeCalc_1!$F$2,1061)</f>
        <v>#VALUE!</v>
      </c>
    </row>
    <row r="2124" spans="6:13" x14ac:dyDescent="0.3">
      <c r="J2124" s="17" t="e">
        <v>#VALUE!</v>
      </c>
      <c r="K2124" s="15" t="s">
        <v>132</v>
      </c>
    </row>
    <row r="2125" spans="6:13" x14ac:dyDescent="0.3">
      <c r="J2125" s="13"/>
      <c r="K2125" s="16" t="e">
        <f>_xll.PTreeNodeValue(treeCalc_1!$F$2,1062)</f>
        <v>#VALUE!</v>
      </c>
    </row>
    <row r="2126" spans="6:13" x14ac:dyDescent="0.3">
      <c r="K2126" s="17" t="e">
        <v>#VALUE!</v>
      </c>
      <c r="L2126" s="15" t="s">
        <v>134</v>
      </c>
    </row>
    <row r="2127" spans="6:13" x14ac:dyDescent="0.3">
      <c r="K2127" s="13"/>
      <c r="L2127" s="16" t="e">
        <f>_xll.PTreeNodeValue(treeCalc_1!$F$2,1063)</f>
        <v>#VALUE!</v>
      </c>
    </row>
    <row r="2128" spans="6:13" x14ac:dyDescent="0.3">
      <c r="L2128" s="17" t="e">
        <v>#VALUE!</v>
      </c>
      <c r="M2128" s="19" t="e">
        <f>_xll.PTreeNodeProbability(treeCalc_1!$F$2,1064)</f>
        <v>#VALUE!</v>
      </c>
    </row>
    <row r="2129" spans="7:13" x14ac:dyDescent="0.3">
      <c r="L2129" s="13"/>
      <c r="M2129" s="18" t="e">
        <f>_xll.PTreeNodeValue(treeCalc_1!$F$2,1064)</f>
        <v>#VALUE!</v>
      </c>
    </row>
    <row r="2130" spans="7:13" x14ac:dyDescent="0.3">
      <c r="H2130" s="17" t="e">
        <v>#VALUE!</v>
      </c>
      <c r="I2130" s="15" t="s">
        <v>146</v>
      </c>
    </row>
    <row r="2131" spans="7:13" x14ac:dyDescent="0.3">
      <c r="H2131" s="13"/>
      <c r="I2131" s="16" t="e">
        <f>_xll.PTreeNodeValue(treeCalc_1!$F$2,1065)</f>
        <v>#VALUE!</v>
      </c>
    </row>
    <row r="2132" spans="7:13" x14ac:dyDescent="0.3">
      <c r="I2132" s="17" t="e">
        <v>#VALUE!</v>
      </c>
      <c r="J2132" s="15" t="s">
        <v>133</v>
      </c>
    </row>
    <row r="2133" spans="7:13" x14ac:dyDescent="0.3">
      <c r="I2133" s="13"/>
      <c r="J2133" s="16" t="e">
        <f>_xll.PTreeNodeValue(treeCalc_1!$F$2,1066)</f>
        <v>#VALUE!</v>
      </c>
    </row>
    <row r="2134" spans="7:13" x14ac:dyDescent="0.3">
      <c r="J2134" s="17" t="e">
        <v>#VALUE!</v>
      </c>
      <c r="K2134" s="15" t="s">
        <v>132</v>
      </c>
    </row>
    <row r="2135" spans="7:13" x14ac:dyDescent="0.3">
      <c r="J2135" s="13"/>
      <c r="K2135" s="16" t="e">
        <f>_xll.PTreeNodeValue(treeCalc_1!$F$2,1067)</f>
        <v>#VALUE!</v>
      </c>
    </row>
    <row r="2136" spans="7:13" x14ac:dyDescent="0.3">
      <c r="K2136" s="17" t="e">
        <v>#VALUE!</v>
      </c>
      <c r="L2136" s="15" t="s">
        <v>134</v>
      </c>
    </row>
    <row r="2137" spans="7:13" x14ac:dyDescent="0.3">
      <c r="K2137" s="13"/>
      <c r="L2137" s="16" t="e">
        <f>_xll.PTreeNodeValue(treeCalc_1!$F$2,1068)</f>
        <v>#VALUE!</v>
      </c>
    </row>
    <row r="2138" spans="7:13" x14ac:dyDescent="0.3">
      <c r="L2138" s="17" t="e">
        <v>#VALUE!</v>
      </c>
      <c r="M2138" s="19" t="e">
        <f>_xll.PTreeNodeProbability(treeCalc_1!$F$2,1069)</f>
        <v>#VALUE!</v>
      </c>
    </row>
    <row r="2139" spans="7:13" x14ac:dyDescent="0.3">
      <c r="L2139" s="13"/>
      <c r="M2139" s="18" t="e">
        <f>_xll.PTreeNodeValue(treeCalc_1!$F$2,1069)</f>
        <v>#VALUE!</v>
      </c>
    </row>
    <row r="2140" spans="7:13" x14ac:dyDescent="0.3">
      <c r="G2140" s="17" t="e">
        <v>#VALUE!</v>
      </c>
      <c r="H2140" s="15" t="s">
        <v>145</v>
      </c>
    </row>
    <row r="2141" spans="7:13" x14ac:dyDescent="0.3">
      <c r="G2141" s="13"/>
      <c r="H2141" s="16" t="e">
        <f>_xll.PTreeNodeValue(treeCalc_1!$F$2,1070)</f>
        <v>#VALUE!</v>
      </c>
    </row>
    <row r="2142" spans="7:13" x14ac:dyDescent="0.3">
      <c r="I2142" s="17" t="e">
        <v>#VALUE!</v>
      </c>
      <c r="J2142" s="15" t="s">
        <v>133</v>
      </c>
    </row>
    <row r="2143" spans="7:13" x14ac:dyDescent="0.3">
      <c r="I2143" s="13"/>
      <c r="J2143" s="16" t="e">
        <f>_xll.PTreeNodeValue(treeCalc_1!$F$2,1071)</f>
        <v>#VALUE!</v>
      </c>
    </row>
    <row r="2144" spans="7:13" x14ac:dyDescent="0.3">
      <c r="J2144" s="17" t="e">
        <v>#VALUE!</v>
      </c>
      <c r="K2144" s="15" t="s">
        <v>132</v>
      </c>
    </row>
    <row r="2145" spans="5:13" x14ac:dyDescent="0.3">
      <c r="J2145" s="13"/>
      <c r="K2145" s="16" t="e">
        <f>_xll.PTreeNodeValue(treeCalc_1!$F$2,1072)</f>
        <v>#VALUE!</v>
      </c>
    </row>
    <row r="2146" spans="5:13" x14ac:dyDescent="0.3">
      <c r="K2146" s="17" t="e">
        <v>#VALUE!</v>
      </c>
      <c r="L2146" s="15" t="s">
        <v>134</v>
      </c>
    </row>
    <row r="2147" spans="5:13" x14ac:dyDescent="0.3">
      <c r="K2147" s="13"/>
      <c r="L2147" s="16" t="e">
        <f>_xll.PTreeNodeValue(treeCalc_1!$F$2,1073)</f>
        <v>#VALUE!</v>
      </c>
    </row>
    <row r="2148" spans="5:13" x14ac:dyDescent="0.3">
      <c r="L2148" s="17" t="e">
        <v>#VALUE!</v>
      </c>
      <c r="M2148" s="19" t="e">
        <f>_xll.PTreeNodeProbability(treeCalc_1!$F$2,1074)</f>
        <v>#VALUE!</v>
      </c>
    </row>
    <row r="2149" spans="5:13" x14ac:dyDescent="0.3">
      <c r="L2149" s="13"/>
      <c r="M2149" s="18" t="e">
        <f>_xll.PTreeNodeValue(treeCalc_1!$F$2,1074)</f>
        <v>#VALUE!</v>
      </c>
    </row>
    <row r="2150" spans="5:13" x14ac:dyDescent="0.3">
      <c r="H2150" s="17" t="e">
        <v>#VALUE!</v>
      </c>
      <c r="I2150" s="15" t="s">
        <v>146</v>
      </c>
    </row>
    <row r="2151" spans="5:13" x14ac:dyDescent="0.3">
      <c r="H2151" s="13"/>
      <c r="I2151" s="16" t="e">
        <f>_xll.PTreeNodeValue(treeCalc_1!$F$2,1075)</f>
        <v>#VALUE!</v>
      </c>
    </row>
    <row r="2152" spans="5:13" x14ac:dyDescent="0.3">
      <c r="I2152" s="17" t="e">
        <v>#VALUE!</v>
      </c>
      <c r="J2152" s="15" t="s">
        <v>133</v>
      </c>
    </row>
    <row r="2153" spans="5:13" x14ac:dyDescent="0.3">
      <c r="I2153" s="13"/>
      <c r="J2153" s="16" t="e">
        <f>_xll.PTreeNodeValue(treeCalc_1!$F$2,1076)</f>
        <v>#VALUE!</v>
      </c>
    </row>
    <row r="2154" spans="5:13" x14ac:dyDescent="0.3">
      <c r="J2154" s="17" t="e">
        <v>#VALUE!</v>
      </c>
      <c r="K2154" s="15" t="s">
        <v>132</v>
      </c>
    </row>
    <row r="2155" spans="5:13" x14ac:dyDescent="0.3">
      <c r="J2155" s="13"/>
      <c r="K2155" s="16" t="e">
        <f>_xll.PTreeNodeValue(treeCalc_1!$F$2,1077)</f>
        <v>#VALUE!</v>
      </c>
    </row>
    <row r="2156" spans="5:13" x14ac:dyDescent="0.3">
      <c r="K2156" s="17" t="e">
        <v>#VALUE!</v>
      </c>
      <c r="L2156" s="15" t="s">
        <v>134</v>
      </c>
    </row>
    <row r="2157" spans="5:13" x14ac:dyDescent="0.3">
      <c r="K2157" s="13"/>
      <c r="L2157" s="16" t="e">
        <f>_xll.PTreeNodeValue(treeCalc_1!$F$2,1078)</f>
        <v>#VALUE!</v>
      </c>
    </row>
    <row r="2158" spans="5:13" x14ac:dyDescent="0.3">
      <c r="L2158" s="17" t="e">
        <v>#VALUE!</v>
      </c>
      <c r="M2158" s="19" t="e">
        <f>_xll.PTreeNodeProbability(treeCalc_1!$F$2,1079)</f>
        <v>#VALUE!</v>
      </c>
    </row>
    <row r="2159" spans="5:13" x14ac:dyDescent="0.3">
      <c r="L2159" s="13"/>
      <c r="M2159" s="18" t="e">
        <f>_xll.PTreeNodeValue(treeCalc_1!$F$2,1079)</f>
        <v>#VALUE!</v>
      </c>
    </row>
    <row r="2160" spans="5:13" x14ac:dyDescent="0.3">
      <c r="E2160" s="17" t="e">
        <v>#VALUE!</v>
      </c>
      <c r="F2160" s="15" t="s">
        <v>141</v>
      </c>
    </row>
    <row r="2161" spans="5:13" x14ac:dyDescent="0.3">
      <c r="E2161" s="13"/>
      <c r="F2161" s="16" t="e">
        <f>_xll.PTreeNodeValue(treeCalc_1!$F$2,1080)</f>
        <v>#VALUE!</v>
      </c>
    </row>
    <row r="2162" spans="5:13" x14ac:dyDescent="0.3">
      <c r="I2162" s="17" t="e">
        <v>#VALUE!</v>
      </c>
      <c r="J2162" s="15" t="s">
        <v>133</v>
      </c>
    </row>
    <row r="2163" spans="5:13" x14ac:dyDescent="0.3">
      <c r="I2163" s="13"/>
      <c r="J2163" s="16" t="e">
        <f>_xll.PTreeNodeValue(treeCalc_1!$F$2,1081)</f>
        <v>#VALUE!</v>
      </c>
    </row>
    <row r="2164" spans="5:13" x14ac:dyDescent="0.3">
      <c r="J2164" s="17" t="e">
        <v>#VALUE!</v>
      </c>
      <c r="K2164" s="15" t="s">
        <v>132</v>
      </c>
    </row>
    <row r="2165" spans="5:13" x14ac:dyDescent="0.3">
      <c r="J2165" s="13"/>
      <c r="K2165" s="16" t="e">
        <f>_xll.PTreeNodeValue(treeCalc_1!$F$2,1082)</f>
        <v>#VALUE!</v>
      </c>
    </row>
    <row r="2166" spans="5:13" x14ac:dyDescent="0.3">
      <c r="K2166" s="17" t="e">
        <v>#VALUE!</v>
      </c>
      <c r="L2166" s="15" t="s">
        <v>134</v>
      </c>
    </row>
    <row r="2167" spans="5:13" x14ac:dyDescent="0.3">
      <c r="K2167" s="13"/>
      <c r="L2167" s="16" t="e">
        <f>_xll.PTreeNodeValue(treeCalc_1!$F$2,1083)</f>
        <v>#VALUE!</v>
      </c>
    </row>
    <row r="2168" spans="5:13" x14ac:dyDescent="0.3">
      <c r="L2168" s="17" t="e">
        <v>#VALUE!</v>
      </c>
      <c r="M2168" s="19" t="e">
        <f>_xll.PTreeNodeProbability(treeCalc_1!$F$2,1084)</f>
        <v>#VALUE!</v>
      </c>
    </row>
    <row r="2169" spans="5:13" x14ac:dyDescent="0.3">
      <c r="L2169" s="13"/>
      <c r="M2169" s="18" t="e">
        <f>_xll.PTreeNodeValue(treeCalc_1!$F$2,1084)</f>
        <v>#VALUE!</v>
      </c>
    </row>
    <row r="2170" spans="5:13" x14ac:dyDescent="0.3">
      <c r="H2170" s="17" t="e">
        <v>#VALUE!</v>
      </c>
      <c r="I2170" s="15" t="s">
        <v>146</v>
      </c>
    </row>
    <row r="2171" spans="5:13" x14ac:dyDescent="0.3">
      <c r="H2171" s="13"/>
      <c r="I2171" s="16" t="e">
        <f>_xll.PTreeNodeValue(treeCalc_1!$F$2,1085)</f>
        <v>#VALUE!</v>
      </c>
    </row>
    <row r="2172" spans="5:13" x14ac:dyDescent="0.3">
      <c r="I2172" s="17" t="e">
        <v>#VALUE!</v>
      </c>
      <c r="J2172" s="15" t="s">
        <v>133</v>
      </c>
    </row>
    <row r="2173" spans="5:13" x14ac:dyDescent="0.3">
      <c r="I2173" s="13"/>
      <c r="J2173" s="16" t="e">
        <f>_xll.PTreeNodeValue(treeCalc_1!$F$2,1086)</f>
        <v>#VALUE!</v>
      </c>
    </row>
    <row r="2174" spans="5:13" x14ac:dyDescent="0.3">
      <c r="J2174" s="17" t="e">
        <v>#VALUE!</v>
      </c>
      <c r="K2174" s="15" t="s">
        <v>132</v>
      </c>
    </row>
    <row r="2175" spans="5:13" x14ac:dyDescent="0.3">
      <c r="J2175" s="13"/>
      <c r="K2175" s="16" t="e">
        <f>_xll.PTreeNodeValue(treeCalc_1!$F$2,1087)</f>
        <v>#VALUE!</v>
      </c>
    </row>
    <row r="2176" spans="5:13" x14ac:dyDescent="0.3">
      <c r="K2176" s="17" t="e">
        <v>#VALUE!</v>
      </c>
      <c r="L2176" s="15" t="s">
        <v>134</v>
      </c>
    </row>
    <row r="2177" spans="7:13" x14ac:dyDescent="0.3">
      <c r="K2177" s="13"/>
      <c r="L2177" s="16" t="e">
        <f>_xll.PTreeNodeValue(treeCalc_1!$F$2,1088)</f>
        <v>#VALUE!</v>
      </c>
    </row>
    <row r="2178" spans="7:13" x14ac:dyDescent="0.3">
      <c r="L2178" s="17" t="e">
        <v>#VALUE!</v>
      </c>
      <c r="M2178" s="19" t="e">
        <f>_xll.PTreeNodeProbability(treeCalc_1!$F$2,1089)</f>
        <v>#VALUE!</v>
      </c>
    </row>
    <row r="2179" spans="7:13" x14ac:dyDescent="0.3">
      <c r="L2179" s="13"/>
      <c r="M2179" s="18" t="e">
        <f>_xll.PTreeNodeValue(treeCalc_1!$F$2,1089)</f>
        <v>#VALUE!</v>
      </c>
    </row>
    <row r="2180" spans="7:13" x14ac:dyDescent="0.3">
      <c r="G2180" s="17" t="e">
        <v>#VALUE!</v>
      </c>
      <c r="H2180" s="15" t="s">
        <v>145</v>
      </c>
    </row>
    <row r="2181" spans="7:13" x14ac:dyDescent="0.3">
      <c r="G2181" s="13"/>
      <c r="H2181" s="16" t="e">
        <f>_xll.PTreeNodeValue(treeCalc_1!$F$2,1090)</f>
        <v>#VALUE!</v>
      </c>
    </row>
    <row r="2182" spans="7:13" x14ac:dyDescent="0.3">
      <c r="I2182" s="17" t="e">
        <v>#VALUE!</v>
      </c>
      <c r="J2182" s="15" t="s">
        <v>133</v>
      </c>
    </row>
    <row r="2183" spans="7:13" x14ac:dyDescent="0.3">
      <c r="I2183" s="13"/>
      <c r="J2183" s="16" t="e">
        <f>_xll.PTreeNodeValue(treeCalc_1!$F$2,1091)</f>
        <v>#VALUE!</v>
      </c>
    </row>
    <row r="2184" spans="7:13" x14ac:dyDescent="0.3">
      <c r="J2184" s="17" t="e">
        <v>#VALUE!</v>
      </c>
      <c r="K2184" s="15" t="s">
        <v>132</v>
      </c>
    </row>
    <row r="2185" spans="7:13" x14ac:dyDescent="0.3">
      <c r="J2185" s="13"/>
      <c r="K2185" s="16" t="e">
        <f>_xll.PTreeNodeValue(treeCalc_1!$F$2,1092)</f>
        <v>#VALUE!</v>
      </c>
    </row>
    <row r="2186" spans="7:13" x14ac:dyDescent="0.3">
      <c r="K2186" s="17" t="e">
        <v>#VALUE!</v>
      </c>
      <c r="L2186" s="15" t="s">
        <v>134</v>
      </c>
    </row>
    <row r="2187" spans="7:13" x14ac:dyDescent="0.3">
      <c r="K2187" s="13"/>
      <c r="L2187" s="16" t="e">
        <f>_xll.PTreeNodeValue(treeCalc_1!$F$2,1093)</f>
        <v>#VALUE!</v>
      </c>
    </row>
    <row r="2188" spans="7:13" x14ac:dyDescent="0.3">
      <c r="L2188" s="17" t="e">
        <v>#VALUE!</v>
      </c>
      <c r="M2188" s="19" t="e">
        <f>_xll.PTreeNodeProbability(treeCalc_1!$F$2,1094)</f>
        <v>#VALUE!</v>
      </c>
    </row>
    <row r="2189" spans="7:13" x14ac:dyDescent="0.3">
      <c r="L2189" s="13"/>
      <c r="M2189" s="18" t="e">
        <f>_xll.PTreeNodeValue(treeCalc_1!$F$2,1094)</f>
        <v>#VALUE!</v>
      </c>
    </row>
    <row r="2190" spans="7:13" x14ac:dyDescent="0.3">
      <c r="H2190" s="17" t="e">
        <v>#VALUE!</v>
      </c>
      <c r="I2190" s="15" t="s">
        <v>146</v>
      </c>
    </row>
    <row r="2191" spans="7:13" x14ac:dyDescent="0.3">
      <c r="H2191" s="13"/>
      <c r="I2191" s="16" t="e">
        <f>_xll.PTreeNodeValue(treeCalc_1!$F$2,1095)</f>
        <v>#VALUE!</v>
      </c>
    </row>
    <row r="2192" spans="7:13" x14ac:dyDescent="0.3">
      <c r="I2192" s="17" t="e">
        <v>#VALUE!</v>
      </c>
      <c r="J2192" s="15" t="s">
        <v>133</v>
      </c>
    </row>
    <row r="2193" spans="6:13" x14ac:dyDescent="0.3">
      <c r="I2193" s="13"/>
      <c r="J2193" s="16" t="e">
        <f>_xll.PTreeNodeValue(treeCalc_1!$F$2,1096)</f>
        <v>#VALUE!</v>
      </c>
    </row>
    <row r="2194" spans="6:13" x14ac:dyDescent="0.3">
      <c r="J2194" s="17" t="e">
        <v>#VALUE!</v>
      </c>
      <c r="K2194" s="15" t="s">
        <v>132</v>
      </c>
    </row>
    <row r="2195" spans="6:13" x14ac:dyDescent="0.3">
      <c r="J2195" s="13"/>
      <c r="K2195" s="16" t="e">
        <f>_xll.PTreeNodeValue(treeCalc_1!$F$2,1097)</f>
        <v>#VALUE!</v>
      </c>
    </row>
    <row r="2196" spans="6:13" x14ac:dyDescent="0.3">
      <c r="K2196" s="17" t="e">
        <v>#VALUE!</v>
      </c>
      <c r="L2196" s="15" t="s">
        <v>134</v>
      </c>
    </row>
    <row r="2197" spans="6:13" x14ac:dyDescent="0.3">
      <c r="K2197" s="13"/>
      <c r="L2197" s="16" t="e">
        <f>_xll.PTreeNodeValue(treeCalc_1!$F$2,1098)</f>
        <v>#VALUE!</v>
      </c>
    </row>
    <row r="2198" spans="6:13" x14ac:dyDescent="0.3">
      <c r="L2198" s="17" t="e">
        <v>#VALUE!</v>
      </c>
      <c r="M2198" s="19" t="e">
        <f>_xll.PTreeNodeProbability(treeCalc_1!$F$2,1099)</f>
        <v>#VALUE!</v>
      </c>
    </row>
    <row r="2199" spans="6:13" x14ac:dyDescent="0.3">
      <c r="L2199" s="13"/>
      <c r="M2199" s="18" t="e">
        <f>_xll.PTreeNodeValue(treeCalc_1!$F$2,1099)</f>
        <v>#VALUE!</v>
      </c>
    </row>
    <row r="2200" spans="6:13" x14ac:dyDescent="0.3">
      <c r="F2200" s="17" t="e">
        <v>#VALUE!</v>
      </c>
      <c r="G2200" s="15" t="s">
        <v>144</v>
      </c>
    </row>
    <row r="2201" spans="6:13" x14ac:dyDescent="0.3">
      <c r="F2201" s="13"/>
      <c r="G2201" s="16" t="e">
        <f>_xll.PTreeNodeValue(treeCalc_1!$F$2,1100)</f>
        <v>#VALUE!</v>
      </c>
    </row>
    <row r="2202" spans="6:13" x14ac:dyDescent="0.3">
      <c r="I2202" s="17" t="e">
        <v>#VALUE!</v>
      </c>
      <c r="J2202" s="15" t="s">
        <v>133</v>
      </c>
    </row>
    <row r="2203" spans="6:13" x14ac:dyDescent="0.3">
      <c r="I2203" s="13"/>
      <c r="J2203" s="16" t="e">
        <f>_xll.PTreeNodeValue(treeCalc_1!$F$2,1101)</f>
        <v>#VALUE!</v>
      </c>
    </row>
    <row r="2204" spans="6:13" x14ac:dyDescent="0.3">
      <c r="J2204" s="17" t="e">
        <v>#VALUE!</v>
      </c>
      <c r="K2204" s="15" t="s">
        <v>132</v>
      </c>
    </row>
    <row r="2205" spans="6:13" x14ac:dyDescent="0.3">
      <c r="J2205" s="13"/>
      <c r="K2205" s="16" t="e">
        <f>_xll.PTreeNodeValue(treeCalc_1!$F$2,1102)</f>
        <v>#VALUE!</v>
      </c>
    </row>
    <row r="2206" spans="6:13" x14ac:dyDescent="0.3">
      <c r="K2206" s="17" t="e">
        <v>#VALUE!</v>
      </c>
      <c r="L2206" s="15" t="s">
        <v>134</v>
      </c>
    </row>
    <row r="2207" spans="6:13" x14ac:dyDescent="0.3">
      <c r="K2207" s="13"/>
      <c r="L2207" s="16" t="e">
        <f>_xll.PTreeNodeValue(treeCalc_1!$F$2,1103)</f>
        <v>#VALUE!</v>
      </c>
    </row>
    <row r="2208" spans="6:13" x14ac:dyDescent="0.3">
      <c r="L2208" s="17" t="e">
        <v>#VALUE!</v>
      </c>
      <c r="M2208" s="19" t="e">
        <f>_xll.PTreeNodeProbability(treeCalc_1!$F$2,1104)</f>
        <v>#VALUE!</v>
      </c>
    </row>
    <row r="2209" spans="7:13" x14ac:dyDescent="0.3">
      <c r="L2209" s="13"/>
      <c r="M2209" s="18" t="e">
        <f>_xll.PTreeNodeValue(treeCalc_1!$F$2,1104)</f>
        <v>#VALUE!</v>
      </c>
    </row>
    <row r="2210" spans="7:13" x14ac:dyDescent="0.3">
      <c r="H2210" s="17" t="e">
        <v>#VALUE!</v>
      </c>
      <c r="I2210" s="15" t="s">
        <v>146</v>
      </c>
    </row>
    <row r="2211" spans="7:13" x14ac:dyDescent="0.3">
      <c r="H2211" s="13"/>
      <c r="I2211" s="16" t="e">
        <f>_xll.PTreeNodeValue(treeCalc_1!$F$2,1105)</f>
        <v>#VALUE!</v>
      </c>
    </row>
    <row r="2212" spans="7:13" x14ac:dyDescent="0.3">
      <c r="I2212" s="17" t="e">
        <v>#VALUE!</v>
      </c>
      <c r="J2212" s="15" t="s">
        <v>133</v>
      </c>
    </row>
    <row r="2213" spans="7:13" x14ac:dyDescent="0.3">
      <c r="I2213" s="13"/>
      <c r="J2213" s="16" t="e">
        <f>_xll.PTreeNodeValue(treeCalc_1!$F$2,1106)</f>
        <v>#VALUE!</v>
      </c>
    </row>
    <row r="2214" spans="7:13" x14ac:dyDescent="0.3">
      <c r="J2214" s="17" t="e">
        <v>#VALUE!</v>
      </c>
      <c r="K2214" s="15" t="s">
        <v>132</v>
      </c>
    </row>
    <row r="2215" spans="7:13" x14ac:dyDescent="0.3">
      <c r="J2215" s="13"/>
      <c r="K2215" s="16" t="e">
        <f>_xll.PTreeNodeValue(treeCalc_1!$F$2,1107)</f>
        <v>#VALUE!</v>
      </c>
    </row>
    <row r="2216" spans="7:13" x14ac:dyDescent="0.3">
      <c r="K2216" s="17" t="e">
        <v>#VALUE!</v>
      </c>
      <c r="L2216" s="15" t="s">
        <v>134</v>
      </c>
    </row>
    <row r="2217" spans="7:13" x14ac:dyDescent="0.3">
      <c r="K2217" s="13"/>
      <c r="L2217" s="16" t="e">
        <f>_xll.PTreeNodeValue(treeCalc_1!$F$2,1108)</f>
        <v>#VALUE!</v>
      </c>
    </row>
    <row r="2218" spans="7:13" x14ac:dyDescent="0.3">
      <c r="L2218" s="17" t="e">
        <v>#VALUE!</v>
      </c>
      <c r="M2218" s="19" t="e">
        <f>_xll.PTreeNodeProbability(treeCalc_1!$F$2,1109)</f>
        <v>#VALUE!</v>
      </c>
    </row>
    <row r="2219" spans="7:13" x14ac:dyDescent="0.3">
      <c r="L2219" s="13"/>
      <c r="M2219" s="18" t="e">
        <f>_xll.PTreeNodeValue(treeCalc_1!$F$2,1109)</f>
        <v>#VALUE!</v>
      </c>
    </row>
    <row r="2220" spans="7:13" x14ac:dyDescent="0.3">
      <c r="G2220" s="17" t="e">
        <v>#VALUE!</v>
      </c>
      <c r="H2220" s="15" t="s">
        <v>145</v>
      </c>
    </row>
    <row r="2221" spans="7:13" x14ac:dyDescent="0.3">
      <c r="G2221" s="13"/>
      <c r="H2221" s="16" t="e">
        <f>_xll.PTreeNodeValue(treeCalc_1!$F$2,1110)</f>
        <v>#VALUE!</v>
      </c>
    </row>
    <row r="2222" spans="7:13" x14ac:dyDescent="0.3">
      <c r="I2222" s="17" t="e">
        <v>#VALUE!</v>
      </c>
      <c r="J2222" s="15" t="s">
        <v>133</v>
      </c>
    </row>
    <row r="2223" spans="7:13" x14ac:dyDescent="0.3">
      <c r="I2223" s="13"/>
      <c r="J2223" s="16" t="e">
        <f>_xll.PTreeNodeValue(treeCalc_1!$F$2,1111)</f>
        <v>#VALUE!</v>
      </c>
    </row>
    <row r="2224" spans="7:13" x14ac:dyDescent="0.3">
      <c r="J2224" s="17" t="e">
        <v>#VALUE!</v>
      </c>
      <c r="K2224" s="15" t="s">
        <v>132</v>
      </c>
    </row>
    <row r="2225" spans="3:13" x14ac:dyDescent="0.3">
      <c r="J2225" s="13"/>
      <c r="K2225" s="16" t="e">
        <f>_xll.PTreeNodeValue(treeCalc_1!$F$2,1112)</f>
        <v>#VALUE!</v>
      </c>
    </row>
    <row r="2226" spans="3:13" x14ac:dyDescent="0.3">
      <c r="K2226" s="17" t="e">
        <v>#VALUE!</v>
      </c>
      <c r="L2226" s="15" t="s">
        <v>134</v>
      </c>
    </row>
    <row r="2227" spans="3:13" x14ac:dyDescent="0.3">
      <c r="K2227" s="13"/>
      <c r="L2227" s="16" t="e">
        <f>_xll.PTreeNodeValue(treeCalc_1!$F$2,1113)</f>
        <v>#VALUE!</v>
      </c>
    </row>
    <row r="2228" spans="3:13" x14ac:dyDescent="0.3">
      <c r="L2228" s="17" t="e">
        <v>#VALUE!</v>
      </c>
      <c r="M2228" s="19" t="e">
        <f>_xll.PTreeNodeProbability(treeCalc_1!$F$2,1114)</f>
        <v>#VALUE!</v>
      </c>
    </row>
    <row r="2229" spans="3:13" x14ac:dyDescent="0.3">
      <c r="L2229" s="13"/>
      <c r="M2229" s="18" t="e">
        <f>_xll.PTreeNodeValue(treeCalc_1!$F$2,1114)</f>
        <v>#VALUE!</v>
      </c>
    </row>
    <row r="2230" spans="3:13" x14ac:dyDescent="0.3">
      <c r="H2230" s="17" t="e">
        <v>#VALUE!</v>
      </c>
      <c r="I2230" s="15" t="s">
        <v>146</v>
      </c>
    </row>
    <row r="2231" spans="3:13" x14ac:dyDescent="0.3">
      <c r="H2231" s="13"/>
      <c r="I2231" s="16" t="e">
        <f>_xll.PTreeNodeValue(treeCalc_1!$F$2,1115)</f>
        <v>#VALUE!</v>
      </c>
    </row>
    <row r="2232" spans="3:13" x14ac:dyDescent="0.3">
      <c r="I2232" s="17" t="e">
        <v>#VALUE!</v>
      </c>
      <c r="J2232" s="15" t="s">
        <v>133</v>
      </c>
    </row>
    <row r="2233" spans="3:13" x14ac:dyDescent="0.3">
      <c r="I2233" s="13"/>
      <c r="J2233" s="16" t="e">
        <f>_xll.PTreeNodeValue(treeCalc_1!$F$2,1116)</f>
        <v>#VALUE!</v>
      </c>
    </row>
    <row r="2234" spans="3:13" x14ac:dyDescent="0.3">
      <c r="J2234" s="17" t="e">
        <v>#VALUE!</v>
      </c>
      <c r="K2234" s="15" t="s">
        <v>132</v>
      </c>
    </row>
    <row r="2235" spans="3:13" x14ac:dyDescent="0.3">
      <c r="J2235" s="13"/>
      <c r="K2235" s="16" t="e">
        <f>_xll.PTreeNodeValue(treeCalc_1!$F$2,1117)</f>
        <v>#VALUE!</v>
      </c>
    </row>
    <row r="2236" spans="3:13" x14ac:dyDescent="0.3">
      <c r="K2236" s="17" t="e">
        <v>#VALUE!</v>
      </c>
      <c r="L2236" s="15" t="s">
        <v>134</v>
      </c>
    </row>
    <row r="2237" spans="3:13" x14ac:dyDescent="0.3">
      <c r="K2237" s="13"/>
      <c r="L2237" s="16" t="e">
        <f>_xll.PTreeNodeValue(treeCalc_1!$F$2,1118)</f>
        <v>#VALUE!</v>
      </c>
    </row>
    <row r="2238" spans="3:13" x14ac:dyDescent="0.3">
      <c r="L2238" s="17" t="e">
        <v>#VALUE!</v>
      </c>
      <c r="M2238" s="19" t="e">
        <f>_xll.PTreeNodeProbability(treeCalc_1!$F$2,1119)</f>
        <v>#VALUE!</v>
      </c>
    </row>
    <row r="2239" spans="3:13" x14ac:dyDescent="0.3">
      <c r="L2239" s="13"/>
      <c r="M2239" s="18" t="e">
        <f>_xll.PTreeNodeValue(treeCalc_1!$F$2,1119)</f>
        <v>#VALUE!</v>
      </c>
    </row>
    <row r="2240" spans="3:13" x14ac:dyDescent="0.3">
      <c r="C2240" s="14" t="e">
        <f>_xll.PTreeNodeDecision(treeCalc_1!$F$2,1120)</f>
        <v>#VALUE!</v>
      </c>
      <c r="D2240" s="11" t="s">
        <v>139</v>
      </c>
    </row>
    <row r="2241" spans="3:13" x14ac:dyDescent="0.3">
      <c r="C2241" s="13"/>
      <c r="D2241" s="12" t="e">
        <f>_xll.PTreeNodeValue(treeCalc_1!$F$2,1120)</f>
        <v>#VALUE!</v>
      </c>
    </row>
    <row r="2242" spans="3:13" x14ac:dyDescent="0.3">
      <c r="I2242" s="17" t="e">
        <v>#VALUE!</v>
      </c>
      <c r="J2242" s="15" t="s">
        <v>133</v>
      </c>
    </row>
    <row r="2243" spans="3:13" x14ac:dyDescent="0.3">
      <c r="I2243" s="13"/>
      <c r="J2243" s="16" t="e">
        <f>_xll.PTreeNodeValue(treeCalc_1!$F$2,1121)</f>
        <v>#VALUE!</v>
      </c>
    </row>
    <row r="2244" spans="3:13" x14ac:dyDescent="0.3">
      <c r="J2244" s="17" t="e">
        <v>#VALUE!</v>
      </c>
      <c r="K2244" s="15" t="s">
        <v>132</v>
      </c>
    </row>
    <row r="2245" spans="3:13" x14ac:dyDescent="0.3">
      <c r="J2245" s="13"/>
      <c r="K2245" s="16" t="e">
        <f>_xll.PTreeNodeValue(treeCalc_1!$F$2,1122)</f>
        <v>#VALUE!</v>
      </c>
    </row>
    <row r="2246" spans="3:13" x14ac:dyDescent="0.3">
      <c r="K2246" s="17" t="e">
        <v>#VALUE!</v>
      </c>
      <c r="L2246" s="15" t="s">
        <v>134</v>
      </c>
    </row>
    <row r="2247" spans="3:13" x14ac:dyDescent="0.3">
      <c r="K2247" s="13"/>
      <c r="L2247" s="16" t="e">
        <f>_xll.PTreeNodeValue(treeCalc_1!$F$2,1123)</f>
        <v>#VALUE!</v>
      </c>
    </row>
    <row r="2248" spans="3:13" x14ac:dyDescent="0.3">
      <c r="L2248" s="17" t="e">
        <v>#VALUE!</v>
      </c>
      <c r="M2248" s="19" t="e">
        <f>_xll.PTreeNodeProbability(treeCalc_1!$F$2,1124)</f>
        <v>#VALUE!</v>
      </c>
    </row>
    <row r="2249" spans="3:13" x14ac:dyDescent="0.3">
      <c r="L2249" s="13"/>
      <c r="M2249" s="18" t="e">
        <f>_xll.PTreeNodeValue(treeCalc_1!$F$2,1124)</f>
        <v>#VALUE!</v>
      </c>
    </row>
    <row r="2250" spans="3:13" x14ac:dyDescent="0.3">
      <c r="H2250" s="17" t="e">
        <v>#VALUE!</v>
      </c>
      <c r="I2250" s="15" t="s">
        <v>146</v>
      </c>
    </row>
    <row r="2251" spans="3:13" x14ac:dyDescent="0.3">
      <c r="H2251" s="13"/>
      <c r="I2251" s="16" t="e">
        <f>_xll.PTreeNodeValue(treeCalc_1!$F$2,1125)</f>
        <v>#VALUE!</v>
      </c>
    </row>
    <row r="2252" spans="3:13" x14ac:dyDescent="0.3">
      <c r="I2252" s="17" t="e">
        <v>#VALUE!</v>
      </c>
      <c r="J2252" s="15" t="s">
        <v>133</v>
      </c>
    </row>
    <row r="2253" spans="3:13" x14ac:dyDescent="0.3">
      <c r="I2253" s="13"/>
      <c r="J2253" s="16" t="e">
        <f>_xll.PTreeNodeValue(treeCalc_1!$F$2,1126)</f>
        <v>#VALUE!</v>
      </c>
    </row>
    <row r="2254" spans="3:13" x14ac:dyDescent="0.3">
      <c r="J2254" s="17" t="e">
        <v>#VALUE!</v>
      </c>
      <c r="K2254" s="15" t="s">
        <v>132</v>
      </c>
    </row>
    <row r="2255" spans="3:13" x14ac:dyDescent="0.3">
      <c r="J2255" s="13"/>
      <c r="K2255" s="16" t="e">
        <f>_xll.PTreeNodeValue(treeCalc_1!$F$2,1127)</f>
        <v>#VALUE!</v>
      </c>
    </row>
    <row r="2256" spans="3:13" x14ac:dyDescent="0.3">
      <c r="K2256" s="17" t="e">
        <v>#VALUE!</v>
      </c>
      <c r="L2256" s="15" t="s">
        <v>134</v>
      </c>
    </row>
    <row r="2257" spans="7:13" x14ac:dyDescent="0.3">
      <c r="K2257" s="13"/>
      <c r="L2257" s="16" t="e">
        <f>_xll.PTreeNodeValue(treeCalc_1!$F$2,1128)</f>
        <v>#VALUE!</v>
      </c>
    </row>
    <row r="2258" spans="7:13" x14ac:dyDescent="0.3">
      <c r="L2258" s="17" t="e">
        <v>#VALUE!</v>
      </c>
      <c r="M2258" s="19" t="e">
        <f>_xll.PTreeNodeProbability(treeCalc_1!$F$2,1129)</f>
        <v>#VALUE!</v>
      </c>
    </row>
    <row r="2259" spans="7:13" x14ac:dyDescent="0.3">
      <c r="L2259" s="13"/>
      <c r="M2259" s="18" t="e">
        <f>_xll.PTreeNodeValue(treeCalc_1!$F$2,1129)</f>
        <v>#VALUE!</v>
      </c>
    </row>
    <row r="2260" spans="7:13" x14ac:dyDescent="0.3">
      <c r="G2260" s="17" t="e">
        <v>#VALUE!</v>
      </c>
      <c r="H2260" s="15" t="s">
        <v>145</v>
      </c>
    </row>
    <row r="2261" spans="7:13" x14ac:dyDescent="0.3">
      <c r="G2261" s="13"/>
      <c r="H2261" s="16" t="e">
        <f>_xll.PTreeNodeValue(treeCalc_1!$F$2,1130)</f>
        <v>#VALUE!</v>
      </c>
    </row>
    <row r="2262" spans="7:13" x14ac:dyDescent="0.3">
      <c r="I2262" s="17" t="e">
        <v>#VALUE!</v>
      </c>
      <c r="J2262" s="15" t="s">
        <v>133</v>
      </c>
    </row>
    <row r="2263" spans="7:13" x14ac:dyDescent="0.3">
      <c r="I2263" s="13"/>
      <c r="J2263" s="16" t="e">
        <f>_xll.PTreeNodeValue(treeCalc_1!$F$2,1131)</f>
        <v>#VALUE!</v>
      </c>
    </row>
    <row r="2264" spans="7:13" x14ac:dyDescent="0.3">
      <c r="J2264" s="17" t="e">
        <v>#VALUE!</v>
      </c>
      <c r="K2264" s="15" t="s">
        <v>132</v>
      </c>
    </row>
    <row r="2265" spans="7:13" x14ac:dyDescent="0.3">
      <c r="J2265" s="13"/>
      <c r="K2265" s="16" t="e">
        <f>_xll.PTreeNodeValue(treeCalc_1!$F$2,1132)</f>
        <v>#VALUE!</v>
      </c>
    </row>
    <row r="2266" spans="7:13" x14ac:dyDescent="0.3">
      <c r="K2266" s="17" t="e">
        <v>#VALUE!</v>
      </c>
      <c r="L2266" s="15" t="s">
        <v>134</v>
      </c>
    </row>
    <row r="2267" spans="7:13" x14ac:dyDescent="0.3">
      <c r="K2267" s="13"/>
      <c r="L2267" s="16" t="e">
        <f>_xll.PTreeNodeValue(treeCalc_1!$F$2,1133)</f>
        <v>#VALUE!</v>
      </c>
    </row>
    <row r="2268" spans="7:13" x14ac:dyDescent="0.3">
      <c r="L2268" s="17" t="e">
        <v>#VALUE!</v>
      </c>
      <c r="M2268" s="19" t="e">
        <f>_xll.PTreeNodeProbability(treeCalc_1!$F$2,1134)</f>
        <v>#VALUE!</v>
      </c>
    </row>
    <row r="2269" spans="7:13" x14ac:dyDescent="0.3">
      <c r="L2269" s="13"/>
      <c r="M2269" s="18" t="e">
        <f>_xll.PTreeNodeValue(treeCalc_1!$F$2,1134)</f>
        <v>#VALUE!</v>
      </c>
    </row>
    <row r="2270" spans="7:13" x14ac:dyDescent="0.3">
      <c r="H2270" s="17" t="e">
        <v>#VALUE!</v>
      </c>
      <c r="I2270" s="15" t="s">
        <v>146</v>
      </c>
    </row>
    <row r="2271" spans="7:13" x14ac:dyDescent="0.3">
      <c r="H2271" s="13"/>
      <c r="I2271" s="16" t="e">
        <f>_xll.PTreeNodeValue(treeCalc_1!$F$2,1135)</f>
        <v>#VALUE!</v>
      </c>
    </row>
    <row r="2272" spans="7:13" x14ac:dyDescent="0.3">
      <c r="I2272" s="17" t="e">
        <v>#VALUE!</v>
      </c>
      <c r="J2272" s="15" t="s">
        <v>133</v>
      </c>
    </row>
    <row r="2273" spans="6:13" x14ac:dyDescent="0.3">
      <c r="I2273" s="13"/>
      <c r="J2273" s="16" t="e">
        <f>_xll.PTreeNodeValue(treeCalc_1!$F$2,1136)</f>
        <v>#VALUE!</v>
      </c>
    </row>
    <row r="2274" spans="6:13" x14ac:dyDescent="0.3">
      <c r="J2274" s="17" t="e">
        <v>#VALUE!</v>
      </c>
      <c r="K2274" s="15" t="s">
        <v>132</v>
      </c>
    </row>
    <row r="2275" spans="6:13" x14ac:dyDescent="0.3">
      <c r="J2275" s="13"/>
      <c r="K2275" s="16" t="e">
        <f>_xll.PTreeNodeValue(treeCalc_1!$F$2,1137)</f>
        <v>#VALUE!</v>
      </c>
    </row>
    <row r="2276" spans="6:13" x14ac:dyDescent="0.3">
      <c r="K2276" s="17" t="e">
        <v>#VALUE!</v>
      </c>
      <c r="L2276" s="15" t="s">
        <v>134</v>
      </c>
    </row>
    <row r="2277" spans="6:13" x14ac:dyDescent="0.3">
      <c r="K2277" s="13"/>
      <c r="L2277" s="16" t="e">
        <f>_xll.PTreeNodeValue(treeCalc_1!$F$2,1138)</f>
        <v>#VALUE!</v>
      </c>
    </row>
    <row r="2278" spans="6:13" x14ac:dyDescent="0.3">
      <c r="L2278" s="17" t="e">
        <v>#VALUE!</v>
      </c>
      <c r="M2278" s="19" t="e">
        <f>_xll.PTreeNodeProbability(treeCalc_1!$F$2,1139)</f>
        <v>#VALUE!</v>
      </c>
    </row>
    <row r="2279" spans="6:13" x14ac:dyDescent="0.3">
      <c r="L2279" s="13"/>
      <c r="M2279" s="18" t="e">
        <f>_xll.PTreeNodeValue(treeCalc_1!$F$2,1139)</f>
        <v>#VALUE!</v>
      </c>
    </row>
    <row r="2280" spans="6:13" x14ac:dyDescent="0.3">
      <c r="F2280" s="17" t="e">
        <v>#VALUE!</v>
      </c>
      <c r="G2280" s="15" t="s">
        <v>144</v>
      </c>
    </row>
    <row r="2281" spans="6:13" x14ac:dyDescent="0.3">
      <c r="F2281" s="13"/>
      <c r="G2281" s="16" t="e">
        <f>_xll.PTreeNodeValue(treeCalc_1!$F$2,1140)</f>
        <v>#VALUE!</v>
      </c>
    </row>
    <row r="2282" spans="6:13" x14ac:dyDescent="0.3">
      <c r="I2282" s="17" t="e">
        <v>#VALUE!</v>
      </c>
      <c r="J2282" s="15" t="s">
        <v>133</v>
      </c>
    </row>
    <row r="2283" spans="6:13" x14ac:dyDescent="0.3">
      <c r="I2283" s="13"/>
      <c r="J2283" s="16" t="e">
        <f>_xll.PTreeNodeValue(treeCalc_1!$F$2,1141)</f>
        <v>#VALUE!</v>
      </c>
    </row>
    <row r="2284" spans="6:13" x14ac:dyDescent="0.3">
      <c r="J2284" s="17" t="e">
        <v>#VALUE!</v>
      </c>
      <c r="K2284" s="15" t="s">
        <v>132</v>
      </c>
    </row>
    <row r="2285" spans="6:13" x14ac:dyDescent="0.3">
      <c r="J2285" s="13"/>
      <c r="K2285" s="16" t="e">
        <f>_xll.PTreeNodeValue(treeCalc_1!$F$2,1142)</f>
        <v>#VALUE!</v>
      </c>
    </row>
    <row r="2286" spans="6:13" x14ac:dyDescent="0.3">
      <c r="K2286" s="17" t="e">
        <v>#VALUE!</v>
      </c>
      <c r="L2286" s="15" t="s">
        <v>134</v>
      </c>
    </row>
    <row r="2287" spans="6:13" x14ac:dyDescent="0.3">
      <c r="K2287" s="13"/>
      <c r="L2287" s="16" t="e">
        <f>_xll.PTreeNodeValue(treeCalc_1!$F$2,1143)</f>
        <v>#VALUE!</v>
      </c>
    </row>
    <row r="2288" spans="6:13" x14ac:dyDescent="0.3">
      <c r="L2288" s="17" t="e">
        <v>#VALUE!</v>
      </c>
      <c r="M2288" s="19" t="e">
        <f>_xll.PTreeNodeProbability(treeCalc_1!$F$2,1144)</f>
        <v>#VALUE!</v>
      </c>
    </row>
    <row r="2289" spans="7:13" x14ac:dyDescent="0.3">
      <c r="L2289" s="13"/>
      <c r="M2289" s="18" t="e">
        <f>_xll.PTreeNodeValue(treeCalc_1!$F$2,1144)</f>
        <v>#VALUE!</v>
      </c>
    </row>
    <row r="2290" spans="7:13" x14ac:dyDescent="0.3">
      <c r="H2290" s="17" t="e">
        <v>#VALUE!</v>
      </c>
      <c r="I2290" s="15" t="s">
        <v>146</v>
      </c>
    </row>
    <row r="2291" spans="7:13" x14ac:dyDescent="0.3">
      <c r="H2291" s="13"/>
      <c r="I2291" s="16" t="e">
        <f>_xll.PTreeNodeValue(treeCalc_1!$F$2,1145)</f>
        <v>#VALUE!</v>
      </c>
    </row>
    <row r="2292" spans="7:13" x14ac:dyDescent="0.3">
      <c r="I2292" s="17" t="e">
        <v>#VALUE!</v>
      </c>
      <c r="J2292" s="15" t="s">
        <v>133</v>
      </c>
    </row>
    <row r="2293" spans="7:13" x14ac:dyDescent="0.3">
      <c r="I2293" s="13"/>
      <c r="J2293" s="16" t="e">
        <f>_xll.PTreeNodeValue(treeCalc_1!$F$2,1146)</f>
        <v>#VALUE!</v>
      </c>
    </row>
    <row r="2294" spans="7:13" x14ac:dyDescent="0.3">
      <c r="J2294" s="17" t="e">
        <v>#VALUE!</v>
      </c>
      <c r="K2294" s="15" t="s">
        <v>132</v>
      </c>
    </row>
    <row r="2295" spans="7:13" x14ac:dyDescent="0.3">
      <c r="J2295" s="13"/>
      <c r="K2295" s="16" t="e">
        <f>_xll.PTreeNodeValue(treeCalc_1!$F$2,1147)</f>
        <v>#VALUE!</v>
      </c>
    </row>
    <row r="2296" spans="7:13" x14ac:dyDescent="0.3">
      <c r="K2296" s="17" t="e">
        <v>#VALUE!</v>
      </c>
      <c r="L2296" s="15" t="s">
        <v>134</v>
      </c>
    </row>
    <row r="2297" spans="7:13" x14ac:dyDescent="0.3">
      <c r="K2297" s="13"/>
      <c r="L2297" s="16" t="e">
        <f>_xll.PTreeNodeValue(treeCalc_1!$F$2,1148)</f>
        <v>#VALUE!</v>
      </c>
    </row>
    <row r="2298" spans="7:13" x14ac:dyDescent="0.3">
      <c r="L2298" s="17" t="e">
        <v>#VALUE!</v>
      </c>
      <c r="M2298" s="19" t="e">
        <f>_xll.PTreeNodeProbability(treeCalc_1!$F$2,1149)</f>
        <v>#VALUE!</v>
      </c>
    </row>
    <row r="2299" spans="7:13" x14ac:dyDescent="0.3">
      <c r="L2299" s="13"/>
      <c r="M2299" s="18" t="e">
        <f>_xll.PTreeNodeValue(treeCalc_1!$F$2,1149)</f>
        <v>#VALUE!</v>
      </c>
    </row>
    <row r="2300" spans="7:13" x14ac:dyDescent="0.3">
      <c r="G2300" s="17" t="e">
        <v>#VALUE!</v>
      </c>
      <c r="H2300" s="15" t="s">
        <v>145</v>
      </c>
    </row>
    <row r="2301" spans="7:13" x14ac:dyDescent="0.3">
      <c r="G2301" s="13"/>
      <c r="H2301" s="16" t="e">
        <f>_xll.PTreeNodeValue(treeCalc_1!$F$2,1150)</f>
        <v>#VALUE!</v>
      </c>
    </row>
    <row r="2302" spans="7:13" x14ac:dyDescent="0.3">
      <c r="I2302" s="17" t="e">
        <v>#VALUE!</v>
      </c>
      <c r="J2302" s="15" t="s">
        <v>133</v>
      </c>
    </row>
    <row r="2303" spans="7:13" x14ac:dyDescent="0.3">
      <c r="I2303" s="13"/>
      <c r="J2303" s="16" t="e">
        <f>_xll.PTreeNodeValue(treeCalc_1!$F$2,1151)</f>
        <v>#VALUE!</v>
      </c>
    </row>
    <row r="2304" spans="7:13" x14ac:dyDescent="0.3">
      <c r="J2304" s="17" t="e">
        <v>#VALUE!</v>
      </c>
      <c r="K2304" s="15" t="s">
        <v>132</v>
      </c>
    </row>
    <row r="2305" spans="5:13" x14ac:dyDescent="0.3">
      <c r="J2305" s="13"/>
      <c r="K2305" s="16" t="e">
        <f>_xll.PTreeNodeValue(treeCalc_1!$F$2,1152)</f>
        <v>#VALUE!</v>
      </c>
    </row>
    <row r="2306" spans="5:13" x14ac:dyDescent="0.3">
      <c r="K2306" s="17" t="e">
        <v>#VALUE!</v>
      </c>
      <c r="L2306" s="15" t="s">
        <v>134</v>
      </c>
    </row>
    <row r="2307" spans="5:13" x14ac:dyDescent="0.3">
      <c r="K2307" s="13"/>
      <c r="L2307" s="16" t="e">
        <f>_xll.PTreeNodeValue(treeCalc_1!$F$2,1153)</f>
        <v>#VALUE!</v>
      </c>
    </row>
    <row r="2308" spans="5:13" x14ac:dyDescent="0.3">
      <c r="L2308" s="17" t="e">
        <v>#VALUE!</v>
      </c>
      <c r="M2308" s="19" t="e">
        <f>_xll.PTreeNodeProbability(treeCalc_1!$F$2,1154)</f>
        <v>#VALUE!</v>
      </c>
    </row>
    <row r="2309" spans="5:13" x14ac:dyDescent="0.3">
      <c r="L2309" s="13"/>
      <c r="M2309" s="18" t="e">
        <f>_xll.PTreeNodeValue(treeCalc_1!$F$2,1154)</f>
        <v>#VALUE!</v>
      </c>
    </row>
    <row r="2310" spans="5:13" x14ac:dyDescent="0.3">
      <c r="H2310" s="17" t="e">
        <v>#VALUE!</v>
      </c>
      <c r="I2310" s="15" t="s">
        <v>146</v>
      </c>
    </row>
    <row r="2311" spans="5:13" x14ac:dyDescent="0.3">
      <c r="H2311" s="13"/>
      <c r="I2311" s="16" t="e">
        <f>_xll.PTreeNodeValue(treeCalc_1!$F$2,1155)</f>
        <v>#VALUE!</v>
      </c>
    </row>
    <row r="2312" spans="5:13" x14ac:dyDescent="0.3">
      <c r="I2312" s="17" t="e">
        <v>#VALUE!</v>
      </c>
      <c r="J2312" s="15" t="s">
        <v>133</v>
      </c>
    </row>
    <row r="2313" spans="5:13" x14ac:dyDescent="0.3">
      <c r="I2313" s="13"/>
      <c r="J2313" s="16" t="e">
        <f>_xll.PTreeNodeValue(treeCalc_1!$F$2,1156)</f>
        <v>#VALUE!</v>
      </c>
    </row>
    <row r="2314" spans="5:13" x14ac:dyDescent="0.3">
      <c r="J2314" s="17" t="e">
        <v>#VALUE!</v>
      </c>
      <c r="K2314" s="15" t="s">
        <v>132</v>
      </c>
    </row>
    <row r="2315" spans="5:13" x14ac:dyDescent="0.3">
      <c r="J2315" s="13"/>
      <c r="K2315" s="16" t="e">
        <f>_xll.PTreeNodeValue(treeCalc_1!$F$2,1157)</f>
        <v>#VALUE!</v>
      </c>
    </row>
    <row r="2316" spans="5:13" x14ac:dyDescent="0.3">
      <c r="K2316" s="17" t="e">
        <v>#VALUE!</v>
      </c>
      <c r="L2316" s="15" t="s">
        <v>134</v>
      </c>
    </row>
    <row r="2317" spans="5:13" x14ac:dyDescent="0.3">
      <c r="K2317" s="13"/>
      <c r="L2317" s="16" t="e">
        <f>_xll.PTreeNodeValue(treeCalc_1!$F$2,1158)</f>
        <v>#VALUE!</v>
      </c>
    </row>
    <row r="2318" spans="5:13" x14ac:dyDescent="0.3">
      <c r="L2318" s="17" t="e">
        <v>#VALUE!</v>
      </c>
      <c r="M2318" s="19" t="e">
        <f>_xll.PTreeNodeProbability(treeCalc_1!$F$2,1159)</f>
        <v>#VALUE!</v>
      </c>
    </row>
    <row r="2319" spans="5:13" x14ac:dyDescent="0.3">
      <c r="L2319" s="13"/>
      <c r="M2319" s="18" t="e">
        <f>_xll.PTreeNodeValue(treeCalc_1!$F$2,1159)</f>
        <v>#VALUE!</v>
      </c>
    </row>
    <row r="2320" spans="5:13" x14ac:dyDescent="0.3">
      <c r="E2320" s="17" t="e">
        <v>#VALUE!</v>
      </c>
      <c r="F2320" s="15" t="s">
        <v>141</v>
      </c>
    </row>
    <row r="2321" spans="5:13" x14ac:dyDescent="0.3">
      <c r="E2321" s="13"/>
      <c r="F2321" s="16" t="e">
        <f>_xll.PTreeNodeValue(treeCalc_1!$F$2,1160)</f>
        <v>#VALUE!</v>
      </c>
    </row>
    <row r="2322" spans="5:13" x14ac:dyDescent="0.3">
      <c r="I2322" s="17" t="e">
        <v>#VALUE!</v>
      </c>
      <c r="J2322" s="15" t="s">
        <v>133</v>
      </c>
    </row>
    <row r="2323" spans="5:13" x14ac:dyDescent="0.3">
      <c r="I2323" s="13"/>
      <c r="J2323" s="16" t="e">
        <f>_xll.PTreeNodeValue(treeCalc_1!$F$2,1161)</f>
        <v>#VALUE!</v>
      </c>
    </row>
    <row r="2324" spans="5:13" x14ac:dyDescent="0.3">
      <c r="J2324" s="17" t="e">
        <v>#VALUE!</v>
      </c>
      <c r="K2324" s="15" t="s">
        <v>132</v>
      </c>
    </row>
    <row r="2325" spans="5:13" x14ac:dyDescent="0.3">
      <c r="J2325" s="13"/>
      <c r="K2325" s="16" t="e">
        <f>_xll.PTreeNodeValue(treeCalc_1!$F$2,1162)</f>
        <v>#VALUE!</v>
      </c>
    </row>
    <row r="2326" spans="5:13" x14ac:dyDescent="0.3">
      <c r="K2326" s="17" t="e">
        <v>#VALUE!</v>
      </c>
      <c r="L2326" s="15" t="s">
        <v>134</v>
      </c>
    </row>
    <row r="2327" spans="5:13" x14ac:dyDescent="0.3">
      <c r="K2327" s="13"/>
      <c r="L2327" s="16" t="e">
        <f>_xll.PTreeNodeValue(treeCalc_1!$F$2,1163)</f>
        <v>#VALUE!</v>
      </c>
    </row>
    <row r="2328" spans="5:13" x14ac:dyDescent="0.3">
      <c r="L2328" s="17" t="e">
        <v>#VALUE!</v>
      </c>
      <c r="M2328" s="19" t="e">
        <f>_xll.PTreeNodeProbability(treeCalc_1!$F$2,1164)</f>
        <v>#VALUE!</v>
      </c>
    </row>
    <row r="2329" spans="5:13" x14ac:dyDescent="0.3">
      <c r="L2329" s="13"/>
      <c r="M2329" s="18" t="e">
        <f>_xll.PTreeNodeValue(treeCalc_1!$F$2,1164)</f>
        <v>#VALUE!</v>
      </c>
    </row>
    <row r="2330" spans="5:13" x14ac:dyDescent="0.3">
      <c r="H2330" s="17" t="e">
        <v>#VALUE!</v>
      </c>
      <c r="I2330" s="15" t="s">
        <v>146</v>
      </c>
    </row>
    <row r="2331" spans="5:13" x14ac:dyDescent="0.3">
      <c r="H2331" s="13"/>
      <c r="I2331" s="16" t="e">
        <f>_xll.PTreeNodeValue(treeCalc_1!$F$2,1165)</f>
        <v>#VALUE!</v>
      </c>
    </row>
    <row r="2332" spans="5:13" x14ac:dyDescent="0.3">
      <c r="I2332" s="17" t="e">
        <v>#VALUE!</v>
      </c>
      <c r="J2332" s="15" t="s">
        <v>133</v>
      </c>
    </row>
    <row r="2333" spans="5:13" x14ac:dyDescent="0.3">
      <c r="I2333" s="13"/>
      <c r="J2333" s="16" t="e">
        <f>_xll.PTreeNodeValue(treeCalc_1!$F$2,1166)</f>
        <v>#VALUE!</v>
      </c>
    </row>
    <row r="2334" spans="5:13" x14ac:dyDescent="0.3">
      <c r="J2334" s="17" t="e">
        <v>#VALUE!</v>
      </c>
      <c r="K2334" s="15" t="s">
        <v>132</v>
      </c>
    </row>
    <row r="2335" spans="5:13" x14ac:dyDescent="0.3">
      <c r="J2335" s="13"/>
      <c r="K2335" s="16" t="e">
        <f>_xll.PTreeNodeValue(treeCalc_1!$F$2,1167)</f>
        <v>#VALUE!</v>
      </c>
    </row>
    <row r="2336" spans="5:13" x14ac:dyDescent="0.3">
      <c r="K2336" s="17" t="e">
        <v>#VALUE!</v>
      </c>
      <c r="L2336" s="15" t="s">
        <v>134</v>
      </c>
    </row>
    <row r="2337" spans="7:13" x14ac:dyDescent="0.3">
      <c r="K2337" s="13"/>
      <c r="L2337" s="16" t="e">
        <f>_xll.PTreeNodeValue(treeCalc_1!$F$2,1168)</f>
        <v>#VALUE!</v>
      </c>
    </row>
    <row r="2338" spans="7:13" x14ac:dyDescent="0.3">
      <c r="L2338" s="17" t="e">
        <v>#VALUE!</v>
      </c>
      <c r="M2338" s="19" t="e">
        <f>_xll.PTreeNodeProbability(treeCalc_1!$F$2,1169)</f>
        <v>#VALUE!</v>
      </c>
    </row>
    <row r="2339" spans="7:13" x14ac:dyDescent="0.3">
      <c r="L2339" s="13"/>
      <c r="M2339" s="18" t="e">
        <f>_xll.PTreeNodeValue(treeCalc_1!$F$2,1169)</f>
        <v>#VALUE!</v>
      </c>
    </row>
    <row r="2340" spans="7:13" x14ac:dyDescent="0.3">
      <c r="G2340" s="17" t="e">
        <v>#VALUE!</v>
      </c>
      <c r="H2340" s="15" t="s">
        <v>145</v>
      </c>
    </row>
    <row r="2341" spans="7:13" x14ac:dyDescent="0.3">
      <c r="G2341" s="13"/>
      <c r="H2341" s="16" t="e">
        <f>_xll.PTreeNodeValue(treeCalc_1!$F$2,1170)</f>
        <v>#VALUE!</v>
      </c>
    </row>
    <row r="2342" spans="7:13" x14ac:dyDescent="0.3">
      <c r="I2342" s="17" t="e">
        <v>#VALUE!</v>
      </c>
      <c r="J2342" s="15" t="s">
        <v>133</v>
      </c>
    </row>
    <row r="2343" spans="7:13" x14ac:dyDescent="0.3">
      <c r="I2343" s="13"/>
      <c r="J2343" s="16" t="e">
        <f>_xll.PTreeNodeValue(treeCalc_1!$F$2,1171)</f>
        <v>#VALUE!</v>
      </c>
    </row>
    <row r="2344" spans="7:13" x14ac:dyDescent="0.3">
      <c r="J2344" s="17" t="e">
        <v>#VALUE!</v>
      </c>
      <c r="K2344" s="15" t="s">
        <v>132</v>
      </c>
    </row>
    <row r="2345" spans="7:13" x14ac:dyDescent="0.3">
      <c r="J2345" s="13"/>
      <c r="K2345" s="16" t="e">
        <f>_xll.PTreeNodeValue(treeCalc_1!$F$2,1172)</f>
        <v>#VALUE!</v>
      </c>
    </row>
    <row r="2346" spans="7:13" x14ac:dyDescent="0.3">
      <c r="K2346" s="17" t="e">
        <v>#VALUE!</v>
      </c>
      <c r="L2346" s="15" t="s">
        <v>134</v>
      </c>
    </row>
    <row r="2347" spans="7:13" x14ac:dyDescent="0.3">
      <c r="K2347" s="13"/>
      <c r="L2347" s="16" t="e">
        <f>_xll.PTreeNodeValue(treeCalc_1!$F$2,1173)</f>
        <v>#VALUE!</v>
      </c>
    </row>
    <row r="2348" spans="7:13" x14ac:dyDescent="0.3">
      <c r="L2348" s="17" t="e">
        <v>#VALUE!</v>
      </c>
      <c r="M2348" s="19" t="e">
        <f>_xll.PTreeNodeProbability(treeCalc_1!$F$2,1174)</f>
        <v>#VALUE!</v>
      </c>
    </row>
    <row r="2349" spans="7:13" x14ac:dyDescent="0.3">
      <c r="L2349" s="13"/>
      <c r="M2349" s="18" t="e">
        <f>_xll.PTreeNodeValue(treeCalc_1!$F$2,1174)</f>
        <v>#VALUE!</v>
      </c>
    </row>
    <row r="2350" spans="7:13" x14ac:dyDescent="0.3">
      <c r="H2350" s="17" t="e">
        <v>#VALUE!</v>
      </c>
      <c r="I2350" s="15" t="s">
        <v>146</v>
      </c>
    </row>
    <row r="2351" spans="7:13" x14ac:dyDescent="0.3">
      <c r="H2351" s="13"/>
      <c r="I2351" s="16" t="e">
        <f>_xll.PTreeNodeValue(treeCalc_1!$F$2,1175)</f>
        <v>#VALUE!</v>
      </c>
    </row>
    <row r="2352" spans="7:13" x14ac:dyDescent="0.3">
      <c r="I2352" s="17" t="e">
        <v>#VALUE!</v>
      </c>
      <c r="J2352" s="15" t="s">
        <v>133</v>
      </c>
    </row>
    <row r="2353" spans="6:13" x14ac:dyDescent="0.3">
      <c r="I2353" s="13"/>
      <c r="J2353" s="16" t="e">
        <f>_xll.PTreeNodeValue(treeCalc_1!$F$2,1176)</f>
        <v>#VALUE!</v>
      </c>
    </row>
    <row r="2354" spans="6:13" x14ac:dyDescent="0.3">
      <c r="J2354" s="17" t="e">
        <v>#VALUE!</v>
      </c>
      <c r="K2354" s="15" t="s">
        <v>132</v>
      </c>
    </row>
    <row r="2355" spans="6:13" x14ac:dyDescent="0.3">
      <c r="J2355" s="13"/>
      <c r="K2355" s="16" t="e">
        <f>_xll.PTreeNodeValue(treeCalc_1!$F$2,1177)</f>
        <v>#VALUE!</v>
      </c>
    </row>
    <row r="2356" spans="6:13" x14ac:dyDescent="0.3">
      <c r="K2356" s="17" t="e">
        <v>#VALUE!</v>
      </c>
      <c r="L2356" s="15" t="s">
        <v>134</v>
      </c>
    </row>
    <row r="2357" spans="6:13" x14ac:dyDescent="0.3">
      <c r="K2357" s="13"/>
      <c r="L2357" s="16" t="e">
        <f>_xll.PTreeNodeValue(treeCalc_1!$F$2,1178)</f>
        <v>#VALUE!</v>
      </c>
    </row>
    <row r="2358" spans="6:13" x14ac:dyDescent="0.3">
      <c r="L2358" s="17" t="e">
        <v>#VALUE!</v>
      </c>
      <c r="M2358" s="19" t="e">
        <f>_xll.PTreeNodeProbability(treeCalc_1!$F$2,1179)</f>
        <v>#VALUE!</v>
      </c>
    </row>
    <row r="2359" spans="6:13" x14ac:dyDescent="0.3">
      <c r="L2359" s="13"/>
      <c r="M2359" s="18" t="e">
        <f>_xll.PTreeNodeValue(treeCalc_1!$F$2,1179)</f>
        <v>#VALUE!</v>
      </c>
    </row>
    <row r="2360" spans="6:13" x14ac:dyDescent="0.3">
      <c r="F2360" s="17" t="e">
        <v>#VALUE!</v>
      </c>
      <c r="G2360" s="15" t="s">
        <v>144</v>
      </c>
    </row>
    <row r="2361" spans="6:13" x14ac:dyDescent="0.3">
      <c r="F2361" s="13"/>
      <c r="G2361" s="16" t="e">
        <f>_xll.PTreeNodeValue(treeCalc_1!$F$2,1180)</f>
        <v>#VALUE!</v>
      </c>
    </row>
    <row r="2362" spans="6:13" x14ac:dyDescent="0.3">
      <c r="I2362" s="17" t="e">
        <v>#VALUE!</v>
      </c>
      <c r="J2362" s="15" t="s">
        <v>133</v>
      </c>
    </row>
    <row r="2363" spans="6:13" x14ac:dyDescent="0.3">
      <c r="I2363" s="13"/>
      <c r="J2363" s="16" t="e">
        <f>_xll.PTreeNodeValue(treeCalc_1!$F$2,1181)</f>
        <v>#VALUE!</v>
      </c>
    </row>
    <row r="2364" spans="6:13" x14ac:dyDescent="0.3">
      <c r="J2364" s="17" t="e">
        <v>#VALUE!</v>
      </c>
      <c r="K2364" s="15" t="s">
        <v>132</v>
      </c>
    </row>
    <row r="2365" spans="6:13" x14ac:dyDescent="0.3">
      <c r="J2365" s="13"/>
      <c r="K2365" s="16" t="e">
        <f>_xll.PTreeNodeValue(treeCalc_1!$F$2,1182)</f>
        <v>#VALUE!</v>
      </c>
    </row>
    <row r="2366" spans="6:13" x14ac:dyDescent="0.3">
      <c r="K2366" s="17" t="e">
        <v>#VALUE!</v>
      </c>
      <c r="L2366" s="15" t="s">
        <v>134</v>
      </c>
    </row>
    <row r="2367" spans="6:13" x14ac:dyDescent="0.3">
      <c r="K2367" s="13"/>
      <c r="L2367" s="16" t="e">
        <f>_xll.PTreeNodeValue(treeCalc_1!$F$2,1183)</f>
        <v>#VALUE!</v>
      </c>
    </row>
    <row r="2368" spans="6:13" x14ac:dyDescent="0.3">
      <c r="L2368" s="17" t="e">
        <v>#VALUE!</v>
      </c>
      <c r="M2368" s="19" t="e">
        <f>_xll.PTreeNodeProbability(treeCalc_1!$F$2,1184)</f>
        <v>#VALUE!</v>
      </c>
    </row>
    <row r="2369" spans="7:13" x14ac:dyDescent="0.3">
      <c r="L2369" s="13"/>
      <c r="M2369" s="18" t="e">
        <f>_xll.PTreeNodeValue(treeCalc_1!$F$2,1184)</f>
        <v>#VALUE!</v>
      </c>
    </row>
    <row r="2370" spans="7:13" x14ac:dyDescent="0.3">
      <c r="H2370" s="17" t="e">
        <v>#VALUE!</v>
      </c>
      <c r="I2370" s="15" t="s">
        <v>146</v>
      </c>
    </row>
    <row r="2371" spans="7:13" x14ac:dyDescent="0.3">
      <c r="H2371" s="13"/>
      <c r="I2371" s="16" t="e">
        <f>_xll.PTreeNodeValue(treeCalc_1!$F$2,1185)</f>
        <v>#VALUE!</v>
      </c>
    </row>
    <row r="2372" spans="7:13" x14ac:dyDescent="0.3">
      <c r="I2372" s="17" t="e">
        <v>#VALUE!</v>
      </c>
      <c r="J2372" s="15" t="s">
        <v>133</v>
      </c>
    </row>
    <row r="2373" spans="7:13" x14ac:dyDescent="0.3">
      <c r="I2373" s="13"/>
      <c r="J2373" s="16" t="e">
        <f>_xll.PTreeNodeValue(treeCalc_1!$F$2,1186)</f>
        <v>#VALUE!</v>
      </c>
    </row>
    <row r="2374" spans="7:13" x14ac:dyDescent="0.3">
      <c r="J2374" s="17" t="e">
        <v>#VALUE!</v>
      </c>
      <c r="K2374" s="15" t="s">
        <v>132</v>
      </c>
    </row>
    <row r="2375" spans="7:13" x14ac:dyDescent="0.3">
      <c r="J2375" s="13"/>
      <c r="K2375" s="16" t="e">
        <f>_xll.PTreeNodeValue(treeCalc_1!$F$2,1187)</f>
        <v>#VALUE!</v>
      </c>
    </row>
    <row r="2376" spans="7:13" x14ac:dyDescent="0.3">
      <c r="K2376" s="17" t="e">
        <v>#VALUE!</v>
      </c>
      <c r="L2376" s="15" t="s">
        <v>134</v>
      </c>
    </row>
    <row r="2377" spans="7:13" x14ac:dyDescent="0.3">
      <c r="K2377" s="13"/>
      <c r="L2377" s="16" t="e">
        <f>_xll.PTreeNodeValue(treeCalc_1!$F$2,1188)</f>
        <v>#VALUE!</v>
      </c>
    </row>
    <row r="2378" spans="7:13" x14ac:dyDescent="0.3">
      <c r="L2378" s="17" t="e">
        <v>#VALUE!</v>
      </c>
      <c r="M2378" s="19" t="e">
        <f>_xll.PTreeNodeProbability(treeCalc_1!$F$2,1189)</f>
        <v>#VALUE!</v>
      </c>
    </row>
    <row r="2379" spans="7:13" x14ac:dyDescent="0.3">
      <c r="L2379" s="13"/>
      <c r="M2379" s="18" t="e">
        <f>_xll.PTreeNodeValue(treeCalc_1!$F$2,1189)</f>
        <v>#VALUE!</v>
      </c>
    </row>
    <row r="2380" spans="7:13" x14ac:dyDescent="0.3">
      <c r="G2380" s="17" t="e">
        <v>#VALUE!</v>
      </c>
      <c r="H2380" s="15" t="s">
        <v>145</v>
      </c>
    </row>
    <row r="2381" spans="7:13" x14ac:dyDescent="0.3">
      <c r="G2381" s="13"/>
      <c r="H2381" s="16" t="e">
        <f>_xll.PTreeNodeValue(treeCalc_1!$F$2,1190)</f>
        <v>#VALUE!</v>
      </c>
    </row>
    <row r="2382" spans="7:13" x14ac:dyDescent="0.3">
      <c r="I2382" s="17" t="e">
        <v>#VALUE!</v>
      </c>
      <c r="J2382" s="15" t="s">
        <v>133</v>
      </c>
    </row>
    <row r="2383" spans="7:13" x14ac:dyDescent="0.3">
      <c r="I2383" s="13"/>
      <c r="J2383" s="16" t="e">
        <f>_xll.PTreeNodeValue(treeCalc_1!$F$2,1191)</f>
        <v>#VALUE!</v>
      </c>
    </row>
    <row r="2384" spans="7:13" x14ac:dyDescent="0.3">
      <c r="J2384" s="17" t="e">
        <v>#VALUE!</v>
      </c>
      <c r="K2384" s="15" t="s">
        <v>132</v>
      </c>
    </row>
    <row r="2385" spans="4:13" x14ac:dyDescent="0.3">
      <c r="J2385" s="13"/>
      <c r="K2385" s="16" t="e">
        <f>_xll.PTreeNodeValue(treeCalc_1!$F$2,1192)</f>
        <v>#VALUE!</v>
      </c>
    </row>
    <row r="2386" spans="4:13" x14ac:dyDescent="0.3">
      <c r="K2386" s="17" t="e">
        <v>#VALUE!</v>
      </c>
      <c r="L2386" s="15" t="s">
        <v>134</v>
      </c>
    </row>
    <row r="2387" spans="4:13" x14ac:dyDescent="0.3">
      <c r="K2387" s="13"/>
      <c r="L2387" s="16" t="e">
        <f>_xll.PTreeNodeValue(treeCalc_1!$F$2,1193)</f>
        <v>#VALUE!</v>
      </c>
    </row>
    <row r="2388" spans="4:13" x14ac:dyDescent="0.3">
      <c r="L2388" s="17" t="e">
        <v>#VALUE!</v>
      </c>
      <c r="M2388" s="19" t="e">
        <f>_xll.PTreeNodeProbability(treeCalc_1!$F$2,1194)</f>
        <v>#VALUE!</v>
      </c>
    </row>
    <row r="2389" spans="4:13" x14ac:dyDescent="0.3">
      <c r="L2389" s="13"/>
      <c r="M2389" s="18" t="e">
        <f>_xll.PTreeNodeValue(treeCalc_1!$F$2,1194)</f>
        <v>#VALUE!</v>
      </c>
    </row>
    <row r="2390" spans="4:13" x14ac:dyDescent="0.3">
      <c r="H2390" s="17" t="e">
        <v>#VALUE!</v>
      </c>
      <c r="I2390" s="15" t="s">
        <v>146</v>
      </c>
    </row>
    <row r="2391" spans="4:13" x14ac:dyDescent="0.3">
      <c r="H2391" s="13"/>
      <c r="I2391" s="16" t="e">
        <f>_xll.PTreeNodeValue(treeCalc_1!$F$2,1195)</f>
        <v>#VALUE!</v>
      </c>
    </row>
    <row r="2392" spans="4:13" x14ac:dyDescent="0.3">
      <c r="I2392" s="17" t="e">
        <v>#VALUE!</v>
      </c>
      <c r="J2392" s="15" t="s">
        <v>133</v>
      </c>
    </row>
    <row r="2393" spans="4:13" x14ac:dyDescent="0.3">
      <c r="I2393" s="13"/>
      <c r="J2393" s="16" t="e">
        <f>_xll.PTreeNodeValue(treeCalc_1!$F$2,1196)</f>
        <v>#VALUE!</v>
      </c>
    </row>
    <row r="2394" spans="4:13" x14ac:dyDescent="0.3">
      <c r="J2394" s="17" t="e">
        <v>#VALUE!</v>
      </c>
      <c r="K2394" s="15" t="s">
        <v>132</v>
      </c>
    </row>
    <row r="2395" spans="4:13" x14ac:dyDescent="0.3">
      <c r="J2395" s="13"/>
      <c r="K2395" s="16" t="e">
        <f>_xll.PTreeNodeValue(treeCalc_1!$F$2,1197)</f>
        <v>#VALUE!</v>
      </c>
    </row>
    <row r="2396" spans="4:13" x14ac:dyDescent="0.3">
      <c r="K2396" s="17" t="e">
        <v>#VALUE!</v>
      </c>
      <c r="L2396" s="15" t="s">
        <v>134</v>
      </c>
    </row>
    <row r="2397" spans="4:13" x14ac:dyDescent="0.3">
      <c r="K2397" s="13"/>
      <c r="L2397" s="16" t="e">
        <f>_xll.PTreeNodeValue(treeCalc_1!$F$2,1198)</f>
        <v>#VALUE!</v>
      </c>
    </row>
    <row r="2398" spans="4:13" x14ac:dyDescent="0.3">
      <c r="L2398" s="17" t="e">
        <v>#VALUE!</v>
      </c>
      <c r="M2398" s="19" t="e">
        <f>_xll.PTreeNodeProbability(treeCalc_1!$F$2,1199)</f>
        <v>#VALUE!</v>
      </c>
    </row>
    <row r="2399" spans="4:13" x14ac:dyDescent="0.3">
      <c r="L2399" s="13"/>
      <c r="M2399" s="18" t="e">
        <f>_xll.PTreeNodeValue(treeCalc_1!$F$2,1199)</f>
        <v>#VALUE!</v>
      </c>
    </row>
    <row r="2400" spans="4:13" x14ac:dyDescent="0.3">
      <c r="D2400" s="14" t="e">
        <f>_xll.PTreeNodeDecision(treeCalc_1!$F$2,1200)</f>
        <v>#VALUE!</v>
      </c>
      <c r="E2400" s="15" t="s">
        <v>143</v>
      </c>
    </row>
    <row r="2401" spans="4:13" x14ac:dyDescent="0.3">
      <c r="D2401" s="13"/>
      <c r="E2401" s="16" t="e">
        <f>_xll.PTreeNodeValue(treeCalc_1!$F$2,1200)</f>
        <v>#VALUE!</v>
      </c>
    </row>
    <row r="2402" spans="4:13" x14ac:dyDescent="0.3">
      <c r="I2402" s="17" t="e">
        <v>#VALUE!</v>
      </c>
      <c r="J2402" s="15" t="s">
        <v>133</v>
      </c>
    </row>
    <row r="2403" spans="4:13" x14ac:dyDescent="0.3">
      <c r="I2403" s="13"/>
      <c r="J2403" s="16" t="e">
        <f>_xll.PTreeNodeValue(treeCalc_1!$F$2,1201)</f>
        <v>#VALUE!</v>
      </c>
    </row>
    <row r="2404" spans="4:13" x14ac:dyDescent="0.3">
      <c r="J2404" s="17" t="e">
        <v>#VALUE!</v>
      </c>
      <c r="K2404" s="15" t="s">
        <v>132</v>
      </c>
    </row>
    <row r="2405" spans="4:13" x14ac:dyDescent="0.3">
      <c r="J2405" s="13"/>
      <c r="K2405" s="16" t="e">
        <f>_xll.PTreeNodeValue(treeCalc_1!$F$2,1202)</f>
        <v>#VALUE!</v>
      </c>
    </row>
    <row r="2406" spans="4:13" x14ac:dyDescent="0.3">
      <c r="K2406" s="17" t="e">
        <v>#VALUE!</v>
      </c>
      <c r="L2406" s="15" t="s">
        <v>134</v>
      </c>
    </row>
    <row r="2407" spans="4:13" x14ac:dyDescent="0.3">
      <c r="K2407" s="13"/>
      <c r="L2407" s="16" t="e">
        <f>_xll.PTreeNodeValue(treeCalc_1!$F$2,1203)</f>
        <v>#VALUE!</v>
      </c>
    </row>
    <row r="2408" spans="4:13" x14ac:dyDescent="0.3">
      <c r="L2408" s="17" t="e">
        <v>#VALUE!</v>
      </c>
      <c r="M2408" s="19" t="e">
        <f>_xll.PTreeNodeProbability(treeCalc_1!$F$2,1204)</f>
        <v>#VALUE!</v>
      </c>
    </row>
    <row r="2409" spans="4:13" x14ac:dyDescent="0.3">
      <c r="L2409" s="13"/>
      <c r="M2409" s="18" t="e">
        <f>_xll.PTreeNodeValue(treeCalc_1!$F$2,1204)</f>
        <v>#VALUE!</v>
      </c>
    </row>
    <row r="2410" spans="4:13" x14ac:dyDescent="0.3">
      <c r="H2410" s="17" t="e">
        <v>#VALUE!</v>
      </c>
      <c r="I2410" s="15" t="s">
        <v>146</v>
      </c>
    </row>
    <row r="2411" spans="4:13" x14ac:dyDescent="0.3">
      <c r="H2411" s="13"/>
      <c r="I2411" s="16" t="e">
        <f>_xll.PTreeNodeValue(treeCalc_1!$F$2,1205)</f>
        <v>#VALUE!</v>
      </c>
    </row>
    <row r="2412" spans="4:13" x14ac:dyDescent="0.3">
      <c r="I2412" s="17" t="e">
        <v>#VALUE!</v>
      </c>
      <c r="J2412" s="15" t="s">
        <v>133</v>
      </c>
    </row>
    <row r="2413" spans="4:13" x14ac:dyDescent="0.3">
      <c r="I2413" s="13"/>
      <c r="J2413" s="16" t="e">
        <f>_xll.PTreeNodeValue(treeCalc_1!$F$2,1206)</f>
        <v>#VALUE!</v>
      </c>
    </row>
    <row r="2414" spans="4:13" x14ac:dyDescent="0.3">
      <c r="J2414" s="17" t="e">
        <v>#VALUE!</v>
      </c>
      <c r="K2414" s="15" t="s">
        <v>132</v>
      </c>
    </row>
    <row r="2415" spans="4:13" x14ac:dyDescent="0.3">
      <c r="J2415" s="13"/>
      <c r="K2415" s="16" t="e">
        <f>_xll.PTreeNodeValue(treeCalc_1!$F$2,1207)</f>
        <v>#VALUE!</v>
      </c>
    </row>
    <row r="2416" spans="4:13" x14ac:dyDescent="0.3">
      <c r="K2416" s="17" t="e">
        <v>#VALUE!</v>
      </c>
      <c r="L2416" s="15" t="s">
        <v>134</v>
      </c>
    </row>
    <row r="2417" spans="7:13" x14ac:dyDescent="0.3">
      <c r="K2417" s="13"/>
      <c r="L2417" s="16" t="e">
        <f>_xll.PTreeNodeValue(treeCalc_1!$F$2,1208)</f>
        <v>#VALUE!</v>
      </c>
    </row>
    <row r="2418" spans="7:13" x14ac:dyDescent="0.3">
      <c r="L2418" s="17" t="e">
        <v>#VALUE!</v>
      </c>
      <c r="M2418" s="19" t="e">
        <f>_xll.PTreeNodeProbability(treeCalc_1!$F$2,1209)</f>
        <v>#VALUE!</v>
      </c>
    </row>
    <row r="2419" spans="7:13" x14ac:dyDescent="0.3">
      <c r="L2419" s="13"/>
      <c r="M2419" s="18" t="e">
        <f>_xll.PTreeNodeValue(treeCalc_1!$F$2,1209)</f>
        <v>#VALUE!</v>
      </c>
    </row>
    <row r="2420" spans="7:13" x14ac:dyDescent="0.3">
      <c r="G2420" s="17" t="e">
        <v>#VALUE!</v>
      </c>
      <c r="H2420" s="15" t="s">
        <v>145</v>
      </c>
    </row>
    <row r="2421" spans="7:13" x14ac:dyDescent="0.3">
      <c r="G2421" s="13"/>
      <c r="H2421" s="16" t="e">
        <f>_xll.PTreeNodeValue(treeCalc_1!$F$2,1210)</f>
        <v>#VALUE!</v>
      </c>
    </row>
    <row r="2422" spans="7:13" x14ac:dyDescent="0.3">
      <c r="I2422" s="17" t="e">
        <v>#VALUE!</v>
      </c>
      <c r="J2422" s="15" t="s">
        <v>133</v>
      </c>
    </row>
    <row r="2423" spans="7:13" x14ac:dyDescent="0.3">
      <c r="I2423" s="13"/>
      <c r="J2423" s="16" t="e">
        <f>_xll.PTreeNodeValue(treeCalc_1!$F$2,1211)</f>
        <v>#VALUE!</v>
      </c>
    </row>
    <row r="2424" spans="7:13" x14ac:dyDescent="0.3">
      <c r="J2424" s="17" t="e">
        <v>#VALUE!</v>
      </c>
      <c r="K2424" s="15" t="s">
        <v>132</v>
      </c>
    </row>
    <row r="2425" spans="7:13" x14ac:dyDescent="0.3">
      <c r="J2425" s="13"/>
      <c r="K2425" s="16" t="e">
        <f>_xll.PTreeNodeValue(treeCalc_1!$F$2,1212)</f>
        <v>#VALUE!</v>
      </c>
    </row>
    <row r="2426" spans="7:13" x14ac:dyDescent="0.3">
      <c r="K2426" s="17" t="e">
        <v>#VALUE!</v>
      </c>
      <c r="L2426" s="15" t="s">
        <v>134</v>
      </c>
    </row>
    <row r="2427" spans="7:13" x14ac:dyDescent="0.3">
      <c r="K2427" s="13"/>
      <c r="L2427" s="16" t="e">
        <f>_xll.PTreeNodeValue(treeCalc_1!$F$2,1213)</f>
        <v>#VALUE!</v>
      </c>
    </row>
    <row r="2428" spans="7:13" x14ac:dyDescent="0.3">
      <c r="L2428" s="17" t="e">
        <v>#VALUE!</v>
      </c>
      <c r="M2428" s="19" t="e">
        <f>_xll.PTreeNodeProbability(treeCalc_1!$F$2,1214)</f>
        <v>#VALUE!</v>
      </c>
    </row>
    <row r="2429" spans="7:13" x14ac:dyDescent="0.3">
      <c r="L2429" s="13"/>
      <c r="M2429" s="18" t="e">
        <f>_xll.PTreeNodeValue(treeCalc_1!$F$2,1214)</f>
        <v>#VALUE!</v>
      </c>
    </row>
    <row r="2430" spans="7:13" x14ac:dyDescent="0.3">
      <c r="H2430" s="17" t="e">
        <v>#VALUE!</v>
      </c>
      <c r="I2430" s="15" t="s">
        <v>146</v>
      </c>
    </row>
    <row r="2431" spans="7:13" x14ac:dyDescent="0.3">
      <c r="H2431" s="13"/>
      <c r="I2431" s="16" t="e">
        <f>_xll.PTreeNodeValue(treeCalc_1!$F$2,1215)</f>
        <v>#VALUE!</v>
      </c>
    </row>
    <row r="2432" spans="7:13" x14ac:dyDescent="0.3">
      <c r="I2432" s="17" t="e">
        <v>#VALUE!</v>
      </c>
      <c r="J2432" s="15" t="s">
        <v>133</v>
      </c>
    </row>
    <row r="2433" spans="6:13" x14ac:dyDescent="0.3">
      <c r="I2433" s="13"/>
      <c r="J2433" s="16" t="e">
        <f>_xll.PTreeNodeValue(treeCalc_1!$F$2,1216)</f>
        <v>#VALUE!</v>
      </c>
    </row>
    <row r="2434" spans="6:13" x14ac:dyDescent="0.3">
      <c r="J2434" s="17" t="e">
        <v>#VALUE!</v>
      </c>
      <c r="K2434" s="15" t="s">
        <v>132</v>
      </c>
    </row>
    <row r="2435" spans="6:13" x14ac:dyDescent="0.3">
      <c r="J2435" s="13"/>
      <c r="K2435" s="16" t="e">
        <f>_xll.PTreeNodeValue(treeCalc_1!$F$2,1217)</f>
        <v>#VALUE!</v>
      </c>
    </row>
    <row r="2436" spans="6:13" x14ac:dyDescent="0.3">
      <c r="K2436" s="17" t="e">
        <v>#VALUE!</v>
      </c>
      <c r="L2436" s="15" t="s">
        <v>134</v>
      </c>
    </row>
    <row r="2437" spans="6:13" x14ac:dyDescent="0.3">
      <c r="K2437" s="13"/>
      <c r="L2437" s="16" t="e">
        <f>_xll.PTreeNodeValue(treeCalc_1!$F$2,1218)</f>
        <v>#VALUE!</v>
      </c>
    </row>
    <row r="2438" spans="6:13" x14ac:dyDescent="0.3">
      <c r="L2438" s="17" t="e">
        <v>#VALUE!</v>
      </c>
      <c r="M2438" s="19" t="e">
        <f>_xll.PTreeNodeProbability(treeCalc_1!$F$2,1219)</f>
        <v>#VALUE!</v>
      </c>
    </row>
    <row r="2439" spans="6:13" x14ac:dyDescent="0.3">
      <c r="L2439" s="13"/>
      <c r="M2439" s="18" t="e">
        <f>_xll.PTreeNodeValue(treeCalc_1!$F$2,1219)</f>
        <v>#VALUE!</v>
      </c>
    </row>
    <row r="2440" spans="6:13" x14ac:dyDescent="0.3">
      <c r="F2440" s="17" t="e">
        <v>#VALUE!</v>
      </c>
      <c r="G2440" s="15" t="s">
        <v>144</v>
      </c>
    </row>
    <row r="2441" spans="6:13" x14ac:dyDescent="0.3">
      <c r="F2441" s="13"/>
      <c r="G2441" s="16" t="e">
        <f>_xll.PTreeNodeValue(treeCalc_1!$F$2,1220)</f>
        <v>#VALUE!</v>
      </c>
    </row>
    <row r="2442" spans="6:13" x14ac:dyDescent="0.3">
      <c r="I2442" s="17" t="e">
        <v>#VALUE!</v>
      </c>
      <c r="J2442" s="15" t="s">
        <v>133</v>
      </c>
    </row>
    <row r="2443" spans="6:13" x14ac:dyDescent="0.3">
      <c r="I2443" s="13"/>
      <c r="J2443" s="16" t="e">
        <f>_xll.PTreeNodeValue(treeCalc_1!$F$2,1221)</f>
        <v>#VALUE!</v>
      </c>
    </row>
    <row r="2444" spans="6:13" x14ac:dyDescent="0.3">
      <c r="J2444" s="17" t="e">
        <v>#VALUE!</v>
      </c>
      <c r="K2444" s="15" t="s">
        <v>132</v>
      </c>
    </row>
    <row r="2445" spans="6:13" x14ac:dyDescent="0.3">
      <c r="J2445" s="13"/>
      <c r="K2445" s="16" t="e">
        <f>_xll.PTreeNodeValue(treeCalc_1!$F$2,1222)</f>
        <v>#VALUE!</v>
      </c>
    </row>
    <row r="2446" spans="6:13" x14ac:dyDescent="0.3">
      <c r="K2446" s="17" t="e">
        <v>#VALUE!</v>
      </c>
      <c r="L2446" s="15" t="s">
        <v>134</v>
      </c>
    </row>
    <row r="2447" spans="6:13" x14ac:dyDescent="0.3">
      <c r="K2447" s="13"/>
      <c r="L2447" s="16" t="e">
        <f>_xll.PTreeNodeValue(treeCalc_1!$F$2,1223)</f>
        <v>#VALUE!</v>
      </c>
    </row>
    <row r="2448" spans="6:13" x14ac:dyDescent="0.3">
      <c r="L2448" s="17" t="e">
        <v>#VALUE!</v>
      </c>
      <c r="M2448" s="19" t="e">
        <f>_xll.PTreeNodeProbability(treeCalc_1!$F$2,1224)</f>
        <v>#VALUE!</v>
      </c>
    </row>
    <row r="2449" spans="7:13" x14ac:dyDescent="0.3">
      <c r="L2449" s="13"/>
      <c r="M2449" s="18" t="e">
        <f>_xll.PTreeNodeValue(treeCalc_1!$F$2,1224)</f>
        <v>#VALUE!</v>
      </c>
    </row>
    <row r="2450" spans="7:13" x14ac:dyDescent="0.3">
      <c r="H2450" s="17" t="e">
        <v>#VALUE!</v>
      </c>
      <c r="I2450" s="15" t="s">
        <v>146</v>
      </c>
    </row>
    <row r="2451" spans="7:13" x14ac:dyDescent="0.3">
      <c r="H2451" s="13"/>
      <c r="I2451" s="16" t="e">
        <f>_xll.PTreeNodeValue(treeCalc_1!$F$2,1225)</f>
        <v>#VALUE!</v>
      </c>
    </row>
    <row r="2452" spans="7:13" x14ac:dyDescent="0.3">
      <c r="I2452" s="17" t="e">
        <v>#VALUE!</v>
      </c>
      <c r="J2452" s="15" t="s">
        <v>133</v>
      </c>
    </row>
    <row r="2453" spans="7:13" x14ac:dyDescent="0.3">
      <c r="I2453" s="13"/>
      <c r="J2453" s="16" t="e">
        <f>_xll.PTreeNodeValue(treeCalc_1!$F$2,1226)</f>
        <v>#VALUE!</v>
      </c>
    </row>
    <row r="2454" spans="7:13" x14ac:dyDescent="0.3">
      <c r="J2454" s="17" t="e">
        <v>#VALUE!</v>
      </c>
      <c r="K2454" s="15" t="s">
        <v>132</v>
      </c>
    </row>
    <row r="2455" spans="7:13" x14ac:dyDescent="0.3">
      <c r="J2455" s="13"/>
      <c r="K2455" s="16" t="e">
        <f>_xll.PTreeNodeValue(treeCalc_1!$F$2,1227)</f>
        <v>#VALUE!</v>
      </c>
    </row>
    <row r="2456" spans="7:13" x14ac:dyDescent="0.3">
      <c r="K2456" s="17" t="e">
        <v>#VALUE!</v>
      </c>
      <c r="L2456" s="15" t="s">
        <v>134</v>
      </c>
    </row>
    <row r="2457" spans="7:13" x14ac:dyDescent="0.3">
      <c r="K2457" s="13"/>
      <c r="L2457" s="16" t="e">
        <f>_xll.PTreeNodeValue(treeCalc_1!$F$2,1228)</f>
        <v>#VALUE!</v>
      </c>
    </row>
    <row r="2458" spans="7:13" x14ac:dyDescent="0.3">
      <c r="L2458" s="17" t="e">
        <v>#VALUE!</v>
      </c>
      <c r="M2458" s="19" t="e">
        <f>_xll.PTreeNodeProbability(treeCalc_1!$F$2,1229)</f>
        <v>#VALUE!</v>
      </c>
    </row>
    <row r="2459" spans="7:13" x14ac:dyDescent="0.3">
      <c r="L2459" s="13"/>
      <c r="M2459" s="18" t="e">
        <f>_xll.PTreeNodeValue(treeCalc_1!$F$2,1229)</f>
        <v>#VALUE!</v>
      </c>
    </row>
    <row r="2460" spans="7:13" x14ac:dyDescent="0.3">
      <c r="G2460" s="17" t="e">
        <v>#VALUE!</v>
      </c>
      <c r="H2460" s="15" t="s">
        <v>145</v>
      </c>
    </row>
    <row r="2461" spans="7:13" x14ac:dyDescent="0.3">
      <c r="G2461" s="13"/>
      <c r="H2461" s="16" t="e">
        <f>_xll.PTreeNodeValue(treeCalc_1!$F$2,1230)</f>
        <v>#VALUE!</v>
      </c>
    </row>
    <row r="2462" spans="7:13" x14ac:dyDescent="0.3">
      <c r="I2462" s="17" t="e">
        <v>#VALUE!</v>
      </c>
      <c r="J2462" s="15" t="s">
        <v>133</v>
      </c>
    </row>
    <row r="2463" spans="7:13" x14ac:dyDescent="0.3">
      <c r="I2463" s="13"/>
      <c r="J2463" s="16" t="e">
        <f>_xll.PTreeNodeValue(treeCalc_1!$F$2,1231)</f>
        <v>#VALUE!</v>
      </c>
    </row>
    <row r="2464" spans="7:13" x14ac:dyDescent="0.3">
      <c r="J2464" s="17" t="e">
        <v>#VALUE!</v>
      </c>
      <c r="K2464" s="15" t="s">
        <v>132</v>
      </c>
    </row>
    <row r="2465" spans="5:13" x14ac:dyDescent="0.3">
      <c r="J2465" s="13"/>
      <c r="K2465" s="16" t="e">
        <f>_xll.PTreeNodeValue(treeCalc_1!$F$2,1232)</f>
        <v>#VALUE!</v>
      </c>
    </row>
    <row r="2466" spans="5:13" x14ac:dyDescent="0.3">
      <c r="K2466" s="17" t="e">
        <v>#VALUE!</v>
      </c>
      <c r="L2466" s="15" t="s">
        <v>134</v>
      </c>
    </row>
    <row r="2467" spans="5:13" x14ac:dyDescent="0.3">
      <c r="K2467" s="13"/>
      <c r="L2467" s="16" t="e">
        <f>_xll.PTreeNodeValue(treeCalc_1!$F$2,1233)</f>
        <v>#VALUE!</v>
      </c>
    </row>
    <row r="2468" spans="5:13" x14ac:dyDescent="0.3">
      <c r="L2468" s="17" t="e">
        <v>#VALUE!</v>
      </c>
      <c r="M2468" s="19" t="e">
        <f>_xll.PTreeNodeProbability(treeCalc_1!$F$2,1234)</f>
        <v>#VALUE!</v>
      </c>
    </row>
    <row r="2469" spans="5:13" x14ac:dyDescent="0.3">
      <c r="L2469" s="13"/>
      <c r="M2469" s="18" t="e">
        <f>_xll.PTreeNodeValue(treeCalc_1!$F$2,1234)</f>
        <v>#VALUE!</v>
      </c>
    </row>
    <row r="2470" spans="5:13" x14ac:dyDescent="0.3">
      <c r="H2470" s="17" t="e">
        <v>#VALUE!</v>
      </c>
      <c r="I2470" s="15" t="s">
        <v>146</v>
      </c>
    </row>
    <row r="2471" spans="5:13" x14ac:dyDescent="0.3">
      <c r="H2471" s="13"/>
      <c r="I2471" s="16" t="e">
        <f>_xll.PTreeNodeValue(treeCalc_1!$F$2,1235)</f>
        <v>#VALUE!</v>
      </c>
    </row>
    <row r="2472" spans="5:13" x14ac:dyDescent="0.3">
      <c r="I2472" s="17" t="e">
        <v>#VALUE!</v>
      </c>
      <c r="J2472" s="15" t="s">
        <v>133</v>
      </c>
    </row>
    <row r="2473" spans="5:13" x14ac:dyDescent="0.3">
      <c r="I2473" s="13"/>
      <c r="J2473" s="16" t="e">
        <f>_xll.PTreeNodeValue(treeCalc_1!$F$2,1236)</f>
        <v>#VALUE!</v>
      </c>
    </row>
    <row r="2474" spans="5:13" x14ac:dyDescent="0.3">
      <c r="J2474" s="17" t="e">
        <v>#VALUE!</v>
      </c>
      <c r="K2474" s="15" t="s">
        <v>132</v>
      </c>
    </row>
    <row r="2475" spans="5:13" x14ac:dyDescent="0.3">
      <c r="J2475" s="13"/>
      <c r="K2475" s="16" t="e">
        <f>_xll.PTreeNodeValue(treeCalc_1!$F$2,1237)</f>
        <v>#VALUE!</v>
      </c>
    </row>
    <row r="2476" spans="5:13" x14ac:dyDescent="0.3">
      <c r="K2476" s="17" t="e">
        <v>#VALUE!</v>
      </c>
      <c r="L2476" s="15" t="s">
        <v>134</v>
      </c>
    </row>
    <row r="2477" spans="5:13" x14ac:dyDescent="0.3">
      <c r="K2477" s="13"/>
      <c r="L2477" s="16" t="e">
        <f>_xll.PTreeNodeValue(treeCalc_1!$F$2,1238)</f>
        <v>#VALUE!</v>
      </c>
    </row>
    <row r="2478" spans="5:13" x14ac:dyDescent="0.3">
      <c r="L2478" s="17" t="e">
        <v>#VALUE!</v>
      </c>
      <c r="M2478" s="19" t="e">
        <f>_xll.PTreeNodeProbability(treeCalc_1!$F$2,1239)</f>
        <v>#VALUE!</v>
      </c>
    </row>
    <row r="2479" spans="5:13" x14ac:dyDescent="0.3">
      <c r="L2479" s="13"/>
      <c r="M2479" s="18" t="e">
        <f>_xll.PTreeNodeValue(treeCalc_1!$F$2,1239)</f>
        <v>#VALUE!</v>
      </c>
    </row>
    <row r="2480" spans="5:13" x14ac:dyDescent="0.3">
      <c r="E2480" s="17" t="e">
        <v>#VALUE!</v>
      </c>
      <c r="F2480" s="15" t="s">
        <v>141</v>
      </c>
    </row>
    <row r="2481" spans="5:13" x14ac:dyDescent="0.3">
      <c r="E2481" s="13"/>
      <c r="F2481" s="16" t="e">
        <f>_xll.PTreeNodeValue(treeCalc_1!$F$2,1240)</f>
        <v>#VALUE!</v>
      </c>
    </row>
    <row r="2482" spans="5:13" x14ac:dyDescent="0.3">
      <c r="I2482" s="17" t="e">
        <v>#VALUE!</v>
      </c>
      <c r="J2482" s="15" t="s">
        <v>133</v>
      </c>
    </row>
    <row r="2483" spans="5:13" x14ac:dyDescent="0.3">
      <c r="I2483" s="13"/>
      <c r="J2483" s="16" t="e">
        <f>_xll.PTreeNodeValue(treeCalc_1!$F$2,1241)</f>
        <v>#VALUE!</v>
      </c>
    </row>
    <row r="2484" spans="5:13" x14ac:dyDescent="0.3">
      <c r="J2484" s="17" t="e">
        <v>#VALUE!</v>
      </c>
      <c r="K2484" s="15" t="s">
        <v>132</v>
      </c>
    </row>
    <row r="2485" spans="5:13" x14ac:dyDescent="0.3">
      <c r="J2485" s="13"/>
      <c r="K2485" s="16" t="e">
        <f>_xll.PTreeNodeValue(treeCalc_1!$F$2,1242)</f>
        <v>#VALUE!</v>
      </c>
    </row>
    <row r="2486" spans="5:13" x14ac:dyDescent="0.3">
      <c r="K2486" s="17" t="e">
        <v>#VALUE!</v>
      </c>
      <c r="L2486" s="15" t="s">
        <v>134</v>
      </c>
    </row>
    <row r="2487" spans="5:13" x14ac:dyDescent="0.3">
      <c r="K2487" s="13"/>
      <c r="L2487" s="16" t="e">
        <f>_xll.PTreeNodeValue(treeCalc_1!$F$2,1243)</f>
        <v>#VALUE!</v>
      </c>
    </row>
    <row r="2488" spans="5:13" x14ac:dyDescent="0.3">
      <c r="L2488" s="17" t="e">
        <v>#VALUE!</v>
      </c>
      <c r="M2488" s="19" t="e">
        <f>_xll.PTreeNodeProbability(treeCalc_1!$F$2,1244)</f>
        <v>#VALUE!</v>
      </c>
    </row>
    <row r="2489" spans="5:13" x14ac:dyDescent="0.3">
      <c r="L2489" s="13"/>
      <c r="M2489" s="18" t="e">
        <f>_xll.PTreeNodeValue(treeCalc_1!$F$2,1244)</f>
        <v>#VALUE!</v>
      </c>
    </row>
    <row r="2490" spans="5:13" x14ac:dyDescent="0.3">
      <c r="H2490" s="17" t="e">
        <v>#VALUE!</v>
      </c>
      <c r="I2490" s="15" t="s">
        <v>146</v>
      </c>
    </row>
    <row r="2491" spans="5:13" x14ac:dyDescent="0.3">
      <c r="H2491" s="13"/>
      <c r="I2491" s="16" t="e">
        <f>_xll.PTreeNodeValue(treeCalc_1!$F$2,1245)</f>
        <v>#VALUE!</v>
      </c>
    </row>
    <row r="2492" spans="5:13" x14ac:dyDescent="0.3">
      <c r="I2492" s="17" t="e">
        <v>#VALUE!</v>
      </c>
      <c r="J2492" s="15" t="s">
        <v>133</v>
      </c>
    </row>
    <row r="2493" spans="5:13" x14ac:dyDescent="0.3">
      <c r="I2493" s="13"/>
      <c r="J2493" s="16" t="e">
        <f>_xll.PTreeNodeValue(treeCalc_1!$F$2,1246)</f>
        <v>#VALUE!</v>
      </c>
    </row>
    <row r="2494" spans="5:13" x14ac:dyDescent="0.3">
      <c r="J2494" s="17" t="e">
        <v>#VALUE!</v>
      </c>
      <c r="K2494" s="15" t="s">
        <v>132</v>
      </c>
    </row>
    <row r="2495" spans="5:13" x14ac:dyDescent="0.3">
      <c r="J2495" s="13"/>
      <c r="K2495" s="16" t="e">
        <f>_xll.PTreeNodeValue(treeCalc_1!$F$2,1247)</f>
        <v>#VALUE!</v>
      </c>
    </row>
    <row r="2496" spans="5:13" x14ac:dyDescent="0.3">
      <c r="K2496" s="17" t="e">
        <v>#VALUE!</v>
      </c>
      <c r="L2496" s="15" t="s">
        <v>134</v>
      </c>
    </row>
    <row r="2497" spans="7:13" x14ac:dyDescent="0.3">
      <c r="K2497" s="13"/>
      <c r="L2497" s="16" t="e">
        <f>_xll.PTreeNodeValue(treeCalc_1!$F$2,1248)</f>
        <v>#VALUE!</v>
      </c>
    </row>
    <row r="2498" spans="7:13" x14ac:dyDescent="0.3">
      <c r="L2498" s="17" t="e">
        <v>#VALUE!</v>
      </c>
      <c r="M2498" s="19" t="e">
        <f>_xll.PTreeNodeProbability(treeCalc_1!$F$2,1249)</f>
        <v>#VALUE!</v>
      </c>
    </row>
    <row r="2499" spans="7:13" x14ac:dyDescent="0.3">
      <c r="L2499" s="13"/>
      <c r="M2499" s="18" t="e">
        <f>_xll.PTreeNodeValue(treeCalc_1!$F$2,1249)</f>
        <v>#VALUE!</v>
      </c>
    </row>
    <row r="2500" spans="7:13" x14ac:dyDescent="0.3">
      <c r="G2500" s="17" t="e">
        <v>#VALUE!</v>
      </c>
      <c r="H2500" s="15" t="s">
        <v>145</v>
      </c>
    </row>
    <row r="2501" spans="7:13" x14ac:dyDescent="0.3">
      <c r="G2501" s="13"/>
      <c r="H2501" s="16" t="e">
        <f>_xll.PTreeNodeValue(treeCalc_1!$F$2,1250)</f>
        <v>#VALUE!</v>
      </c>
    </row>
    <row r="2502" spans="7:13" x14ac:dyDescent="0.3">
      <c r="I2502" s="17" t="e">
        <v>#VALUE!</v>
      </c>
      <c r="J2502" s="15" t="s">
        <v>133</v>
      </c>
    </row>
    <row r="2503" spans="7:13" x14ac:dyDescent="0.3">
      <c r="I2503" s="13"/>
      <c r="J2503" s="16" t="e">
        <f>_xll.PTreeNodeValue(treeCalc_1!$F$2,1251)</f>
        <v>#VALUE!</v>
      </c>
    </row>
    <row r="2504" spans="7:13" x14ac:dyDescent="0.3">
      <c r="J2504" s="17" t="e">
        <v>#VALUE!</v>
      </c>
      <c r="K2504" s="15" t="s">
        <v>132</v>
      </c>
    </row>
    <row r="2505" spans="7:13" x14ac:dyDescent="0.3">
      <c r="J2505" s="13"/>
      <c r="K2505" s="16" t="e">
        <f>_xll.PTreeNodeValue(treeCalc_1!$F$2,1252)</f>
        <v>#VALUE!</v>
      </c>
    </row>
    <row r="2506" spans="7:13" x14ac:dyDescent="0.3">
      <c r="K2506" s="17" t="e">
        <v>#VALUE!</v>
      </c>
      <c r="L2506" s="15" t="s">
        <v>134</v>
      </c>
    </row>
    <row r="2507" spans="7:13" x14ac:dyDescent="0.3">
      <c r="K2507" s="13"/>
      <c r="L2507" s="16" t="e">
        <f>_xll.PTreeNodeValue(treeCalc_1!$F$2,1253)</f>
        <v>#VALUE!</v>
      </c>
    </row>
    <row r="2508" spans="7:13" x14ac:dyDescent="0.3">
      <c r="L2508" s="17" t="e">
        <v>#VALUE!</v>
      </c>
      <c r="M2508" s="19" t="e">
        <f>_xll.PTreeNodeProbability(treeCalc_1!$F$2,1254)</f>
        <v>#VALUE!</v>
      </c>
    </row>
    <row r="2509" spans="7:13" x14ac:dyDescent="0.3">
      <c r="L2509" s="13"/>
      <c r="M2509" s="18" t="e">
        <f>_xll.PTreeNodeValue(treeCalc_1!$F$2,1254)</f>
        <v>#VALUE!</v>
      </c>
    </row>
    <row r="2510" spans="7:13" x14ac:dyDescent="0.3">
      <c r="H2510" s="17" t="e">
        <v>#VALUE!</v>
      </c>
      <c r="I2510" s="15" t="s">
        <v>146</v>
      </c>
    </row>
    <row r="2511" spans="7:13" x14ac:dyDescent="0.3">
      <c r="H2511" s="13"/>
      <c r="I2511" s="16" t="e">
        <f>_xll.PTreeNodeValue(treeCalc_1!$F$2,1255)</f>
        <v>#VALUE!</v>
      </c>
    </row>
    <row r="2512" spans="7:13" x14ac:dyDescent="0.3">
      <c r="I2512" s="17" t="e">
        <v>#VALUE!</v>
      </c>
      <c r="J2512" s="15" t="s">
        <v>133</v>
      </c>
    </row>
    <row r="2513" spans="6:13" x14ac:dyDescent="0.3">
      <c r="I2513" s="13"/>
      <c r="J2513" s="16" t="e">
        <f>_xll.PTreeNodeValue(treeCalc_1!$F$2,1256)</f>
        <v>#VALUE!</v>
      </c>
    </row>
    <row r="2514" spans="6:13" x14ac:dyDescent="0.3">
      <c r="J2514" s="17" t="e">
        <v>#VALUE!</v>
      </c>
      <c r="K2514" s="15" t="s">
        <v>132</v>
      </c>
    </row>
    <row r="2515" spans="6:13" x14ac:dyDescent="0.3">
      <c r="J2515" s="13"/>
      <c r="K2515" s="16" t="e">
        <f>_xll.PTreeNodeValue(treeCalc_1!$F$2,1257)</f>
        <v>#VALUE!</v>
      </c>
    </row>
    <row r="2516" spans="6:13" x14ac:dyDescent="0.3">
      <c r="K2516" s="17" t="e">
        <v>#VALUE!</v>
      </c>
      <c r="L2516" s="15" t="s">
        <v>134</v>
      </c>
    </row>
    <row r="2517" spans="6:13" x14ac:dyDescent="0.3">
      <c r="K2517" s="13"/>
      <c r="L2517" s="16" t="e">
        <f>_xll.PTreeNodeValue(treeCalc_1!$F$2,1258)</f>
        <v>#VALUE!</v>
      </c>
    </row>
    <row r="2518" spans="6:13" x14ac:dyDescent="0.3">
      <c r="L2518" s="17" t="e">
        <v>#VALUE!</v>
      </c>
      <c r="M2518" s="19" t="e">
        <f>_xll.PTreeNodeProbability(treeCalc_1!$F$2,1259)</f>
        <v>#VALUE!</v>
      </c>
    </row>
    <row r="2519" spans="6:13" x14ac:dyDescent="0.3">
      <c r="L2519" s="13"/>
      <c r="M2519" s="18" t="e">
        <f>_xll.PTreeNodeValue(treeCalc_1!$F$2,1259)</f>
        <v>#VALUE!</v>
      </c>
    </row>
    <row r="2520" spans="6:13" x14ac:dyDescent="0.3">
      <c r="F2520" s="17" t="e">
        <v>#VALUE!</v>
      </c>
      <c r="G2520" s="15" t="s">
        <v>144</v>
      </c>
    </row>
    <row r="2521" spans="6:13" x14ac:dyDescent="0.3">
      <c r="F2521" s="13"/>
      <c r="G2521" s="16" t="e">
        <f>_xll.PTreeNodeValue(treeCalc_1!$F$2,1260)</f>
        <v>#VALUE!</v>
      </c>
    </row>
    <row r="2522" spans="6:13" x14ac:dyDescent="0.3">
      <c r="I2522" s="17" t="e">
        <v>#VALUE!</v>
      </c>
      <c r="J2522" s="15" t="s">
        <v>133</v>
      </c>
    </row>
    <row r="2523" spans="6:13" x14ac:dyDescent="0.3">
      <c r="I2523" s="13"/>
      <c r="J2523" s="16" t="e">
        <f>_xll.PTreeNodeValue(treeCalc_1!$F$2,1261)</f>
        <v>#VALUE!</v>
      </c>
    </row>
    <row r="2524" spans="6:13" x14ac:dyDescent="0.3">
      <c r="J2524" s="17" t="e">
        <v>#VALUE!</v>
      </c>
      <c r="K2524" s="15" t="s">
        <v>132</v>
      </c>
    </row>
    <row r="2525" spans="6:13" x14ac:dyDescent="0.3">
      <c r="J2525" s="13"/>
      <c r="K2525" s="16" t="e">
        <f>_xll.PTreeNodeValue(treeCalc_1!$F$2,1262)</f>
        <v>#VALUE!</v>
      </c>
    </row>
    <row r="2526" spans="6:13" x14ac:dyDescent="0.3">
      <c r="K2526" s="17" t="e">
        <v>#VALUE!</v>
      </c>
      <c r="L2526" s="15" t="s">
        <v>134</v>
      </c>
    </row>
    <row r="2527" spans="6:13" x14ac:dyDescent="0.3">
      <c r="K2527" s="13"/>
      <c r="L2527" s="16" t="e">
        <f>_xll.PTreeNodeValue(treeCalc_1!$F$2,1263)</f>
        <v>#VALUE!</v>
      </c>
    </row>
    <row r="2528" spans="6:13" x14ac:dyDescent="0.3">
      <c r="L2528" s="17" t="e">
        <v>#VALUE!</v>
      </c>
      <c r="M2528" s="19" t="e">
        <f>_xll.PTreeNodeProbability(treeCalc_1!$F$2,1264)</f>
        <v>#VALUE!</v>
      </c>
    </row>
    <row r="2529" spans="7:13" x14ac:dyDescent="0.3">
      <c r="L2529" s="13"/>
      <c r="M2529" s="18" t="e">
        <f>_xll.PTreeNodeValue(treeCalc_1!$F$2,1264)</f>
        <v>#VALUE!</v>
      </c>
    </row>
    <row r="2530" spans="7:13" x14ac:dyDescent="0.3">
      <c r="H2530" s="17" t="e">
        <v>#VALUE!</v>
      </c>
      <c r="I2530" s="15" t="s">
        <v>146</v>
      </c>
    </row>
    <row r="2531" spans="7:13" x14ac:dyDescent="0.3">
      <c r="H2531" s="13"/>
      <c r="I2531" s="16" t="e">
        <f>_xll.PTreeNodeValue(treeCalc_1!$F$2,1265)</f>
        <v>#VALUE!</v>
      </c>
    </row>
    <row r="2532" spans="7:13" x14ac:dyDescent="0.3">
      <c r="I2532" s="17" t="e">
        <v>#VALUE!</v>
      </c>
      <c r="J2532" s="15" t="s">
        <v>133</v>
      </c>
    </row>
    <row r="2533" spans="7:13" x14ac:dyDescent="0.3">
      <c r="I2533" s="13"/>
      <c r="J2533" s="16" t="e">
        <f>_xll.PTreeNodeValue(treeCalc_1!$F$2,1266)</f>
        <v>#VALUE!</v>
      </c>
    </row>
    <row r="2534" spans="7:13" x14ac:dyDescent="0.3">
      <c r="J2534" s="17" t="e">
        <v>#VALUE!</v>
      </c>
      <c r="K2534" s="15" t="s">
        <v>132</v>
      </c>
    </row>
    <row r="2535" spans="7:13" x14ac:dyDescent="0.3">
      <c r="J2535" s="13"/>
      <c r="K2535" s="16" t="e">
        <f>_xll.PTreeNodeValue(treeCalc_1!$F$2,1267)</f>
        <v>#VALUE!</v>
      </c>
    </row>
    <row r="2536" spans="7:13" x14ac:dyDescent="0.3">
      <c r="K2536" s="17" t="e">
        <v>#VALUE!</v>
      </c>
      <c r="L2536" s="15" t="s">
        <v>134</v>
      </c>
    </row>
    <row r="2537" spans="7:13" x14ac:dyDescent="0.3">
      <c r="K2537" s="13"/>
      <c r="L2537" s="16" t="e">
        <f>_xll.PTreeNodeValue(treeCalc_1!$F$2,1268)</f>
        <v>#VALUE!</v>
      </c>
    </row>
    <row r="2538" spans="7:13" x14ac:dyDescent="0.3">
      <c r="L2538" s="17" t="e">
        <v>#VALUE!</v>
      </c>
      <c r="M2538" s="19" t="e">
        <f>_xll.PTreeNodeProbability(treeCalc_1!$F$2,1269)</f>
        <v>#VALUE!</v>
      </c>
    </row>
    <row r="2539" spans="7:13" x14ac:dyDescent="0.3">
      <c r="L2539" s="13"/>
      <c r="M2539" s="18" t="e">
        <f>_xll.PTreeNodeValue(treeCalc_1!$F$2,1269)</f>
        <v>#VALUE!</v>
      </c>
    </row>
    <row r="2540" spans="7:13" x14ac:dyDescent="0.3">
      <c r="G2540" s="17" t="e">
        <v>#VALUE!</v>
      </c>
      <c r="H2540" s="15" t="s">
        <v>145</v>
      </c>
    </row>
    <row r="2541" spans="7:13" x14ac:dyDescent="0.3">
      <c r="G2541" s="13"/>
      <c r="H2541" s="16" t="e">
        <f>_xll.PTreeNodeValue(treeCalc_1!$F$2,1270)</f>
        <v>#VALUE!</v>
      </c>
    </row>
    <row r="2542" spans="7:13" x14ac:dyDescent="0.3">
      <c r="I2542" s="17" t="e">
        <v>#VALUE!</v>
      </c>
      <c r="J2542" s="15" t="s">
        <v>133</v>
      </c>
    </row>
    <row r="2543" spans="7:13" x14ac:dyDescent="0.3">
      <c r="I2543" s="13"/>
      <c r="J2543" s="16" t="e">
        <f>_xll.PTreeNodeValue(treeCalc_1!$F$2,1271)</f>
        <v>#VALUE!</v>
      </c>
    </row>
    <row r="2544" spans="7:13" x14ac:dyDescent="0.3">
      <c r="J2544" s="17" t="e">
        <v>#VALUE!</v>
      </c>
      <c r="K2544" s="15" t="s">
        <v>132</v>
      </c>
    </row>
    <row r="2545" spans="8:13" x14ac:dyDescent="0.3">
      <c r="J2545" s="13"/>
      <c r="K2545" s="16" t="e">
        <f>_xll.PTreeNodeValue(treeCalc_1!$F$2,1272)</f>
        <v>#VALUE!</v>
      </c>
    </row>
    <row r="2546" spans="8:13" x14ac:dyDescent="0.3">
      <c r="K2546" s="17" t="e">
        <v>#VALUE!</v>
      </c>
      <c r="L2546" s="15" t="s">
        <v>134</v>
      </c>
    </row>
    <row r="2547" spans="8:13" x14ac:dyDescent="0.3">
      <c r="K2547" s="13"/>
      <c r="L2547" s="16" t="e">
        <f>_xll.PTreeNodeValue(treeCalc_1!$F$2,1273)</f>
        <v>#VALUE!</v>
      </c>
    </row>
    <row r="2548" spans="8:13" x14ac:dyDescent="0.3">
      <c r="L2548" s="17" t="e">
        <v>#VALUE!</v>
      </c>
      <c r="M2548" s="19" t="e">
        <f>_xll.PTreeNodeProbability(treeCalc_1!$F$2,1274)</f>
        <v>#VALUE!</v>
      </c>
    </row>
    <row r="2549" spans="8:13" x14ac:dyDescent="0.3">
      <c r="L2549" s="13"/>
      <c r="M2549" s="18" t="e">
        <f>_xll.PTreeNodeValue(treeCalc_1!$F$2,1274)</f>
        <v>#VALUE!</v>
      </c>
    </row>
    <row r="2550" spans="8:13" x14ac:dyDescent="0.3">
      <c r="H2550" s="17" t="e">
        <v>#VALUE!</v>
      </c>
      <c r="I2550" s="15" t="s">
        <v>146</v>
      </c>
    </row>
    <row r="2551" spans="8:13" x14ac:dyDescent="0.3">
      <c r="H2551" s="13"/>
      <c r="I2551" s="16" t="e">
        <f>_xll.PTreeNodeValue(treeCalc_1!$F$2,1275)</f>
        <v>#VALUE!</v>
      </c>
    </row>
    <row r="2552" spans="8:13" x14ac:dyDescent="0.3">
      <c r="I2552" s="17" t="e">
        <v>#VALUE!</v>
      </c>
      <c r="J2552" s="15" t="s">
        <v>133</v>
      </c>
    </row>
    <row r="2553" spans="8:13" x14ac:dyDescent="0.3">
      <c r="I2553" s="13"/>
      <c r="J2553" s="16" t="e">
        <f>_xll.PTreeNodeValue(treeCalc_1!$F$2,1276)</f>
        <v>#VALUE!</v>
      </c>
    </row>
    <row r="2554" spans="8:13" x14ac:dyDescent="0.3">
      <c r="J2554" s="17" t="e">
        <v>#VALUE!</v>
      </c>
      <c r="K2554" s="15" t="s">
        <v>132</v>
      </c>
    </row>
    <row r="2555" spans="8:13" x14ac:dyDescent="0.3">
      <c r="J2555" s="13"/>
      <c r="K2555" s="16" t="e">
        <f>_xll.PTreeNodeValue(treeCalc_1!$F$2,1277)</f>
        <v>#VALUE!</v>
      </c>
    </row>
    <row r="2556" spans="8:13" x14ac:dyDescent="0.3">
      <c r="K2556" s="17" t="e">
        <v>#VALUE!</v>
      </c>
      <c r="L2556" s="15" t="s">
        <v>134</v>
      </c>
    </row>
    <row r="2557" spans="8:13" x14ac:dyDescent="0.3">
      <c r="K2557" s="13"/>
      <c r="L2557" s="16" t="e">
        <f>_xll.PTreeNodeValue(treeCalc_1!$F$2,1278)</f>
        <v>#VALUE!</v>
      </c>
    </row>
    <row r="2558" spans="8:13" x14ac:dyDescent="0.3">
      <c r="L2558" s="17" t="e">
        <v>#VALUE!</v>
      </c>
      <c r="M2558" s="19" t="e">
        <f>_xll.PTreeNodeProbability(treeCalc_1!$F$2,1279)</f>
        <v>#VALUE!</v>
      </c>
    </row>
    <row r="2559" spans="8:13" x14ac:dyDescent="0.3">
      <c r="L2559" s="13"/>
      <c r="M2559" s="18" t="e">
        <f>_xll.PTreeNodeValue(treeCalc_1!$F$2,1279)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BE70-6691-42EB-BD03-DBA796A56C1C}">
  <dimension ref="A1:B6"/>
  <sheetViews>
    <sheetView topLeftCell="A6" workbookViewId="0">
      <selection activeCell="B12" sqref="B12"/>
    </sheetView>
  </sheetViews>
  <sheetFormatPr defaultRowHeight="14.4" x14ac:dyDescent="0.3"/>
  <cols>
    <col min="1" max="2" width="15.5546875" customWidth="1"/>
  </cols>
  <sheetData>
    <row r="1" spans="1:2" ht="25.05" customHeight="1" thickTop="1" thickBot="1" x14ac:dyDescent="0.35">
      <c r="A1" s="7"/>
      <c r="B1" s="8"/>
    </row>
    <row r="2" spans="1:2" ht="15" thickTop="1" x14ac:dyDescent="0.3">
      <c r="A2" s="5" t="s">
        <v>63</v>
      </c>
      <c r="B2" s="9" t="e">
        <f>inflCalc_3!$G$2</f>
        <v>#N/A</v>
      </c>
    </row>
    <row r="3" spans="1:2" x14ac:dyDescent="0.3">
      <c r="A3" s="5" t="s">
        <v>64</v>
      </c>
      <c r="B3" s="9" t="e">
        <f>inflCalc_3!$H$2</f>
        <v>#N/A</v>
      </c>
    </row>
    <row r="4" spans="1:2" x14ac:dyDescent="0.3">
      <c r="A4" s="5" t="s">
        <v>65</v>
      </c>
      <c r="B4" s="9" t="e">
        <f>inflCalc_3!$I$2</f>
        <v>#N/A</v>
      </c>
    </row>
    <row r="5" spans="1:2" ht="15" thickBot="1" x14ac:dyDescent="0.35">
      <c r="A5" s="6" t="s">
        <v>66</v>
      </c>
      <c r="B5" s="10" t="e">
        <f>inflCalc_3!$J$2</f>
        <v>#N/A</v>
      </c>
    </row>
    <row r="6" spans="1:2" ht="15" thickTop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B8EC-2D0A-460A-BB25-CD563B5D6CAE}">
  <dimension ref="A1:P1289"/>
  <sheetViews>
    <sheetView workbookViewId="0"/>
  </sheetViews>
  <sheetFormatPr defaultColWidth="15.77734375" defaultRowHeight="14.4" x14ac:dyDescent="0.3"/>
  <cols>
    <col min="1" max="16384" width="15.77734375" style="2"/>
  </cols>
  <sheetData>
    <row r="1" spans="1:16" x14ac:dyDescent="0.3">
      <c r="A1" s="2" t="s">
        <v>0</v>
      </c>
      <c r="B1" s="1" t="s">
        <v>215</v>
      </c>
      <c r="E1" s="2" t="s">
        <v>3</v>
      </c>
      <c r="F1" s="2">
        <v>3</v>
      </c>
      <c r="H1" s="2" t="s">
        <v>9</v>
      </c>
      <c r="I1" s="1" t="s">
        <v>19</v>
      </c>
      <c r="K1" s="2" t="s">
        <v>14</v>
      </c>
      <c r="L1" s="2">
        <v>100</v>
      </c>
    </row>
    <row r="2" spans="1:16" x14ac:dyDescent="0.3">
      <c r="A2" s="2" t="s">
        <v>1</v>
      </c>
      <c r="B2" s="2" t="e">
        <f>'Converted Diagram'!#REF!</f>
        <v>#REF!</v>
      </c>
      <c r="E2" s="2" t="s">
        <v>4</v>
      </c>
      <c r="F2" s="2">
        <f>_xll.PTreeEvaluate5(B3,$L$11:$L$1289,$J$11:$J$1289,$K$11:$K$1289,$N$11:$N$1289,$I$11:$I$1289,$O$11:$O$1289,L1) + 0*ISERROR(B6)</f>
        <v>129043</v>
      </c>
    </row>
    <row r="3" spans="1:16" x14ac:dyDescent="0.3">
      <c r="A3" s="2" t="s">
        <v>2</v>
      </c>
      <c r="B3" s="2" t="s">
        <v>1498</v>
      </c>
      <c r="E3" s="2" t="s">
        <v>5</v>
      </c>
      <c r="F3" s="1" t="s">
        <v>15</v>
      </c>
      <c r="H3" s="2" t="s">
        <v>10</v>
      </c>
      <c r="I3" s="3" t="s">
        <v>17</v>
      </c>
    </row>
    <row r="4" spans="1:16" x14ac:dyDescent="0.3">
      <c r="A4" s="2" t="s">
        <v>194</v>
      </c>
      <c r="B4" s="2" t="s">
        <v>216</v>
      </c>
      <c r="E4" s="2" t="s">
        <v>6</v>
      </c>
      <c r="F4" s="1" t="s">
        <v>16</v>
      </c>
      <c r="H4" s="2" t="s">
        <v>11</v>
      </c>
      <c r="I4" s="1" t="s">
        <v>18</v>
      </c>
    </row>
    <row r="5" spans="1:16" x14ac:dyDescent="0.3">
      <c r="A5" s="2" t="s">
        <v>195</v>
      </c>
      <c r="B5" s="2">
        <v>0</v>
      </c>
      <c r="E5" s="2" t="s">
        <v>7</v>
      </c>
      <c r="F5" s="1" t="s">
        <v>16</v>
      </c>
      <c r="H5" s="2" t="s">
        <v>12</v>
      </c>
      <c r="I5" s="3" t="s">
        <v>17</v>
      </c>
    </row>
    <row r="6" spans="1:16" x14ac:dyDescent="0.3">
      <c r="A6" s="2" t="s">
        <v>196</v>
      </c>
      <c r="E6" s="2" t="s">
        <v>8</v>
      </c>
      <c r="F6" s="1" t="s">
        <v>15</v>
      </c>
      <c r="H6" s="2" t="s">
        <v>13</v>
      </c>
      <c r="I6" s="1" t="s">
        <v>18</v>
      </c>
    </row>
    <row r="7" spans="1:16" x14ac:dyDescent="0.3">
      <c r="A7" s="2" t="s">
        <v>197</v>
      </c>
      <c r="E7" s="2" t="s">
        <v>199</v>
      </c>
      <c r="F7" s="1" t="s">
        <v>193</v>
      </c>
    </row>
    <row r="8" spans="1:16" x14ac:dyDescent="0.3">
      <c r="A8" s="2" t="s">
        <v>198</v>
      </c>
      <c r="B8" s="2">
        <v>1279</v>
      </c>
    </row>
    <row r="10" spans="1:16" x14ac:dyDescent="0.3">
      <c r="A10" s="2" t="s">
        <v>200</v>
      </c>
      <c r="B10" s="2" t="s">
        <v>201</v>
      </c>
      <c r="C10" s="2" t="s">
        <v>202</v>
      </c>
      <c r="D10" s="2" t="s">
        <v>203</v>
      </c>
      <c r="E10" s="2" t="s">
        <v>204</v>
      </c>
      <c r="F10" s="2" t="s">
        <v>205</v>
      </c>
      <c r="G10" s="2" t="s">
        <v>206</v>
      </c>
      <c r="H10" s="2" t="s">
        <v>207</v>
      </c>
      <c r="I10" s="2" t="s">
        <v>208</v>
      </c>
      <c r="J10" s="2" t="s">
        <v>209</v>
      </c>
      <c r="K10" s="2" t="s">
        <v>210</v>
      </c>
      <c r="L10" s="2" t="s">
        <v>2</v>
      </c>
      <c r="M10" s="2" t="s">
        <v>211</v>
      </c>
      <c r="N10" s="2" t="s">
        <v>212</v>
      </c>
      <c r="O10" s="2" t="s">
        <v>213</v>
      </c>
      <c r="P10" s="2" t="s">
        <v>214</v>
      </c>
    </row>
    <row r="11" spans="1:16" x14ac:dyDescent="0.3">
      <c r="A11" s="2" t="e">
        <f>'Converted Diagram'!$J$3</f>
        <v>#VALUE!</v>
      </c>
      <c r="B11" s="1" t="s">
        <v>31</v>
      </c>
      <c r="C11" s="2">
        <v>0</v>
      </c>
      <c r="I11" s="2" t="s">
        <v>217</v>
      </c>
      <c r="J11" s="2">
        <f>'Converted Diagram'!$I$3</f>
        <v>0</v>
      </c>
      <c r="K11" s="2" t="e">
        <f>'Converted Diagram'!$I$2</f>
        <v>#VALUE!</v>
      </c>
      <c r="L11" s="2" t="s">
        <v>218</v>
      </c>
      <c r="M11" s="2">
        <v>0</v>
      </c>
      <c r="O11" s="2" t="str">
        <f>'Converted Diagram'!$J$2</f>
        <v>Reduce Commute Time</v>
      </c>
      <c r="P11" s="2" t="b">
        <v>0</v>
      </c>
    </row>
    <row r="12" spans="1:16" x14ac:dyDescent="0.3">
      <c r="A12" s="2" t="e">
        <f>'Converted Diagram'!$K$5</f>
        <v>#VALUE!</v>
      </c>
      <c r="B12" s="1" t="s">
        <v>219</v>
      </c>
      <c r="C12" s="2">
        <v>0</v>
      </c>
      <c r="I12" s="2" t="s">
        <v>217</v>
      </c>
      <c r="J12" s="2">
        <f>'Converted Diagram'!$J$5</f>
        <v>0</v>
      </c>
      <c r="K12" s="2" t="e">
        <f>'Converted Diagram'!$J$4</f>
        <v>#VALUE!</v>
      </c>
      <c r="L12" s="2" t="s">
        <v>220</v>
      </c>
      <c r="M12" s="2">
        <v>0</v>
      </c>
      <c r="O12" s="2" t="str">
        <f>'Converted Diagram'!$K$4</f>
        <v>Reduce overall rent</v>
      </c>
      <c r="P12" s="2" t="b">
        <v>0</v>
      </c>
    </row>
    <row r="13" spans="1:16" x14ac:dyDescent="0.3">
      <c r="A13" s="2" t="e">
        <f>'Converted Diagram'!$L$7</f>
        <v>#VALUE!</v>
      </c>
      <c r="B13" s="1" t="s">
        <v>219</v>
      </c>
      <c r="C13" s="2">
        <v>0</v>
      </c>
      <c r="I13" s="2" t="s">
        <v>217</v>
      </c>
      <c r="J13" s="2">
        <f>'Converted Diagram'!$K$7</f>
        <v>0</v>
      </c>
      <c r="K13" s="2" t="e">
        <f>'Converted Diagram'!$K$6</f>
        <v>#VALUE!</v>
      </c>
      <c r="L13" s="2" t="s">
        <v>221</v>
      </c>
      <c r="M13" s="2">
        <v>0</v>
      </c>
      <c r="O13" s="2" t="str">
        <f>'Converted Diagram'!$L$6</f>
        <v>Increase Overall Convenience</v>
      </c>
      <c r="P13" s="2" t="b">
        <v>0</v>
      </c>
    </row>
    <row r="14" spans="1:16" x14ac:dyDescent="0.3">
      <c r="A14" s="2" t="e">
        <f>'Converted Diagram'!$M$9</f>
        <v>#VALUE!</v>
      </c>
      <c r="B14" s="1" t="s">
        <v>219</v>
      </c>
      <c r="C14" s="2">
        <v>0</v>
      </c>
      <c r="I14" s="2" t="e">
        <v>#VALUE!</v>
      </c>
      <c r="J14" s="2">
        <f>'Converted Diagram'!$L$9</f>
        <v>0</v>
      </c>
      <c r="K14" s="2" t="e">
        <f>'Converted Diagram'!$L$8</f>
        <v>#VALUE!</v>
      </c>
      <c r="L14" s="2" t="s">
        <v>222</v>
      </c>
      <c r="M14" s="2">
        <v>0</v>
      </c>
      <c r="P14" s="2" t="b">
        <v>0</v>
      </c>
    </row>
    <row r="15" spans="1:16" x14ac:dyDescent="0.3">
      <c r="A15" s="2" t="e">
        <f>'Converted Diagram'!$I$11</f>
        <v>#VALUE!</v>
      </c>
      <c r="B15" s="1" t="s">
        <v>31</v>
      </c>
      <c r="C15" s="2">
        <v>0</v>
      </c>
      <c r="I15" s="2" t="s">
        <v>217</v>
      </c>
      <c r="J15" s="2">
        <f>'Converted Diagram'!$H$11</f>
        <v>0</v>
      </c>
      <c r="K15" s="2" t="e">
        <f>'Converted Diagram'!$H$10</f>
        <v>#VALUE!</v>
      </c>
      <c r="L15" s="2" t="s">
        <v>223</v>
      </c>
      <c r="M15" s="2">
        <v>0</v>
      </c>
      <c r="O15" s="2" t="str">
        <f>'Converted Diagram'!$I$10</f>
        <v>Floor</v>
      </c>
      <c r="P15" s="2" t="b">
        <v>0</v>
      </c>
    </row>
    <row r="16" spans="1:16" x14ac:dyDescent="0.3">
      <c r="A16" s="2" t="e">
        <f>'Converted Diagram'!$J$13</f>
        <v>#VALUE!</v>
      </c>
      <c r="B16" s="1" t="s">
        <v>32</v>
      </c>
      <c r="C16" s="2">
        <v>0</v>
      </c>
      <c r="I16" s="2" t="s">
        <v>217</v>
      </c>
      <c r="J16" s="2">
        <f>'Converted Diagram'!$I$13</f>
        <v>0</v>
      </c>
      <c r="K16" s="2" t="e">
        <f>'Converted Diagram'!$I$12</f>
        <v>#VALUE!</v>
      </c>
      <c r="L16" s="2" t="s">
        <v>224</v>
      </c>
      <c r="M16" s="2">
        <v>0</v>
      </c>
      <c r="O16" s="2" t="str">
        <f>'Converted Diagram'!$J$12</f>
        <v>Reduce Commute Time</v>
      </c>
      <c r="P16" s="2" t="b">
        <v>0</v>
      </c>
    </row>
    <row r="17" spans="1:16" x14ac:dyDescent="0.3">
      <c r="A17" s="2" t="e">
        <f>'Converted Diagram'!$K$15</f>
        <v>#VALUE!</v>
      </c>
      <c r="B17" s="1" t="s">
        <v>219</v>
      </c>
      <c r="C17" s="2">
        <v>0</v>
      </c>
      <c r="I17" s="2" t="s">
        <v>217</v>
      </c>
      <c r="J17" s="2">
        <f>'Converted Diagram'!$J$15</f>
        <v>0</v>
      </c>
      <c r="K17" s="2" t="e">
        <f>'Converted Diagram'!$J$14</f>
        <v>#VALUE!</v>
      </c>
      <c r="L17" s="2" t="s">
        <v>225</v>
      </c>
      <c r="M17" s="2">
        <v>0</v>
      </c>
      <c r="O17" s="2" t="str">
        <f>'Converted Diagram'!$K$14</f>
        <v>Reduce overall rent</v>
      </c>
      <c r="P17" s="2" t="b">
        <v>0</v>
      </c>
    </row>
    <row r="18" spans="1:16" x14ac:dyDescent="0.3">
      <c r="A18" s="2" t="e">
        <f>'Converted Diagram'!$L$17</f>
        <v>#VALUE!</v>
      </c>
      <c r="B18" s="1" t="s">
        <v>219</v>
      </c>
      <c r="C18" s="2">
        <v>0</v>
      </c>
      <c r="I18" s="2" t="s">
        <v>217</v>
      </c>
      <c r="J18" s="2">
        <f>'Converted Diagram'!$K$17</f>
        <v>0</v>
      </c>
      <c r="K18" s="2" t="e">
        <f>'Converted Diagram'!$K$16</f>
        <v>#VALUE!</v>
      </c>
      <c r="L18" s="2" t="s">
        <v>226</v>
      </c>
      <c r="M18" s="2">
        <v>0</v>
      </c>
      <c r="O18" s="2" t="str">
        <f>'Converted Diagram'!$L$16</f>
        <v>Increase Overall Convenience</v>
      </c>
      <c r="P18" s="2" t="b">
        <v>0</v>
      </c>
    </row>
    <row r="19" spans="1:16" x14ac:dyDescent="0.3">
      <c r="A19" s="2" t="e">
        <f>'Converted Diagram'!$M$19</f>
        <v>#VALUE!</v>
      </c>
      <c r="B19" s="1" t="s">
        <v>219</v>
      </c>
      <c r="C19" s="2">
        <v>0</v>
      </c>
      <c r="I19" s="2" t="e">
        <v>#VALUE!</v>
      </c>
      <c r="J19" s="2">
        <f>'Converted Diagram'!$L$19</f>
        <v>0</v>
      </c>
      <c r="K19" s="2" t="e">
        <f>'Converted Diagram'!$L$18</f>
        <v>#VALUE!</v>
      </c>
      <c r="L19" s="2" t="s">
        <v>227</v>
      </c>
      <c r="M19" s="2">
        <v>0</v>
      </c>
      <c r="P19" s="2" t="b">
        <v>0</v>
      </c>
    </row>
    <row r="20" spans="1:16" x14ac:dyDescent="0.3">
      <c r="A20" s="2" t="e">
        <f>'Converted Diagram'!$H$21</f>
        <v>#VALUE!</v>
      </c>
      <c r="B20" s="1" t="s">
        <v>31</v>
      </c>
      <c r="C20" s="2">
        <v>0</v>
      </c>
      <c r="I20" s="2" t="s">
        <v>217</v>
      </c>
      <c r="J20" s="2">
        <f>'Converted Diagram'!$G$21</f>
        <v>0</v>
      </c>
      <c r="K20" s="2" t="e">
        <f>'Converted Diagram'!$G$20</f>
        <v>#VALUE!</v>
      </c>
      <c r="L20" s="2" t="s">
        <v>228</v>
      </c>
      <c r="M20" s="2">
        <v>0</v>
      </c>
      <c r="O20" s="2" t="str">
        <f>'Converted Diagram'!$H$20</f>
        <v>Wi-Fi &amp; Cable Ready</v>
      </c>
      <c r="P20" s="2" t="b">
        <v>0</v>
      </c>
    </row>
    <row r="21" spans="1:16" x14ac:dyDescent="0.3">
      <c r="A21" s="2" t="e">
        <f>'Converted Diagram'!$J$23</f>
        <v>#VALUE!</v>
      </c>
      <c r="B21" s="1" t="s">
        <v>31</v>
      </c>
      <c r="C21" s="2">
        <v>0</v>
      </c>
      <c r="I21" s="2" t="s">
        <v>217</v>
      </c>
      <c r="J21" s="2">
        <f>'Converted Diagram'!$I$23</f>
        <v>0</v>
      </c>
      <c r="K21" s="2" t="e">
        <f>'Converted Diagram'!$I$22</f>
        <v>#VALUE!</v>
      </c>
      <c r="L21" s="2" t="s">
        <v>229</v>
      </c>
      <c r="M21" s="2">
        <v>0</v>
      </c>
      <c r="O21" s="2" t="str">
        <f>'Converted Diagram'!$J$22</f>
        <v>Reduce Commute Time</v>
      </c>
      <c r="P21" s="2" t="b">
        <v>0</v>
      </c>
    </row>
    <row r="22" spans="1:16" x14ac:dyDescent="0.3">
      <c r="A22" s="2" t="e">
        <f>'Converted Diagram'!$K$25</f>
        <v>#VALUE!</v>
      </c>
      <c r="B22" s="1" t="s">
        <v>219</v>
      </c>
      <c r="C22" s="2">
        <v>0</v>
      </c>
      <c r="I22" s="2" t="s">
        <v>217</v>
      </c>
      <c r="J22" s="2">
        <f>'Converted Diagram'!$J$25</f>
        <v>0</v>
      </c>
      <c r="K22" s="2" t="e">
        <f>'Converted Diagram'!$J$24</f>
        <v>#VALUE!</v>
      </c>
      <c r="L22" s="2" t="s">
        <v>230</v>
      </c>
      <c r="M22" s="2">
        <v>0</v>
      </c>
      <c r="O22" s="2" t="str">
        <f>'Converted Diagram'!$K$24</f>
        <v>Reduce overall rent</v>
      </c>
      <c r="P22" s="2" t="b">
        <v>0</v>
      </c>
    </row>
    <row r="23" spans="1:16" x14ac:dyDescent="0.3">
      <c r="A23" s="2" t="e">
        <f>'Converted Diagram'!$L$27</f>
        <v>#VALUE!</v>
      </c>
      <c r="B23" s="1" t="s">
        <v>219</v>
      </c>
      <c r="C23" s="2">
        <v>0</v>
      </c>
      <c r="I23" s="2" t="s">
        <v>217</v>
      </c>
      <c r="J23" s="2">
        <f>'Converted Diagram'!$K$27</f>
        <v>0</v>
      </c>
      <c r="K23" s="2" t="e">
        <f>'Converted Diagram'!$K$26</f>
        <v>#VALUE!</v>
      </c>
      <c r="L23" s="2" t="s">
        <v>231</v>
      </c>
      <c r="M23" s="2">
        <v>0</v>
      </c>
      <c r="O23" s="2" t="str">
        <f>'Converted Diagram'!$L$26</f>
        <v>Increase Overall Convenience</v>
      </c>
      <c r="P23" s="2" t="b">
        <v>0</v>
      </c>
    </row>
    <row r="24" spans="1:16" x14ac:dyDescent="0.3">
      <c r="A24" s="2" t="e">
        <f>'Converted Diagram'!$M$29</f>
        <v>#VALUE!</v>
      </c>
      <c r="B24" s="1" t="s">
        <v>219</v>
      </c>
      <c r="C24" s="2">
        <v>0</v>
      </c>
      <c r="I24" s="2" t="e">
        <v>#VALUE!</v>
      </c>
      <c r="J24" s="2">
        <f>'Converted Diagram'!$L$29</f>
        <v>0</v>
      </c>
      <c r="K24" s="2" t="e">
        <f>'Converted Diagram'!$L$28</f>
        <v>#VALUE!</v>
      </c>
      <c r="L24" s="2" t="s">
        <v>232</v>
      </c>
      <c r="M24" s="2">
        <v>0</v>
      </c>
      <c r="P24" s="2" t="b">
        <v>0</v>
      </c>
    </row>
    <row r="25" spans="1:16" x14ac:dyDescent="0.3">
      <c r="A25" s="2" t="e">
        <f>'Converted Diagram'!$I$31</f>
        <v>#VALUE!</v>
      </c>
      <c r="B25" s="1" t="s">
        <v>32</v>
      </c>
      <c r="C25" s="2">
        <v>0</v>
      </c>
      <c r="I25" s="2" t="s">
        <v>217</v>
      </c>
      <c r="J25" s="2">
        <f>'Converted Diagram'!$H$31</f>
        <v>0</v>
      </c>
      <c r="K25" s="2" t="e">
        <f>'Converted Diagram'!$H$30</f>
        <v>#VALUE!</v>
      </c>
      <c r="L25" s="2" t="s">
        <v>233</v>
      </c>
      <c r="M25" s="2">
        <v>0</v>
      </c>
      <c r="O25" s="2" t="str">
        <f>'Converted Diagram'!$I$30</f>
        <v>Floor</v>
      </c>
      <c r="P25" s="2" t="b">
        <v>0</v>
      </c>
    </row>
    <row r="26" spans="1:16" x14ac:dyDescent="0.3">
      <c r="A26" s="2" t="e">
        <f>'Converted Diagram'!$J$33</f>
        <v>#VALUE!</v>
      </c>
      <c r="B26" s="1" t="s">
        <v>32</v>
      </c>
      <c r="C26" s="2">
        <v>0</v>
      </c>
      <c r="I26" s="2" t="s">
        <v>217</v>
      </c>
      <c r="J26" s="2">
        <f>'Converted Diagram'!$I$33</f>
        <v>0</v>
      </c>
      <c r="K26" s="2" t="e">
        <f>'Converted Diagram'!$I$32</f>
        <v>#VALUE!</v>
      </c>
      <c r="L26" s="2" t="s">
        <v>234</v>
      </c>
      <c r="M26" s="2">
        <v>0</v>
      </c>
      <c r="O26" s="2" t="str">
        <f>'Converted Diagram'!$J$32</f>
        <v>Reduce Commute Time</v>
      </c>
      <c r="P26" s="2" t="b">
        <v>0</v>
      </c>
    </row>
    <row r="27" spans="1:16" x14ac:dyDescent="0.3">
      <c r="A27" s="2" t="e">
        <f>'Converted Diagram'!$K$35</f>
        <v>#VALUE!</v>
      </c>
      <c r="B27" s="1" t="s">
        <v>219</v>
      </c>
      <c r="C27" s="2">
        <v>0</v>
      </c>
      <c r="I27" s="2" t="s">
        <v>217</v>
      </c>
      <c r="J27" s="2">
        <f>'Converted Diagram'!$J$35</f>
        <v>0</v>
      </c>
      <c r="K27" s="2" t="e">
        <f>'Converted Diagram'!$J$34</f>
        <v>#VALUE!</v>
      </c>
      <c r="L27" s="2" t="s">
        <v>235</v>
      </c>
      <c r="M27" s="2">
        <v>0</v>
      </c>
      <c r="O27" s="2" t="str">
        <f>'Converted Diagram'!$K$34</f>
        <v>Reduce overall rent</v>
      </c>
      <c r="P27" s="2" t="b">
        <v>0</v>
      </c>
    </row>
    <row r="28" spans="1:16" x14ac:dyDescent="0.3">
      <c r="A28" s="2" t="e">
        <f>'Converted Diagram'!$L$37</f>
        <v>#VALUE!</v>
      </c>
      <c r="B28" s="1" t="s">
        <v>219</v>
      </c>
      <c r="C28" s="2">
        <v>0</v>
      </c>
      <c r="I28" s="2" t="s">
        <v>217</v>
      </c>
      <c r="J28" s="2">
        <f>'Converted Diagram'!$K$37</f>
        <v>0</v>
      </c>
      <c r="K28" s="2" t="e">
        <f>'Converted Diagram'!$K$36</f>
        <v>#VALUE!</v>
      </c>
      <c r="L28" s="2" t="s">
        <v>236</v>
      </c>
      <c r="M28" s="2">
        <v>0</v>
      </c>
      <c r="O28" s="2" t="str">
        <f>'Converted Diagram'!$L$36</f>
        <v>Increase Overall Convenience</v>
      </c>
      <c r="P28" s="2" t="b">
        <v>0</v>
      </c>
    </row>
    <row r="29" spans="1:16" x14ac:dyDescent="0.3">
      <c r="A29" s="2" t="e">
        <f>'Converted Diagram'!$M$39</f>
        <v>#VALUE!</v>
      </c>
      <c r="B29" s="1" t="s">
        <v>219</v>
      </c>
      <c r="C29" s="2">
        <v>0</v>
      </c>
      <c r="I29" s="2" t="e">
        <v>#VALUE!</v>
      </c>
      <c r="J29" s="2">
        <f>'Converted Diagram'!$L$39</f>
        <v>0</v>
      </c>
      <c r="K29" s="2" t="e">
        <f>'Converted Diagram'!$L$38</f>
        <v>#VALUE!</v>
      </c>
      <c r="L29" s="2" t="s">
        <v>237</v>
      </c>
      <c r="M29" s="2">
        <v>0</v>
      </c>
      <c r="P29" s="2" t="b">
        <v>0</v>
      </c>
    </row>
    <row r="30" spans="1:16" x14ac:dyDescent="0.3">
      <c r="A30" s="2" t="e">
        <f>'Converted Diagram'!$G$41</f>
        <v>#VALUE!</v>
      </c>
      <c r="B30" s="1" t="s">
        <v>31</v>
      </c>
      <c r="C30" s="2">
        <v>0</v>
      </c>
      <c r="I30" s="2" t="s">
        <v>217</v>
      </c>
      <c r="J30" s="2">
        <f>'Converted Diagram'!$F$41</f>
        <v>0</v>
      </c>
      <c r="K30" s="2" t="e">
        <f>'Converted Diagram'!$F$40</f>
        <v>#VALUE!</v>
      </c>
      <c r="L30" s="2" t="s">
        <v>238</v>
      </c>
      <c r="M30" s="2">
        <v>0</v>
      </c>
      <c r="O30" s="2" t="str">
        <f>'Converted Diagram'!$G$40</f>
        <v>Grocery Store</v>
      </c>
      <c r="P30" s="2" t="b">
        <v>0</v>
      </c>
    </row>
    <row r="31" spans="1:16" x14ac:dyDescent="0.3">
      <c r="A31" s="2" t="e">
        <f>'Converted Diagram'!$J$43</f>
        <v>#VALUE!</v>
      </c>
      <c r="B31" s="1" t="s">
        <v>31</v>
      </c>
      <c r="C31" s="2">
        <v>0</v>
      </c>
      <c r="I31" s="2" t="s">
        <v>217</v>
      </c>
      <c r="J31" s="2">
        <f>'Converted Diagram'!$I$43</f>
        <v>0</v>
      </c>
      <c r="K31" s="2" t="e">
        <f>'Converted Diagram'!$I$42</f>
        <v>#VALUE!</v>
      </c>
      <c r="L31" s="2" t="s">
        <v>239</v>
      </c>
      <c r="M31" s="2">
        <v>0</v>
      </c>
      <c r="O31" s="2" t="str">
        <f>'Converted Diagram'!$J$42</f>
        <v>Reduce Commute Time</v>
      </c>
      <c r="P31" s="2" t="b">
        <v>0</v>
      </c>
    </row>
    <row r="32" spans="1:16" x14ac:dyDescent="0.3">
      <c r="A32" s="2" t="e">
        <f>'Converted Diagram'!$K$45</f>
        <v>#VALUE!</v>
      </c>
      <c r="B32" s="1" t="s">
        <v>219</v>
      </c>
      <c r="C32" s="2">
        <v>0</v>
      </c>
      <c r="I32" s="2" t="s">
        <v>217</v>
      </c>
      <c r="J32" s="2">
        <f>'Converted Diagram'!$J$45</f>
        <v>0</v>
      </c>
      <c r="K32" s="2" t="e">
        <f>'Converted Diagram'!$J$44</f>
        <v>#VALUE!</v>
      </c>
      <c r="L32" s="2" t="s">
        <v>240</v>
      </c>
      <c r="M32" s="2">
        <v>0</v>
      </c>
      <c r="O32" s="2" t="str">
        <f>'Converted Diagram'!$K$44</f>
        <v>Reduce overall rent</v>
      </c>
      <c r="P32" s="2" t="b">
        <v>0</v>
      </c>
    </row>
    <row r="33" spans="1:16" x14ac:dyDescent="0.3">
      <c r="A33" s="2" t="e">
        <f>'Converted Diagram'!$L$47</f>
        <v>#VALUE!</v>
      </c>
      <c r="B33" s="1" t="s">
        <v>219</v>
      </c>
      <c r="C33" s="2">
        <v>0</v>
      </c>
      <c r="I33" s="2" t="s">
        <v>217</v>
      </c>
      <c r="J33" s="2">
        <f>'Converted Diagram'!$K$47</f>
        <v>0</v>
      </c>
      <c r="K33" s="2" t="e">
        <f>'Converted Diagram'!$K$46</f>
        <v>#VALUE!</v>
      </c>
      <c r="L33" s="2" t="s">
        <v>241</v>
      </c>
      <c r="M33" s="2">
        <v>0</v>
      </c>
      <c r="O33" s="2" t="str">
        <f>'Converted Diagram'!$L$46</f>
        <v>Increase Overall Convenience</v>
      </c>
      <c r="P33" s="2" t="b">
        <v>0</v>
      </c>
    </row>
    <row r="34" spans="1:16" x14ac:dyDescent="0.3">
      <c r="A34" s="2" t="e">
        <f>'Converted Diagram'!$M$49</f>
        <v>#VALUE!</v>
      </c>
      <c r="B34" s="1" t="s">
        <v>219</v>
      </c>
      <c r="C34" s="2">
        <v>0</v>
      </c>
      <c r="I34" s="2" t="e">
        <v>#VALUE!</v>
      </c>
      <c r="J34" s="2">
        <f>'Converted Diagram'!$L$49</f>
        <v>0</v>
      </c>
      <c r="K34" s="2" t="e">
        <f>'Converted Diagram'!$L$48</f>
        <v>#VALUE!</v>
      </c>
      <c r="L34" s="2" t="s">
        <v>242</v>
      </c>
      <c r="M34" s="2">
        <v>0</v>
      </c>
      <c r="P34" s="2" t="b">
        <v>0</v>
      </c>
    </row>
    <row r="35" spans="1:16" x14ac:dyDescent="0.3">
      <c r="A35" s="2" t="e">
        <f>'Converted Diagram'!$I$51</f>
        <v>#VALUE!</v>
      </c>
      <c r="B35" s="1" t="s">
        <v>31</v>
      </c>
      <c r="C35" s="2">
        <v>0</v>
      </c>
      <c r="I35" s="2" t="s">
        <v>217</v>
      </c>
      <c r="J35" s="2">
        <f>'Converted Diagram'!$H$51</f>
        <v>0</v>
      </c>
      <c r="K35" s="2" t="e">
        <f>'Converted Diagram'!$H$50</f>
        <v>#VALUE!</v>
      </c>
      <c r="L35" s="2" t="s">
        <v>243</v>
      </c>
      <c r="M35" s="2">
        <v>0</v>
      </c>
      <c r="O35" s="2" t="str">
        <f>'Converted Diagram'!$I$50</f>
        <v>Floor</v>
      </c>
      <c r="P35" s="2" t="b">
        <v>0</v>
      </c>
    </row>
    <row r="36" spans="1:16" x14ac:dyDescent="0.3">
      <c r="A36" s="2" t="e">
        <f>'Converted Diagram'!$J$53</f>
        <v>#VALUE!</v>
      </c>
      <c r="B36" s="1" t="s">
        <v>32</v>
      </c>
      <c r="C36" s="2">
        <v>0</v>
      </c>
      <c r="I36" s="2" t="s">
        <v>217</v>
      </c>
      <c r="J36" s="2">
        <f>'Converted Diagram'!$I$53</f>
        <v>0</v>
      </c>
      <c r="K36" s="2" t="e">
        <f>'Converted Diagram'!$I$52</f>
        <v>#VALUE!</v>
      </c>
      <c r="L36" s="2" t="s">
        <v>244</v>
      </c>
      <c r="M36" s="2">
        <v>0</v>
      </c>
      <c r="O36" s="2" t="str">
        <f>'Converted Diagram'!$J$52</f>
        <v>Reduce Commute Time</v>
      </c>
      <c r="P36" s="2" t="b">
        <v>0</v>
      </c>
    </row>
    <row r="37" spans="1:16" x14ac:dyDescent="0.3">
      <c r="A37" s="2" t="e">
        <f>'Converted Diagram'!$K$55</f>
        <v>#VALUE!</v>
      </c>
      <c r="B37" s="1" t="s">
        <v>219</v>
      </c>
      <c r="C37" s="2">
        <v>0</v>
      </c>
      <c r="I37" s="2" t="s">
        <v>217</v>
      </c>
      <c r="J37" s="2">
        <f>'Converted Diagram'!$J$55</f>
        <v>0</v>
      </c>
      <c r="K37" s="2" t="e">
        <f>'Converted Diagram'!$J$54</f>
        <v>#VALUE!</v>
      </c>
      <c r="L37" s="2" t="s">
        <v>245</v>
      </c>
      <c r="M37" s="2">
        <v>0</v>
      </c>
      <c r="O37" s="2" t="str">
        <f>'Converted Diagram'!$K$54</f>
        <v>Reduce overall rent</v>
      </c>
      <c r="P37" s="2" t="b">
        <v>0</v>
      </c>
    </row>
    <row r="38" spans="1:16" x14ac:dyDescent="0.3">
      <c r="A38" s="2" t="e">
        <f>'Converted Diagram'!$L$57</f>
        <v>#VALUE!</v>
      </c>
      <c r="B38" s="1" t="s">
        <v>219</v>
      </c>
      <c r="C38" s="2">
        <v>0</v>
      </c>
      <c r="I38" s="2" t="s">
        <v>217</v>
      </c>
      <c r="J38" s="2">
        <f>'Converted Diagram'!$K$57</f>
        <v>0</v>
      </c>
      <c r="K38" s="2" t="e">
        <f>'Converted Diagram'!$K$56</f>
        <v>#VALUE!</v>
      </c>
      <c r="L38" s="2" t="s">
        <v>246</v>
      </c>
      <c r="M38" s="2">
        <v>0</v>
      </c>
      <c r="O38" s="2" t="str">
        <f>'Converted Diagram'!$L$56</f>
        <v>Increase Overall Convenience</v>
      </c>
      <c r="P38" s="2" t="b">
        <v>0</v>
      </c>
    </row>
    <row r="39" spans="1:16" x14ac:dyDescent="0.3">
      <c r="A39" s="2" t="e">
        <f>'Converted Diagram'!$M$59</f>
        <v>#VALUE!</v>
      </c>
      <c r="B39" s="1" t="s">
        <v>219</v>
      </c>
      <c r="C39" s="2">
        <v>0</v>
      </c>
      <c r="I39" s="2" t="e">
        <v>#VALUE!</v>
      </c>
      <c r="J39" s="2">
        <f>'Converted Diagram'!$L$59</f>
        <v>0</v>
      </c>
      <c r="K39" s="2" t="e">
        <f>'Converted Diagram'!$L$58</f>
        <v>#VALUE!</v>
      </c>
      <c r="L39" s="2" t="s">
        <v>247</v>
      </c>
      <c r="M39" s="2">
        <v>0</v>
      </c>
      <c r="P39" s="2" t="b">
        <v>0</v>
      </c>
    </row>
    <row r="40" spans="1:16" x14ac:dyDescent="0.3">
      <c r="A40" s="2" t="e">
        <f>'Converted Diagram'!$H$61</f>
        <v>#VALUE!</v>
      </c>
      <c r="B40" s="1" t="s">
        <v>32</v>
      </c>
      <c r="C40" s="2">
        <v>0</v>
      </c>
      <c r="I40" s="2" t="s">
        <v>217</v>
      </c>
      <c r="J40" s="2">
        <f>'Converted Diagram'!$G$61</f>
        <v>0</v>
      </c>
      <c r="K40" s="2" t="e">
        <f>'Converted Diagram'!$G$60</f>
        <v>#VALUE!</v>
      </c>
      <c r="L40" s="2" t="s">
        <v>248</v>
      </c>
      <c r="M40" s="2">
        <v>0</v>
      </c>
      <c r="O40" s="2" t="str">
        <f>'Converted Diagram'!$H$60</f>
        <v>Wi-Fi &amp; Cable Ready</v>
      </c>
      <c r="P40" s="2" t="b">
        <v>0</v>
      </c>
    </row>
    <row r="41" spans="1:16" x14ac:dyDescent="0.3">
      <c r="A41" s="2" t="e">
        <f>'Converted Diagram'!$J$63</f>
        <v>#VALUE!</v>
      </c>
      <c r="B41" s="1" t="s">
        <v>31</v>
      </c>
      <c r="C41" s="2">
        <v>0</v>
      </c>
      <c r="I41" s="2" t="s">
        <v>217</v>
      </c>
      <c r="J41" s="2">
        <f>'Converted Diagram'!$I$63</f>
        <v>0</v>
      </c>
      <c r="K41" s="2" t="e">
        <f>'Converted Diagram'!$I$62</f>
        <v>#VALUE!</v>
      </c>
      <c r="L41" s="2" t="s">
        <v>249</v>
      </c>
      <c r="M41" s="2">
        <v>0</v>
      </c>
      <c r="O41" s="2" t="str">
        <f>'Converted Diagram'!$J$62</f>
        <v>Reduce Commute Time</v>
      </c>
      <c r="P41" s="2" t="b">
        <v>0</v>
      </c>
    </row>
    <row r="42" spans="1:16" x14ac:dyDescent="0.3">
      <c r="A42" s="2" t="e">
        <f>'Converted Diagram'!$K$65</f>
        <v>#VALUE!</v>
      </c>
      <c r="B42" s="1" t="s">
        <v>219</v>
      </c>
      <c r="C42" s="2">
        <v>0</v>
      </c>
      <c r="I42" s="2" t="s">
        <v>217</v>
      </c>
      <c r="J42" s="2">
        <f>'Converted Diagram'!$J$65</f>
        <v>0</v>
      </c>
      <c r="K42" s="2" t="e">
        <f>'Converted Diagram'!$J$64</f>
        <v>#VALUE!</v>
      </c>
      <c r="L42" s="2" t="s">
        <v>250</v>
      </c>
      <c r="M42" s="2">
        <v>0</v>
      </c>
      <c r="O42" s="2" t="str">
        <f>'Converted Diagram'!$K$64</f>
        <v>Reduce overall rent</v>
      </c>
      <c r="P42" s="2" t="b">
        <v>0</v>
      </c>
    </row>
    <row r="43" spans="1:16" x14ac:dyDescent="0.3">
      <c r="A43" s="2" t="e">
        <f>'Converted Diagram'!$L$67</f>
        <v>#VALUE!</v>
      </c>
      <c r="B43" s="1" t="s">
        <v>219</v>
      </c>
      <c r="C43" s="2">
        <v>0</v>
      </c>
      <c r="I43" s="2" t="s">
        <v>217</v>
      </c>
      <c r="J43" s="2">
        <f>'Converted Diagram'!$K$67</f>
        <v>0</v>
      </c>
      <c r="K43" s="2" t="e">
        <f>'Converted Diagram'!$K$66</f>
        <v>#VALUE!</v>
      </c>
      <c r="L43" s="2" t="s">
        <v>251</v>
      </c>
      <c r="M43" s="2">
        <v>0</v>
      </c>
      <c r="O43" s="2" t="str">
        <f>'Converted Diagram'!$L$66</f>
        <v>Increase Overall Convenience</v>
      </c>
      <c r="P43" s="2" t="b">
        <v>0</v>
      </c>
    </row>
    <row r="44" spans="1:16" x14ac:dyDescent="0.3">
      <c r="A44" s="2" t="e">
        <f>'Converted Diagram'!$M$69</f>
        <v>#VALUE!</v>
      </c>
      <c r="B44" s="1" t="s">
        <v>219</v>
      </c>
      <c r="C44" s="2">
        <v>0</v>
      </c>
      <c r="I44" s="2" t="e">
        <v>#VALUE!</v>
      </c>
      <c r="J44" s="2">
        <f>'Converted Diagram'!$L$69</f>
        <v>0</v>
      </c>
      <c r="K44" s="2" t="e">
        <f>'Converted Diagram'!$L$68</f>
        <v>#VALUE!</v>
      </c>
      <c r="L44" s="2" t="s">
        <v>252</v>
      </c>
      <c r="M44" s="2">
        <v>0</v>
      </c>
      <c r="P44" s="2" t="b">
        <v>0</v>
      </c>
    </row>
    <row r="45" spans="1:16" x14ac:dyDescent="0.3">
      <c r="A45" s="2" t="e">
        <f>'Converted Diagram'!$I$71</f>
        <v>#VALUE!</v>
      </c>
      <c r="B45" s="1" t="s">
        <v>32</v>
      </c>
      <c r="C45" s="2">
        <v>0</v>
      </c>
      <c r="I45" s="2" t="s">
        <v>217</v>
      </c>
      <c r="J45" s="2">
        <f>'Converted Diagram'!$H$71</f>
        <v>0</v>
      </c>
      <c r="K45" s="2" t="e">
        <f>'Converted Diagram'!$H$70</f>
        <v>#VALUE!</v>
      </c>
      <c r="L45" s="2" t="s">
        <v>253</v>
      </c>
      <c r="M45" s="2">
        <v>0</v>
      </c>
      <c r="O45" s="2" t="str">
        <f>'Converted Diagram'!$I$70</f>
        <v>Floor</v>
      </c>
      <c r="P45" s="2" t="b">
        <v>0</v>
      </c>
    </row>
    <row r="46" spans="1:16" x14ac:dyDescent="0.3">
      <c r="A46" s="2" t="e">
        <f>'Converted Diagram'!$J$73</f>
        <v>#VALUE!</v>
      </c>
      <c r="B46" s="1" t="s">
        <v>32</v>
      </c>
      <c r="C46" s="2">
        <v>0</v>
      </c>
      <c r="I46" s="2" t="s">
        <v>217</v>
      </c>
      <c r="J46" s="2">
        <f>'Converted Diagram'!$I$73</f>
        <v>0</v>
      </c>
      <c r="K46" s="2" t="e">
        <f>'Converted Diagram'!$I$72</f>
        <v>#VALUE!</v>
      </c>
      <c r="L46" s="2" t="s">
        <v>254</v>
      </c>
      <c r="M46" s="2">
        <v>0</v>
      </c>
      <c r="O46" s="2" t="str">
        <f>'Converted Diagram'!$J$72</f>
        <v>Reduce Commute Time</v>
      </c>
      <c r="P46" s="2" t="b">
        <v>0</v>
      </c>
    </row>
    <row r="47" spans="1:16" x14ac:dyDescent="0.3">
      <c r="A47" s="2" t="e">
        <f>'Converted Diagram'!$K$75</f>
        <v>#VALUE!</v>
      </c>
      <c r="B47" s="1" t="s">
        <v>219</v>
      </c>
      <c r="C47" s="2">
        <v>0</v>
      </c>
      <c r="I47" s="2" t="s">
        <v>217</v>
      </c>
      <c r="J47" s="2">
        <f>'Converted Diagram'!$J$75</f>
        <v>0</v>
      </c>
      <c r="K47" s="2" t="e">
        <f>'Converted Diagram'!$J$74</f>
        <v>#VALUE!</v>
      </c>
      <c r="L47" s="2" t="s">
        <v>255</v>
      </c>
      <c r="M47" s="2">
        <v>0</v>
      </c>
      <c r="O47" s="2" t="str">
        <f>'Converted Diagram'!$K$74</f>
        <v>Reduce overall rent</v>
      </c>
      <c r="P47" s="2" t="b">
        <v>0</v>
      </c>
    </row>
    <row r="48" spans="1:16" x14ac:dyDescent="0.3">
      <c r="A48" s="2" t="e">
        <f>'Converted Diagram'!$L$77</f>
        <v>#VALUE!</v>
      </c>
      <c r="B48" s="1" t="s">
        <v>219</v>
      </c>
      <c r="C48" s="2">
        <v>0</v>
      </c>
      <c r="I48" s="2" t="s">
        <v>217</v>
      </c>
      <c r="J48" s="2">
        <f>'Converted Diagram'!$K$77</f>
        <v>0</v>
      </c>
      <c r="K48" s="2" t="e">
        <f>'Converted Diagram'!$K$76</f>
        <v>#VALUE!</v>
      </c>
      <c r="L48" s="2" t="s">
        <v>256</v>
      </c>
      <c r="M48" s="2">
        <v>0</v>
      </c>
      <c r="O48" s="2" t="str">
        <f>'Converted Diagram'!$L$76</f>
        <v>Increase Overall Convenience</v>
      </c>
      <c r="P48" s="2" t="b">
        <v>0</v>
      </c>
    </row>
    <row r="49" spans="1:16" x14ac:dyDescent="0.3">
      <c r="A49" s="2" t="e">
        <f>'Converted Diagram'!$M$79</f>
        <v>#VALUE!</v>
      </c>
      <c r="B49" s="1" t="s">
        <v>219</v>
      </c>
      <c r="C49" s="2">
        <v>0</v>
      </c>
      <c r="I49" s="2" t="e">
        <v>#VALUE!</v>
      </c>
      <c r="J49" s="2">
        <f>'Converted Diagram'!$L$79</f>
        <v>0</v>
      </c>
      <c r="K49" s="2" t="e">
        <f>'Converted Diagram'!$L$78</f>
        <v>#VALUE!</v>
      </c>
      <c r="L49" s="2" t="s">
        <v>257</v>
      </c>
      <c r="M49" s="2">
        <v>0</v>
      </c>
      <c r="P49" s="2" t="b">
        <v>0</v>
      </c>
    </row>
    <row r="50" spans="1:16" x14ac:dyDescent="0.3">
      <c r="A50" s="2" t="e">
        <f>'Converted Diagram'!$F$81</f>
        <v>#VALUE!</v>
      </c>
      <c r="B50" s="1" t="s">
        <v>31</v>
      </c>
      <c r="C50" s="2">
        <v>0</v>
      </c>
      <c r="I50" s="2" t="s">
        <v>217</v>
      </c>
      <c r="J50" s="2">
        <f>'Converted Diagram'!$E$81</f>
        <v>0</v>
      </c>
      <c r="K50" s="2" t="e">
        <f>'Converted Diagram'!$E$80</f>
        <v>#VALUE!</v>
      </c>
      <c r="L50" s="2" t="s">
        <v>258</v>
      </c>
      <c r="M50" s="2">
        <v>0</v>
      </c>
      <c r="O50" s="2" t="str">
        <f>'Converted Diagram'!$F$80</f>
        <v>Utilities</v>
      </c>
      <c r="P50" s="2" t="b">
        <v>0</v>
      </c>
    </row>
    <row r="51" spans="1:16" x14ac:dyDescent="0.3">
      <c r="A51" s="2" t="e">
        <f>'Converted Diagram'!$J$83</f>
        <v>#VALUE!</v>
      </c>
      <c r="B51" s="1" t="s">
        <v>31</v>
      </c>
      <c r="C51" s="2">
        <v>0</v>
      </c>
      <c r="I51" s="2" t="s">
        <v>217</v>
      </c>
      <c r="J51" s="2">
        <f>'Converted Diagram'!$I$83</f>
        <v>0</v>
      </c>
      <c r="K51" s="2" t="e">
        <f>'Converted Diagram'!$I$82</f>
        <v>#VALUE!</v>
      </c>
      <c r="L51" s="2" t="s">
        <v>259</v>
      </c>
      <c r="M51" s="2">
        <v>0</v>
      </c>
      <c r="O51" s="2" t="str">
        <f>'Converted Diagram'!$J$82</f>
        <v>Reduce Commute Time</v>
      </c>
      <c r="P51" s="2" t="b">
        <v>0</v>
      </c>
    </row>
    <row r="52" spans="1:16" x14ac:dyDescent="0.3">
      <c r="A52" s="2" t="e">
        <f>'Converted Diagram'!$K$85</f>
        <v>#VALUE!</v>
      </c>
      <c r="B52" s="1" t="s">
        <v>219</v>
      </c>
      <c r="C52" s="2">
        <v>0</v>
      </c>
      <c r="I52" s="2" t="s">
        <v>217</v>
      </c>
      <c r="J52" s="2">
        <f>'Converted Diagram'!$J$85</f>
        <v>0</v>
      </c>
      <c r="K52" s="2" t="e">
        <f>'Converted Diagram'!$J$84</f>
        <v>#VALUE!</v>
      </c>
      <c r="L52" s="2" t="s">
        <v>260</v>
      </c>
      <c r="M52" s="2">
        <v>0</v>
      </c>
      <c r="O52" s="2" t="str">
        <f>'Converted Diagram'!$K$84</f>
        <v>Reduce overall rent</v>
      </c>
      <c r="P52" s="2" t="b">
        <v>0</v>
      </c>
    </row>
    <row r="53" spans="1:16" x14ac:dyDescent="0.3">
      <c r="A53" s="2" t="e">
        <f>'Converted Diagram'!$L$87</f>
        <v>#VALUE!</v>
      </c>
      <c r="B53" s="1" t="s">
        <v>219</v>
      </c>
      <c r="C53" s="2">
        <v>0</v>
      </c>
      <c r="I53" s="2" t="s">
        <v>217</v>
      </c>
      <c r="J53" s="2">
        <f>'Converted Diagram'!$K$87</f>
        <v>0</v>
      </c>
      <c r="K53" s="2" t="e">
        <f>'Converted Diagram'!$K$86</f>
        <v>#VALUE!</v>
      </c>
      <c r="L53" s="2" t="s">
        <v>261</v>
      </c>
      <c r="M53" s="2">
        <v>0</v>
      </c>
      <c r="O53" s="2" t="str">
        <f>'Converted Diagram'!$L$86</f>
        <v>Increase Overall Convenience</v>
      </c>
      <c r="P53" s="2" t="b">
        <v>0</v>
      </c>
    </row>
    <row r="54" spans="1:16" x14ac:dyDescent="0.3">
      <c r="A54" s="2" t="e">
        <f>'Converted Diagram'!$M$89</f>
        <v>#VALUE!</v>
      </c>
      <c r="B54" s="1" t="s">
        <v>219</v>
      </c>
      <c r="C54" s="2">
        <v>0</v>
      </c>
      <c r="I54" s="2" t="e">
        <v>#VALUE!</v>
      </c>
      <c r="J54" s="2">
        <f>'Converted Diagram'!$L$89</f>
        <v>0</v>
      </c>
      <c r="K54" s="2" t="e">
        <f>'Converted Diagram'!$L$88</f>
        <v>#VALUE!</v>
      </c>
      <c r="L54" s="2" t="s">
        <v>262</v>
      </c>
      <c r="M54" s="2">
        <v>0</v>
      </c>
      <c r="P54" s="2" t="b">
        <v>0</v>
      </c>
    </row>
    <row r="55" spans="1:16" x14ac:dyDescent="0.3">
      <c r="A55" s="2" t="e">
        <f>'Converted Diagram'!$I$91</f>
        <v>#VALUE!</v>
      </c>
      <c r="B55" s="1" t="s">
        <v>31</v>
      </c>
      <c r="C55" s="2">
        <v>0</v>
      </c>
      <c r="I55" s="2" t="s">
        <v>217</v>
      </c>
      <c r="J55" s="2">
        <f>'Converted Diagram'!$H$91</f>
        <v>0</v>
      </c>
      <c r="K55" s="2" t="e">
        <f>'Converted Diagram'!$H$90</f>
        <v>#VALUE!</v>
      </c>
      <c r="L55" s="2" t="s">
        <v>263</v>
      </c>
      <c r="M55" s="2">
        <v>0</v>
      </c>
      <c r="O55" s="2" t="str">
        <f>'Converted Diagram'!$I$90</f>
        <v>Floor</v>
      </c>
      <c r="P55" s="2" t="b">
        <v>0</v>
      </c>
    </row>
    <row r="56" spans="1:16" x14ac:dyDescent="0.3">
      <c r="A56" s="2" t="e">
        <f>'Converted Diagram'!$J$93</f>
        <v>#VALUE!</v>
      </c>
      <c r="B56" s="1" t="s">
        <v>32</v>
      </c>
      <c r="C56" s="2">
        <v>0</v>
      </c>
      <c r="I56" s="2" t="s">
        <v>217</v>
      </c>
      <c r="J56" s="2">
        <f>'Converted Diagram'!$I$93</f>
        <v>0</v>
      </c>
      <c r="K56" s="2" t="e">
        <f>'Converted Diagram'!$I$92</f>
        <v>#VALUE!</v>
      </c>
      <c r="L56" s="2" t="s">
        <v>264</v>
      </c>
      <c r="M56" s="2">
        <v>0</v>
      </c>
      <c r="O56" s="2" t="str">
        <f>'Converted Diagram'!$J$92</f>
        <v>Reduce Commute Time</v>
      </c>
      <c r="P56" s="2" t="b">
        <v>0</v>
      </c>
    </row>
    <row r="57" spans="1:16" x14ac:dyDescent="0.3">
      <c r="A57" s="2" t="e">
        <f>'Converted Diagram'!$K$95</f>
        <v>#VALUE!</v>
      </c>
      <c r="B57" s="1" t="s">
        <v>219</v>
      </c>
      <c r="C57" s="2">
        <v>0</v>
      </c>
      <c r="I57" s="2" t="s">
        <v>217</v>
      </c>
      <c r="J57" s="2">
        <f>'Converted Diagram'!$J$95</f>
        <v>0</v>
      </c>
      <c r="K57" s="2" t="e">
        <f>'Converted Diagram'!$J$94</f>
        <v>#VALUE!</v>
      </c>
      <c r="L57" s="2" t="s">
        <v>265</v>
      </c>
      <c r="M57" s="2">
        <v>0</v>
      </c>
      <c r="O57" s="2" t="str">
        <f>'Converted Diagram'!$K$94</f>
        <v>Reduce overall rent</v>
      </c>
      <c r="P57" s="2" t="b">
        <v>0</v>
      </c>
    </row>
    <row r="58" spans="1:16" x14ac:dyDescent="0.3">
      <c r="A58" s="2" t="e">
        <f>'Converted Diagram'!$L$97</f>
        <v>#VALUE!</v>
      </c>
      <c r="B58" s="1" t="s">
        <v>219</v>
      </c>
      <c r="C58" s="2">
        <v>0</v>
      </c>
      <c r="I58" s="2" t="s">
        <v>217</v>
      </c>
      <c r="J58" s="2">
        <f>'Converted Diagram'!$K$97</f>
        <v>0</v>
      </c>
      <c r="K58" s="2" t="e">
        <f>'Converted Diagram'!$K$96</f>
        <v>#VALUE!</v>
      </c>
      <c r="L58" s="2" t="s">
        <v>266</v>
      </c>
      <c r="M58" s="2">
        <v>0</v>
      </c>
      <c r="O58" s="2" t="str">
        <f>'Converted Diagram'!$L$96</f>
        <v>Increase Overall Convenience</v>
      </c>
      <c r="P58" s="2" t="b">
        <v>0</v>
      </c>
    </row>
    <row r="59" spans="1:16" x14ac:dyDescent="0.3">
      <c r="A59" s="2" t="e">
        <f>'Converted Diagram'!$M$99</f>
        <v>#VALUE!</v>
      </c>
      <c r="B59" s="1" t="s">
        <v>219</v>
      </c>
      <c r="C59" s="2">
        <v>0</v>
      </c>
      <c r="I59" s="2" t="e">
        <v>#VALUE!</v>
      </c>
      <c r="J59" s="2">
        <f>'Converted Diagram'!$L$99</f>
        <v>0</v>
      </c>
      <c r="K59" s="2" t="e">
        <f>'Converted Diagram'!$L$98</f>
        <v>#VALUE!</v>
      </c>
      <c r="L59" s="2" t="s">
        <v>267</v>
      </c>
      <c r="M59" s="2">
        <v>0</v>
      </c>
      <c r="P59" s="2" t="b">
        <v>0</v>
      </c>
    </row>
    <row r="60" spans="1:16" x14ac:dyDescent="0.3">
      <c r="A60" s="2" t="e">
        <f>'Converted Diagram'!$H$101</f>
        <v>#VALUE!</v>
      </c>
      <c r="B60" s="1" t="s">
        <v>31</v>
      </c>
      <c r="C60" s="2">
        <v>0</v>
      </c>
      <c r="I60" s="2" t="s">
        <v>217</v>
      </c>
      <c r="J60" s="2">
        <f>'Converted Diagram'!$G$101</f>
        <v>0</v>
      </c>
      <c r="K60" s="2" t="e">
        <f>'Converted Diagram'!$G$100</f>
        <v>#VALUE!</v>
      </c>
      <c r="L60" s="2" t="s">
        <v>268</v>
      </c>
      <c r="M60" s="2">
        <v>0</v>
      </c>
      <c r="O60" s="2" t="str">
        <f>'Converted Diagram'!$H$100</f>
        <v>Wi-Fi &amp; Cable Ready</v>
      </c>
      <c r="P60" s="2" t="b">
        <v>0</v>
      </c>
    </row>
    <row r="61" spans="1:16" x14ac:dyDescent="0.3">
      <c r="A61" s="2" t="e">
        <f>'Converted Diagram'!$J$103</f>
        <v>#VALUE!</v>
      </c>
      <c r="B61" s="1" t="s">
        <v>31</v>
      </c>
      <c r="C61" s="2">
        <v>0</v>
      </c>
      <c r="I61" s="2" t="s">
        <v>217</v>
      </c>
      <c r="J61" s="2">
        <f>'Converted Diagram'!$I$103</f>
        <v>0</v>
      </c>
      <c r="K61" s="2" t="e">
        <f>'Converted Diagram'!$I$102</f>
        <v>#VALUE!</v>
      </c>
      <c r="L61" s="2" t="s">
        <v>269</v>
      </c>
      <c r="M61" s="2">
        <v>0</v>
      </c>
      <c r="O61" s="2" t="str">
        <f>'Converted Diagram'!$J$102</f>
        <v>Reduce Commute Time</v>
      </c>
      <c r="P61" s="2" t="b">
        <v>0</v>
      </c>
    </row>
    <row r="62" spans="1:16" x14ac:dyDescent="0.3">
      <c r="A62" s="2" t="e">
        <f>'Converted Diagram'!$K$105</f>
        <v>#VALUE!</v>
      </c>
      <c r="B62" s="1" t="s">
        <v>219</v>
      </c>
      <c r="C62" s="2">
        <v>0</v>
      </c>
      <c r="I62" s="2" t="s">
        <v>217</v>
      </c>
      <c r="J62" s="2">
        <f>'Converted Diagram'!$J$105</f>
        <v>0</v>
      </c>
      <c r="K62" s="2" t="e">
        <f>'Converted Diagram'!$J$104</f>
        <v>#VALUE!</v>
      </c>
      <c r="L62" s="2" t="s">
        <v>270</v>
      </c>
      <c r="M62" s="2">
        <v>0</v>
      </c>
      <c r="O62" s="2" t="str">
        <f>'Converted Diagram'!$K$104</f>
        <v>Reduce overall rent</v>
      </c>
      <c r="P62" s="2" t="b">
        <v>0</v>
      </c>
    </row>
    <row r="63" spans="1:16" x14ac:dyDescent="0.3">
      <c r="A63" s="2" t="e">
        <f>'Converted Diagram'!$L$107</f>
        <v>#VALUE!</v>
      </c>
      <c r="B63" s="1" t="s">
        <v>219</v>
      </c>
      <c r="C63" s="2">
        <v>0</v>
      </c>
      <c r="I63" s="2" t="s">
        <v>217</v>
      </c>
      <c r="J63" s="2">
        <f>'Converted Diagram'!$K$107</f>
        <v>0</v>
      </c>
      <c r="K63" s="2" t="e">
        <f>'Converted Diagram'!$K$106</f>
        <v>#VALUE!</v>
      </c>
      <c r="L63" s="2" t="s">
        <v>271</v>
      </c>
      <c r="M63" s="2">
        <v>0</v>
      </c>
      <c r="O63" s="2" t="str">
        <f>'Converted Diagram'!$L$106</f>
        <v>Increase Overall Convenience</v>
      </c>
      <c r="P63" s="2" t="b">
        <v>0</v>
      </c>
    </row>
    <row r="64" spans="1:16" x14ac:dyDescent="0.3">
      <c r="A64" s="2" t="e">
        <f>'Converted Diagram'!$M$109</f>
        <v>#VALUE!</v>
      </c>
      <c r="B64" s="1" t="s">
        <v>219</v>
      </c>
      <c r="C64" s="2">
        <v>0</v>
      </c>
      <c r="I64" s="2" t="e">
        <v>#VALUE!</v>
      </c>
      <c r="J64" s="2">
        <f>'Converted Diagram'!$L$109</f>
        <v>0</v>
      </c>
      <c r="K64" s="2" t="e">
        <f>'Converted Diagram'!$L$108</f>
        <v>#VALUE!</v>
      </c>
      <c r="L64" s="2" t="s">
        <v>272</v>
      </c>
      <c r="M64" s="2">
        <v>0</v>
      </c>
      <c r="P64" s="2" t="b">
        <v>0</v>
      </c>
    </row>
    <row r="65" spans="1:16" x14ac:dyDescent="0.3">
      <c r="A65" s="2" t="e">
        <f>'Converted Diagram'!$I$111</f>
        <v>#VALUE!</v>
      </c>
      <c r="B65" s="1" t="s">
        <v>32</v>
      </c>
      <c r="C65" s="2">
        <v>0</v>
      </c>
      <c r="I65" s="2" t="s">
        <v>217</v>
      </c>
      <c r="J65" s="2">
        <f>'Converted Diagram'!$H$111</f>
        <v>0</v>
      </c>
      <c r="K65" s="2" t="e">
        <f>'Converted Diagram'!$H$110</f>
        <v>#VALUE!</v>
      </c>
      <c r="L65" s="2" t="s">
        <v>273</v>
      </c>
      <c r="M65" s="2">
        <v>0</v>
      </c>
      <c r="O65" s="2" t="str">
        <f>'Converted Diagram'!$I$110</f>
        <v>Floor</v>
      </c>
      <c r="P65" s="2" t="b">
        <v>0</v>
      </c>
    </row>
    <row r="66" spans="1:16" x14ac:dyDescent="0.3">
      <c r="A66" s="2" t="e">
        <f>'Converted Diagram'!$J$113</f>
        <v>#VALUE!</v>
      </c>
      <c r="B66" s="1" t="s">
        <v>32</v>
      </c>
      <c r="C66" s="2">
        <v>0</v>
      </c>
      <c r="I66" s="2" t="s">
        <v>217</v>
      </c>
      <c r="J66" s="2">
        <f>'Converted Diagram'!$I$113</f>
        <v>0</v>
      </c>
      <c r="K66" s="2" t="e">
        <f>'Converted Diagram'!$I$112</f>
        <v>#VALUE!</v>
      </c>
      <c r="L66" s="2" t="s">
        <v>274</v>
      </c>
      <c r="M66" s="2">
        <v>0</v>
      </c>
      <c r="O66" s="2" t="str">
        <f>'Converted Diagram'!$J$112</f>
        <v>Reduce Commute Time</v>
      </c>
      <c r="P66" s="2" t="b">
        <v>0</v>
      </c>
    </row>
    <row r="67" spans="1:16" x14ac:dyDescent="0.3">
      <c r="A67" s="2" t="e">
        <f>'Converted Diagram'!$K$115</f>
        <v>#VALUE!</v>
      </c>
      <c r="B67" s="1" t="s">
        <v>219</v>
      </c>
      <c r="C67" s="2">
        <v>0</v>
      </c>
      <c r="I67" s="2" t="s">
        <v>217</v>
      </c>
      <c r="J67" s="2">
        <f>'Converted Diagram'!$J$115</f>
        <v>0</v>
      </c>
      <c r="K67" s="2" t="e">
        <f>'Converted Diagram'!$J$114</f>
        <v>#VALUE!</v>
      </c>
      <c r="L67" s="2" t="s">
        <v>275</v>
      </c>
      <c r="M67" s="2">
        <v>0</v>
      </c>
      <c r="O67" s="2" t="str">
        <f>'Converted Diagram'!$K$114</f>
        <v>Reduce overall rent</v>
      </c>
      <c r="P67" s="2" t="b">
        <v>0</v>
      </c>
    </row>
    <row r="68" spans="1:16" x14ac:dyDescent="0.3">
      <c r="A68" s="2" t="e">
        <f>'Converted Diagram'!$L$117</f>
        <v>#VALUE!</v>
      </c>
      <c r="B68" s="1" t="s">
        <v>219</v>
      </c>
      <c r="C68" s="2">
        <v>0</v>
      </c>
      <c r="I68" s="2" t="s">
        <v>217</v>
      </c>
      <c r="J68" s="2">
        <f>'Converted Diagram'!$K$117</f>
        <v>0</v>
      </c>
      <c r="K68" s="2" t="e">
        <f>'Converted Diagram'!$K$116</f>
        <v>#VALUE!</v>
      </c>
      <c r="L68" s="2" t="s">
        <v>276</v>
      </c>
      <c r="M68" s="2">
        <v>0</v>
      </c>
      <c r="O68" s="2" t="str">
        <f>'Converted Diagram'!$L$116</f>
        <v>Increase Overall Convenience</v>
      </c>
      <c r="P68" s="2" t="b">
        <v>0</v>
      </c>
    </row>
    <row r="69" spans="1:16" x14ac:dyDescent="0.3">
      <c r="A69" s="2" t="e">
        <f>'Converted Diagram'!$M$119</f>
        <v>#VALUE!</v>
      </c>
      <c r="B69" s="1" t="s">
        <v>219</v>
      </c>
      <c r="C69" s="2">
        <v>0</v>
      </c>
      <c r="I69" s="2" t="e">
        <v>#VALUE!</v>
      </c>
      <c r="J69" s="2">
        <f>'Converted Diagram'!$L$119</f>
        <v>0</v>
      </c>
      <c r="K69" s="2" t="e">
        <f>'Converted Diagram'!$L$118</f>
        <v>#VALUE!</v>
      </c>
      <c r="L69" s="2" t="s">
        <v>277</v>
      </c>
      <c r="M69" s="2">
        <v>0</v>
      </c>
      <c r="P69" s="2" t="b">
        <v>0</v>
      </c>
    </row>
    <row r="70" spans="1:16" x14ac:dyDescent="0.3">
      <c r="A70" s="2" t="e">
        <f>'Converted Diagram'!$G$121</f>
        <v>#VALUE!</v>
      </c>
      <c r="B70" s="1" t="s">
        <v>32</v>
      </c>
      <c r="C70" s="2">
        <v>0</v>
      </c>
      <c r="I70" s="2" t="s">
        <v>217</v>
      </c>
      <c r="J70" s="2">
        <f>'Converted Diagram'!$F$121</f>
        <v>0</v>
      </c>
      <c r="K70" s="2" t="e">
        <f>'Converted Diagram'!$F$120</f>
        <v>#VALUE!</v>
      </c>
      <c r="L70" s="2" t="s">
        <v>278</v>
      </c>
      <c r="M70" s="2">
        <v>0</v>
      </c>
      <c r="O70" s="2" t="str">
        <f>'Converted Diagram'!$G$120</f>
        <v>Grocery Store</v>
      </c>
      <c r="P70" s="2" t="b">
        <v>0</v>
      </c>
    </row>
    <row r="71" spans="1:16" x14ac:dyDescent="0.3">
      <c r="A71" s="2" t="e">
        <f>'Converted Diagram'!$J$123</f>
        <v>#VALUE!</v>
      </c>
      <c r="B71" s="1" t="s">
        <v>31</v>
      </c>
      <c r="C71" s="2">
        <v>0</v>
      </c>
      <c r="I71" s="2" t="s">
        <v>217</v>
      </c>
      <c r="J71" s="2">
        <f>'Converted Diagram'!$I$123</f>
        <v>0</v>
      </c>
      <c r="K71" s="2" t="e">
        <f>'Converted Diagram'!$I$122</f>
        <v>#VALUE!</v>
      </c>
      <c r="L71" s="2" t="s">
        <v>279</v>
      </c>
      <c r="M71" s="2">
        <v>0</v>
      </c>
      <c r="O71" s="2" t="str">
        <f>'Converted Diagram'!$J$122</f>
        <v>Reduce Commute Time</v>
      </c>
      <c r="P71" s="2" t="b">
        <v>0</v>
      </c>
    </row>
    <row r="72" spans="1:16" x14ac:dyDescent="0.3">
      <c r="A72" s="2" t="e">
        <f>'Converted Diagram'!$K$125</f>
        <v>#VALUE!</v>
      </c>
      <c r="B72" s="1" t="s">
        <v>219</v>
      </c>
      <c r="C72" s="2">
        <v>0</v>
      </c>
      <c r="I72" s="2" t="s">
        <v>217</v>
      </c>
      <c r="J72" s="2">
        <f>'Converted Diagram'!$J$125</f>
        <v>0</v>
      </c>
      <c r="K72" s="2" t="e">
        <f>'Converted Diagram'!$J$124</f>
        <v>#VALUE!</v>
      </c>
      <c r="L72" s="2" t="s">
        <v>280</v>
      </c>
      <c r="M72" s="2">
        <v>0</v>
      </c>
      <c r="O72" s="2" t="str">
        <f>'Converted Diagram'!$K$124</f>
        <v>Reduce overall rent</v>
      </c>
      <c r="P72" s="2" t="b">
        <v>0</v>
      </c>
    </row>
    <row r="73" spans="1:16" x14ac:dyDescent="0.3">
      <c r="A73" s="2" t="e">
        <f>'Converted Diagram'!$L$127</f>
        <v>#VALUE!</v>
      </c>
      <c r="B73" s="1" t="s">
        <v>219</v>
      </c>
      <c r="C73" s="2">
        <v>0</v>
      </c>
      <c r="I73" s="2" t="s">
        <v>217</v>
      </c>
      <c r="J73" s="2">
        <f>'Converted Diagram'!$K$127</f>
        <v>0</v>
      </c>
      <c r="K73" s="2" t="e">
        <f>'Converted Diagram'!$K$126</f>
        <v>#VALUE!</v>
      </c>
      <c r="L73" s="2" t="s">
        <v>281</v>
      </c>
      <c r="M73" s="2">
        <v>0</v>
      </c>
      <c r="O73" s="2" t="str">
        <f>'Converted Diagram'!$L$126</f>
        <v>Increase Overall Convenience</v>
      </c>
      <c r="P73" s="2" t="b">
        <v>0</v>
      </c>
    </row>
    <row r="74" spans="1:16" x14ac:dyDescent="0.3">
      <c r="A74" s="2" t="e">
        <f>'Converted Diagram'!$M$129</f>
        <v>#VALUE!</v>
      </c>
      <c r="B74" s="1" t="s">
        <v>219</v>
      </c>
      <c r="C74" s="2">
        <v>0</v>
      </c>
      <c r="I74" s="2" t="e">
        <v>#VALUE!</v>
      </c>
      <c r="J74" s="2">
        <f>'Converted Diagram'!$L$129</f>
        <v>0</v>
      </c>
      <c r="K74" s="2" t="e">
        <f>'Converted Diagram'!$L$128</f>
        <v>#VALUE!</v>
      </c>
      <c r="L74" s="2" t="s">
        <v>282</v>
      </c>
      <c r="M74" s="2">
        <v>0</v>
      </c>
      <c r="P74" s="2" t="b">
        <v>0</v>
      </c>
    </row>
    <row r="75" spans="1:16" x14ac:dyDescent="0.3">
      <c r="A75" s="2" t="e">
        <f>'Converted Diagram'!$I$131</f>
        <v>#VALUE!</v>
      </c>
      <c r="B75" s="1" t="s">
        <v>31</v>
      </c>
      <c r="C75" s="2">
        <v>0</v>
      </c>
      <c r="I75" s="2" t="s">
        <v>217</v>
      </c>
      <c r="J75" s="2">
        <f>'Converted Diagram'!$H$131</f>
        <v>0</v>
      </c>
      <c r="K75" s="2" t="e">
        <f>'Converted Diagram'!$H$130</f>
        <v>#VALUE!</v>
      </c>
      <c r="L75" s="2" t="s">
        <v>283</v>
      </c>
      <c r="M75" s="2">
        <v>0</v>
      </c>
      <c r="O75" s="2" t="str">
        <f>'Converted Diagram'!$I$130</f>
        <v>Floor</v>
      </c>
      <c r="P75" s="2" t="b">
        <v>0</v>
      </c>
    </row>
    <row r="76" spans="1:16" x14ac:dyDescent="0.3">
      <c r="A76" s="2" t="e">
        <f>'Converted Diagram'!$J$133</f>
        <v>#VALUE!</v>
      </c>
      <c r="B76" s="1" t="s">
        <v>32</v>
      </c>
      <c r="C76" s="2">
        <v>0</v>
      </c>
      <c r="I76" s="2" t="s">
        <v>217</v>
      </c>
      <c r="J76" s="2">
        <f>'Converted Diagram'!$I$133</f>
        <v>0</v>
      </c>
      <c r="K76" s="2" t="e">
        <f>'Converted Diagram'!$I$132</f>
        <v>#VALUE!</v>
      </c>
      <c r="L76" s="2" t="s">
        <v>284</v>
      </c>
      <c r="M76" s="2">
        <v>0</v>
      </c>
      <c r="O76" s="2" t="str">
        <f>'Converted Diagram'!$J$132</f>
        <v>Reduce Commute Time</v>
      </c>
      <c r="P76" s="2" t="b">
        <v>0</v>
      </c>
    </row>
    <row r="77" spans="1:16" x14ac:dyDescent="0.3">
      <c r="A77" s="2" t="e">
        <f>'Converted Diagram'!$K$135</f>
        <v>#VALUE!</v>
      </c>
      <c r="B77" s="1" t="s">
        <v>219</v>
      </c>
      <c r="C77" s="2">
        <v>0</v>
      </c>
      <c r="I77" s="2" t="s">
        <v>217</v>
      </c>
      <c r="J77" s="2">
        <f>'Converted Diagram'!$J$135</f>
        <v>0</v>
      </c>
      <c r="K77" s="2" t="e">
        <f>'Converted Diagram'!$J$134</f>
        <v>#VALUE!</v>
      </c>
      <c r="L77" s="2" t="s">
        <v>285</v>
      </c>
      <c r="M77" s="2">
        <v>0</v>
      </c>
      <c r="O77" s="2" t="str">
        <f>'Converted Diagram'!$K$134</f>
        <v>Reduce overall rent</v>
      </c>
      <c r="P77" s="2" t="b">
        <v>0</v>
      </c>
    </row>
    <row r="78" spans="1:16" x14ac:dyDescent="0.3">
      <c r="A78" s="2" t="e">
        <f>'Converted Diagram'!$L$137</f>
        <v>#VALUE!</v>
      </c>
      <c r="B78" s="1" t="s">
        <v>219</v>
      </c>
      <c r="C78" s="2">
        <v>0</v>
      </c>
      <c r="I78" s="2" t="s">
        <v>217</v>
      </c>
      <c r="J78" s="2">
        <f>'Converted Diagram'!$K$137</f>
        <v>0</v>
      </c>
      <c r="K78" s="2" t="e">
        <f>'Converted Diagram'!$K$136</f>
        <v>#VALUE!</v>
      </c>
      <c r="L78" s="2" t="s">
        <v>286</v>
      </c>
      <c r="M78" s="2">
        <v>0</v>
      </c>
      <c r="O78" s="2" t="str">
        <f>'Converted Diagram'!$L$136</f>
        <v>Increase Overall Convenience</v>
      </c>
      <c r="P78" s="2" t="b">
        <v>0</v>
      </c>
    </row>
    <row r="79" spans="1:16" x14ac:dyDescent="0.3">
      <c r="A79" s="2" t="e">
        <f>'Converted Diagram'!$M$139</f>
        <v>#VALUE!</v>
      </c>
      <c r="B79" s="1" t="s">
        <v>219</v>
      </c>
      <c r="C79" s="2">
        <v>0</v>
      </c>
      <c r="I79" s="2" t="e">
        <v>#VALUE!</v>
      </c>
      <c r="J79" s="2">
        <f>'Converted Diagram'!$L$139</f>
        <v>0</v>
      </c>
      <c r="K79" s="2" t="e">
        <f>'Converted Diagram'!$L$138</f>
        <v>#VALUE!</v>
      </c>
      <c r="L79" s="2" t="s">
        <v>287</v>
      </c>
      <c r="M79" s="2">
        <v>0</v>
      </c>
      <c r="P79" s="2" t="b">
        <v>0</v>
      </c>
    </row>
    <row r="80" spans="1:16" x14ac:dyDescent="0.3">
      <c r="A80" s="2" t="e">
        <f>'Converted Diagram'!$H$141</f>
        <v>#VALUE!</v>
      </c>
      <c r="B80" s="1" t="s">
        <v>32</v>
      </c>
      <c r="C80" s="2">
        <v>0</v>
      </c>
      <c r="I80" s="2" t="s">
        <v>217</v>
      </c>
      <c r="J80" s="2">
        <f>'Converted Diagram'!$G$141</f>
        <v>0</v>
      </c>
      <c r="K80" s="2" t="e">
        <f>'Converted Diagram'!$G$140</f>
        <v>#VALUE!</v>
      </c>
      <c r="L80" s="2" t="s">
        <v>288</v>
      </c>
      <c r="M80" s="2">
        <v>0</v>
      </c>
      <c r="O80" s="2" t="str">
        <f>'Converted Diagram'!$H$140</f>
        <v>Wi-Fi &amp; Cable Ready</v>
      </c>
      <c r="P80" s="2" t="b">
        <v>0</v>
      </c>
    </row>
    <row r="81" spans="1:16" x14ac:dyDescent="0.3">
      <c r="A81" s="2" t="e">
        <f>'Converted Diagram'!$J$143</f>
        <v>#VALUE!</v>
      </c>
      <c r="B81" s="1" t="s">
        <v>31</v>
      </c>
      <c r="C81" s="2">
        <v>0</v>
      </c>
      <c r="I81" s="2" t="s">
        <v>217</v>
      </c>
      <c r="J81" s="2">
        <f>'Converted Diagram'!$I$143</f>
        <v>0</v>
      </c>
      <c r="K81" s="2" t="e">
        <f>'Converted Diagram'!$I$142</f>
        <v>#VALUE!</v>
      </c>
      <c r="L81" s="2" t="s">
        <v>289</v>
      </c>
      <c r="M81" s="2">
        <v>0</v>
      </c>
      <c r="O81" s="2" t="str">
        <f>'Converted Diagram'!$J$142</f>
        <v>Reduce Commute Time</v>
      </c>
      <c r="P81" s="2" t="b">
        <v>0</v>
      </c>
    </row>
    <row r="82" spans="1:16" x14ac:dyDescent="0.3">
      <c r="A82" s="2" t="e">
        <f>'Converted Diagram'!$K$145</f>
        <v>#VALUE!</v>
      </c>
      <c r="B82" s="1" t="s">
        <v>219</v>
      </c>
      <c r="C82" s="2">
        <v>0</v>
      </c>
      <c r="I82" s="2" t="s">
        <v>217</v>
      </c>
      <c r="J82" s="2">
        <f>'Converted Diagram'!$J$145</f>
        <v>0</v>
      </c>
      <c r="K82" s="2" t="e">
        <f>'Converted Diagram'!$J$144</f>
        <v>#VALUE!</v>
      </c>
      <c r="L82" s="2" t="s">
        <v>290</v>
      </c>
      <c r="M82" s="2">
        <v>0</v>
      </c>
      <c r="O82" s="2" t="str">
        <f>'Converted Diagram'!$K$144</f>
        <v>Reduce overall rent</v>
      </c>
      <c r="P82" s="2" t="b">
        <v>0</v>
      </c>
    </row>
    <row r="83" spans="1:16" x14ac:dyDescent="0.3">
      <c r="A83" s="2" t="e">
        <f>'Converted Diagram'!$L$147</f>
        <v>#VALUE!</v>
      </c>
      <c r="B83" s="1" t="s">
        <v>219</v>
      </c>
      <c r="C83" s="2">
        <v>0</v>
      </c>
      <c r="I83" s="2" t="s">
        <v>217</v>
      </c>
      <c r="J83" s="2">
        <f>'Converted Diagram'!$K$147</f>
        <v>0</v>
      </c>
      <c r="K83" s="2" t="e">
        <f>'Converted Diagram'!$K$146</f>
        <v>#VALUE!</v>
      </c>
      <c r="L83" s="2" t="s">
        <v>291</v>
      </c>
      <c r="M83" s="2">
        <v>0</v>
      </c>
      <c r="O83" s="2" t="str">
        <f>'Converted Diagram'!$L$146</f>
        <v>Increase Overall Convenience</v>
      </c>
      <c r="P83" s="2" t="b">
        <v>0</v>
      </c>
    </row>
    <row r="84" spans="1:16" x14ac:dyDescent="0.3">
      <c r="A84" s="2" t="e">
        <f>'Converted Diagram'!$M$149</f>
        <v>#VALUE!</v>
      </c>
      <c r="B84" s="1" t="s">
        <v>219</v>
      </c>
      <c r="C84" s="2">
        <v>0</v>
      </c>
      <c r="I84" s="2" t="e">
        <v>#VALUE!</v>
      </c>
      <c r="J84" s="2">
        <f>'Converted Diagram'!$L$149</f>
        <v>0</v>
      </c>
      <c r="K84" s="2" t="e">
        <f>'Converted Diagram'!$L$148</f>
        <v>#VALUE!</v>
      </c>
      <c r="L84" s="2" t="s">
        <v>292</v>
      </c>
      <c r="M84" s="2">
        <v>0</v>
      </c>
      <c r="P84" s="2" t="b">
        <v>0</v>
      </c>
    </row>
    <row r="85" spans="1:16" x14ac:dyDescent="0.3">
      <c r="A85" s="2" t="e">
        <f>'Converted Diagram'!$I$151</f>
        <v>#VALUE!</v>
      </c>
      <c r="B85" s="1" t="s">
        <v>32</v>
      </c>
      <c r="C85" s="2">
        <v>0</v>
      </c>
      <c r="I85" s="2" t="s">
        <v>217</v>
      </c>
      <c r="J85" s="2">
        <f>'Converted Diagram'!$H$151</f>
        <v>0</v>
      </c>
      <c r="K85" s="2" t="e">
        <f>'Converted Diagram'!$H$150</f>
        <v>#VALUE!</v>
      </c>
      <c r="L85" s="2" t="s">
        <v>293</v>
      </c>
      <c r="M85" s="2">
        <v>0</v>
      </c>
      <c r="O85" s="2" t="str">
        <f>'Converted Diagram'!$I$150</f>
        <v>Floor</v>
      </c>
      <c r="P85" s="2" t="b">
        <v>0</v>
      </c>
    </row>
    <row r="86" spans="1:16" x14ac:dyDescent="0.3">
      <c r="A86" s="2" t="e">
        <f>'Converted Diagram'!$J$153</f>
        <v>#VALUE!</v>
      </c>
      <c r="B86" s="1" t="s">
        <v>32</v>
      </c>
      <c r="C86" s="2">
        <v>0</v>
      </c>
      <c r="I86" s="2" t="s">
        <v>217</v>
      </c>
      <c r="J86" s="2">
        <f>'Converted Diagram'!$I$153</f>
        <v>0</v>
      </c>
      <c r="K86" s="2" t="e">
        <f>'Converted Diagram'!$I$152</f>
        <v>#VALUE!</v>
      </c>
      <c r="L86" s="2" t="s">
        <v>294</v>
      </c>
      <c r="M86" s="2">
        <v>0</v>
      </c>
      <c r="O86" s="2" t="str">
        <f>'Converted Diagram'!$J$152</f>
        <v>Reduce Commute Time</v>
      </c>
      <c r="P86" s="2" t="b">
        <v>0</v>
      </c>
    </row>
    <row r="87" spans="1:16" x14ac:dyDescent="0.3">
      <c r="A87" s="2" t="e">
        <f>'Converted Diagram'!$K$155</f>
        <v>#VALUE!</v>
      </c>
      <c r="B87" s="1" t="s">
        <v>219</v>
      </c>
      <c r="C87" s="2">
        <v>0</v>
      </c>
      <c r="I87" s="2" t="s">
        <v>217</v>
      </c>
      <c r="J87" s="2">
        <f>'Converted Diagram'!$J$155</f>
        <v>0</v>
      </c>
      <c r="K87" s="2" t="e">
        <f>'Converted Diagram'!$J$154</f>
        <v>#VALUE!</v>
      </c>
      <c r="L87" s="2" t="s">
        <v>295</v>
      </c>
      <c r="M87" s="2">
        <v>0</v>
      </c>
      <c r="O87" s="2" t="str">
        <f>'Converted Diagram'!$K$154</f>
        <v>Reduce overall rent</v>
      </c>
      <c r="P87" s="2" t="b">
        <v>0</v>
      </c>
    </row>
    <row r="88" spans="1:16" x14ac:dyDescent="0.3">
      <c r="A88" s="2" t="e">
        <f>'Converted Diagram'!$L$157</f>
        <v>#VALUE!</v>
      </c>
      <c r="B88" s="1" t="s">
        <v>219</v>
      </c>
      <c r="C88" s="2">
        <v>0</v>
      </c>
      <c r="I88" s="2" t="s">
        <v>217</v>
      </c>
      <c r="J88" s="2">
        <f>'Converted Diagram'!$K$157</f>
        <v>0</v>
      </c>
      <c r="K88" s="2" t="e">
        <f>'Converted Diagram'!$K$156</f>
        <v>#VALUE!</v>
      </c>
      <c r="L88" s="2" t="s">
        <v>296</v>
      </c>
      <c r="M88" s="2">
        <v>0</v>
      </c>
      <c r="O88" s="2" t="str">
        <f>'Converted Diagram'!$L$156</f>
        <v>Increase Overall Convenience</v>
      </c>
      <c r="P88" s="2" t="b">
        <v>0</v>
      </c>
    </row>
    <row r="89" spans="1:16" x14ac:dyDescent="0.3">
      <c r="A89" s="2" t="e">
        <f>'Converted Diagram'!$M$159</f>
        <v>#VALUE!</v>
      </c>
      <c r="B89" s="1" t="s">
        <v>219</v>
      </c>
      <c r="C89" s="2">
        <v>0</v>
      </c>
      <c r="I89" s="2" t="e">
        <v>#VALUE!</v>
      </c>
      <c r="J89" s="2">
        <f>'Converted Diagram'!$L$159</f>
        <v>0</v>
      </c>
      <c r="K89" s="2" t="e">
        <f>'Converted Diagram'!$L$158</f>
        <v>#VALUE!</v>
      </c>
      <c r="L89" s="2" t="s">
        <v>297</v>
      </c>
      <c r="M89" s="2">
        <v>0</v>
      </c>
      <c r="P89" s="2" t="b">
        <v>0</v>
      </c>
    </row>
    <row r="90" spans="1:16" x14ac:dyDescent="0.3">
      <c r="A90" s="2" t="e">
        <f>'Converted Diagram'!$E$161</f>
        <v>#VALUE!</v>
      </c>
      <c r="B90" s="1" t="s">
        <v>31</v>
      </c>
      <c r="C90" s="2">
        <v>0</v>
      </c>
      <c r="I90" s="2" t="s">
        <v>217</v>
      </c>
      <c r="J90" s="2">
        <f>'Converted Diagram'!$D$161</f>
        <v>0</v>
      </c>
      <c r="L90" s="2" t="s">
        <v>298</v>
      </c>
      <c r="M90" s="2">
        <v>0</v>
      </c>
      <c r="O90" s="2" t="str">
        <f>'Converted Diagram'!$E$160</f>
        <v>Nearest Transportation Station</v>
      </c>
      <c r="P90" s="2" t="b">
        <v>0</v>
      </c>
    </row>
    <row r="91" spans="1:16" x14ac:dyDescent="0.3">
      <c r="A91" s="2" t="e">
        <f>'Converted Diagram'!$J$163</f>
        <v>#VALUE!</v>
      </c>
      <c r="B91" s="1" t="s">
        <v>31</v>
      </c>
      <c r="C91" s="2">
        <v>0</v>
      </c>
      <c r="I91" s="2" t="s">
        <v>217</v>
      </c>
      <c r="J91" s="2">
        <f>'Converted Diagram'!$I$163</f>
        <v>0</v>
      </c>
      <c r="K91" s="2" t="e">
        <f>'Converted Diagram'!$I$162</f>
        <v>#VALUE!</v>
      </c>
      <c r="L91" s="2" t="s">
        <v>299</v>
      </c>
      <c r="M91" s="2">
        <v>0</v>
      </c>
      <c r="O91" s="2" t="str">
        <f>'Converted Diagram'!$J$162</f>
        <v>Reduce Commute Time</v>
      </c>
      <c r="P91" s="2" t="b">
        <v>0</v>
      </c>
    </row>
    <row r="92" spans="1:16" x14ac:dyDescent="0.3">
      <c r="A92" s="2" t="e">
        <f>'Converted Diagram'!$K$165</f>
        <v>#VALUE!</v>
      </c>
      <c r="B92" s="1" t="s">
        <v>219</v>
      </c>
      <c r="C92" s="2">
        <v>0</v>
      </c>
      <c r="I92" s="2" t="s">
        <v>217</v>
      </c>
      <c r="J92" s="2">
        <f>'Converted Diagram'!$J$165</f>
        <v>0</v>
      </c>
      <c r="K92" s="2" t="e">
        <f>'Converted Diagram'!$J$164</f>
        <v>#VALUE!</v>
      </c>
      <c r="L92" s="2" t="s">
        <v>300</v>
      </c>
      <c r="M92" s="2">
        <v>0</v>
      </c>
      <c r="O92" s="2" t="str">
        <f>'Converted Diagram'!$K$164</f>
        <v>Reduce overall rent</v>
      </c>
      <c r="P92" s="2" t="b">
        <v>0</v>
      </c>
    </row>
    <row r="93" spans="1:16" x14ac:dyDescent="0.3">
      <c r="A93" s="2" t="e">
        <f>'Converted Diagram'!$L$167</f>
        <v>#VALUE!</v>
      </c>
      <c r="B93" s="1" t="s">
        <v>219</v>
      </c>
      <c r="C93" s="2">
        <v>0</v>
      </c>
      <c r="I93" s="2" t="s">
        <v>217</v>
      </c>
      <c r="J93" s="2">
        <f>'Converted Diagram'!$K$167</f>
        <v>0</v>
      </c>
      <c r="K93" s="2" t="e">
        <f>'Converted Diagram'!$K$166</f>
        <v>#VALUE!</v>
      </c>
      <c r="L93" s="2" t="s">
        <v>301</v>
      </c>
      <c r="M93" s="2">
        <v>0</v>
      </c>
      <c r="O93" s="2" t="str">
        <f>'Converted Diagram'!$L$166</f>
        <v>Increase Overall Convenience</v>
      </c>
      <c r="P93" s="2" t="b">
        <v>0</v>
      </c>
    </row>
    <row r="94" spans="1:16" x14ac:dyDescent="0.3">
      <c r="A94" s="2" t="e">
        <f>'Converted Diagram'!$M$169</f>
        <v>#VALUE!</v>
      </c>
      <c r="B94" s="1" t="s">
        <v>219</v>
      </c>
      <c r="C94" s="2">
        <v>0</v>
      </c>
      <c r="I94" s="2" t="e">
        <v>#VALUE!</v>
      </c>
      <c r="J94" s="2">
        <f>'Converted Diagram'!$L$169</f>
        <v>0</v>
      </c>
      <c r="K94" s="2" t="e">
        <f>'Converted Diagram'!$L$168</f>
        <v>#VALUE!</v>
      </c>
      <c r="L94" s="2" t="s">
        <v>302</v>
      </c>
      <c r="M94" s="2">
        <v>0</v>
      </c>
      <c r="P94" s="2" t="b">
        <v>0</v>
      </c>
    </row>
    <row r="95" spans="1:16" x14ac:dyDescent="0.3">
      <c r="A95" s="2" t="e">
        <f>'Converted Diagram'!$I$171</f>
        <v>#VALUE!</v>
      </c>
      <c r="B95" s="1" t="s">
        <v>31</v>
      </c>
      <c r="C95" s="2">
        <v>0</v>
      </c>
      <c r="I95" s="2" t="s">
        <v>217</v>
      </c>
      <c r="J95" s="2">
        <f>'Converted Diagram'!$H$171</f>
        <v>0</v>
      </c>
      <c r="K95" s="2" t="e">
        <f>'Converted Diagram'!$H$170</f>
        <v>#VALUE!</v>
      </c>
      <c r="L95" s="2" t="s">
        <v>303</v>
      </c>
      <c r="M95" s="2">
        <v>0</v>
      </c>
      <c r="O95" s="2" t="str">
        <f>'Converted Diagram'!$I$170</f>
        <v>Floor</v>
      </c>
      <c r="P95" s="2" t="b">
        <v>0</v>
      </c>
    </row>
    <row r="96" spans="1:16" x14ac:dyDescent="0.3">
      <c r="A96" s="2" t="e">
        <f>'Converted Diagram'!$J$173</f>
        <v>#VALUE!</v>
      </c>
      <c r="B96" s="1" t="s">
        <v>32</v>
      </c>
      <c r="C96" s="2">
        <v>0</v>
      </c>
      <c r="I96" s="2" t="s">
        <v>217</v>
      </c>
      <c r="J96" s="2">
        <f>'Converted Diagram'!$I$173</f>
        <v>0</v>
      </c>
      <c r="K96" s="2" t="e">
        <f>'Converted Diagram'!$I$172</f>
        <v>#VALUE!</v>
      </c>
      <c r="L96" s="2" t="s">
        <v>304</v>
      </c>
      <c r="M96" s="2">
        <v>0</v>
      </c>
      <c r="O96" s="2" t="str">
        <f>'Converted Diagram'!$J$172</f>
        <v>Reduce Commute Time</v>
      </c>
      <c r="P96" s="2" t="b">
        <v>0</v>
      </c>
    </row>
    <row r="97" spans="1:16" x14ac:dyDescent="0.3">
      <c r="A97" s="2" t="e">
        <f>'Converted Diagram'!$K$175</f>
        <v>#VALUE!</v>
      </c>
      <c r="B97" s="1" t="s">
        <v>219</v>
      </c>
      <c r="C97" s="2">
        <v>0</v>
      </c>
      <c r="I97" s="2" t="s">
        <v>217</v>
      </c>
      <c r="J97" s="2">
        <f>'Converted Diagram'!$J$175</f>
        <v>0</v>
      </c>
      <c r="K97" s="2" t="e">
        <f>'Converted Diagram'!$J$174</f>
        <v>#VALUE!</v>
      </c>
      <c r="L97" s="2" t="s">
        <v>305</v>
      </c>
      <c r="M97" s="2">
        <v>0</v>
      </c>
      <c r="O97" s="2" t="str">
        <f>'Converted Diagram'!$K$174</f>
        <v>Reduce overall rent</v>
      </c>
      <c r="P97" s="2" t="b">
        <v>0</v>
      </c>
    </row>
    <row r="98" spans="1:16" x14ac:dyDescent="0.3">
      <c r="A98" s="2" t="e">
        <f>'Converted Diagram'!$L$177</f>
        <v>#VALUE!</v>
      </c>
      <c r="B98" s="1" t="s">
        <v>219</v>
      </c>
      <c r="C98" s="2">
        <v>0</v>
      </c>
      <c r="I98" s="2" t="s">
        <v>217</v>
      </c>
      <c r="J98" s="2">
        <f>'Converted Diagram'!$K$177</f>
        <v>0</v>
      </c>
      <c r="K98" s="2" t="e">
        <f>'Converted Diagram'!$K$176</f>
        <v>#VALUE!</v>
      </c>
      <c r="L98" s="2" t="s">
        <v>306</v>
      </c>
      <c r="M98" s="2">
        <v>0</v>
      </c>
      <c r="O98" s="2" t="str">
        <f>'Converted Diagram'!$L$176</f>
        <v>Increase Overall Convenience</v>
      </c>
      <c r="P98" s="2" t="b">
        <v>0</v>
      </c>
    </row>
    <row r="99" spans="1:16" x14ac:dyDescent="0.3">
      <c r="A99" s="2" t="e">
        <f>'Converted Diagram'!$M$179</f>
        <v>#VALUE!</v>
      </c>
      <c r="B99" s="1" t="s">
        <v>219</v>
      </c>
      <c r="C99" s="2">
        <v>0</v>
      </c>
      <c r="I99" s="2" t="e">
        <v>#VALUE!</v>
      </c>
      <c r="J99" s="2">
        <f>'Converted Diagram'!$L$179</f>
        <v>0</v>
      </c>
      <c r="K99" s="2" t="e">
        <f>'Converted Diagram'!$L$178</f>
        <v>#VALUE!</v>
      </c>
      <c r="L99" s="2" t="s">
        <v>307</v>
      </c>
      <c r="M99" s="2">
        <v>0</v>
      </c>
      <c r="P99" s="2" t="b">
        <v>0</v>
      </c>
    </row>
    <row r="100" spans="1:16" x14ac:dyDescent="0.3">
      <c r="A100" s="2" t="e">
        <f>'Converted Diagram'!$H$181</f>
        <v>#VALUE!</v>
      </c>
      <c r="B100" s="1" t="s">
        <v>31</v>
      </c>
      <c r="C100" s="2">
        <v>0</v>
      </c>
      <c r="I100" s="2" t="s">
        <v>217</v>
      </c>
      <c r="J100" s="2">
        <f>'Converted Diagram'!$G$181</f>
        <v>0</v>
      </c>
      <c r="K100" s="2" t="e">
        <f>'Converted Diagram'!$G$180</f>
        <v>#VALUE!</v>
      </c>
      <c r="L100" s="2" t="s">
        <v>308</v>
      </c>
      <c r="M100" s="2">
        <v>0</v>
      </c>
      <c r="O100" s="2" t="str">
        <f>'Converted Diagram'!$H$180</f>
        <v>Wi-Fi &amp; Cable Ready</v>
      </c>
      <c r="P100" s="2" t="b">
        <v>0</v>
      </c>
    </row>
    <row r="101" spans="1:16" x14ac:dyDescent="0.3">
      <c r="A101" s="2" t="e">
        <f>'Converted Diagram'!$J$183</f>
        <v>#VALUE!</v>
      </c>
      <c r="B101" s="1" t="s">
        <v>31</v>
      </c>
      <c r="C101" s="2">
        <v>0</v>
      </c>
      <c r="I101" s="2" t="s">
        <v>217</v>
      </c>
      <c r="J101" s="2">
        <f>'Converted Diagram'!$I$183</f>
        <v>0</v>
      </c>
      <c r="K101" s="2" t="e">
        <f>'Converted Diagram'!$I$182</f>
        <v>#VALUE!</v>
      </c>
      <c r="L101" s="2" t="s">
        <v>309</v>
      </c>
      <c r="M101" s="2">
        <v>0</v>
      </c>
      <c r="O101" s="2" t="str">
        <f>'Converted Diagram'!$J$182</f>
        <v>Reduce Commute Time</v>
      </c>
      <c r="P101" s="2" t="b">
        <v>0</v>
      </c>
    </row>
    <row r="102" spans="1:16" x14ac:dyDescent="0.3">
      <c r="A102" s="2" t="e">
        <f>'Converted Diagram'!$K$185</f>
        <v>#VALUE!</v>
      </c>
      <c r="B102" s="1" t="s">
        <v>219</v>
      </c>
      <c r="C102" s="2">
        <v>0</v>
      </c>
      <c r="I102" s="2" t="s">
        <v>217</v>
      </c>
      <c r="J102" s="2">
        <f>'Converted Diagram'!$J$185</f>
        <v>0</v>
      </c>
      <c r="K102" s="2" t="e">
        <f>'Converted Diagram'!$J$184</f>
        <v>#VALUE!</v>
      </c>
      <c r="L102" s="2" t="s">
        <v>310</v>
      </c>
      <c r="M102" s="2">
        <v>0</v>
      </c>
      <c r="O102" s="2" t="str">
        <f>'Converted Diagram'!$K$184</f>
        <v>Reduce overall rent</v>
      </c>
      <c r="P102" s="2" t="b">
        <v>0</v>
      </c>
    </row>
    <row r="103" spans="1:16" x14ac:dyDescent="0.3">
      <c r="A103" s="2" t="e">
        <f>'Converted Diagram'!$L$187</f>
        <v>#VALUE!</v>
      </c>
      <c r="B103" s="1" t="s">
        <v>219</v>
      </c>
      <c r="C103" s="2">
        <v>0</v>
      </c>
      <c r="I103" s="2" t="s">
        <v>217</v>
      </c>
      <c r="J103" s="2">
        <f>'Converted Diagram'!$K$187</f>
        <v>0</v>
      </c>
      <c r="K103" s="2" t="e">
        <f>'Converted Diagram'!$K$186</f>
        <v>#VALUE!</v>
      </c>
      <c r="L103" s="2" t="s">
        <v>311</v>
      </c>
      <c r="M103" s="2">
        <v>0</v>
      </c>
      <c r="O103" s="2" t="str">
        <f>'Converted Diagram'!$L$186</f>
        <v>Increase Overall Convenience</v>
      </c>
      <c r="P103" s="2" t="b">
        <v>0</v>
      </c>
    </row>
    <row r="104" spans="1:16" x14ac:dyDescent="0.3">
      <c r="A104" s="2" t="e">
        <f>'Converted Diagram'!$M$189</f>
        <v>#VALUE!</v>
      </c>
      <c r="B104" s="1" t="s">
        <v>219</v>
      </c>
      <c r="C104" s="2">
        <v>0</v>
      </c>
      <c r="I104" s="2" t="e">
        <v>#VALUE!</v>
      </c>
      <c r="J104" s="2">
        <f>'Converted Diagram'!$L$189</f>
        <v>0</v>
      </c>
      <c r="K104" s="2" t="e">
        <f>'Converted Diagram'!$L$188</f>
        <v>#VALUE!</v>
      </c>
      <c r="L104" s="2" t="s">
        <v>312</v>
      </c>
      <c r="M104" s="2">
        <v>0</v>
      </c>
      <c r="P104" s="2" t="b">
        <v>0</v>
      </c>
    </row>
    <row r="105" spans="1:16" x14ac:dyDescent="0.3">
      <c r="A105" s="2" t="e">
        <f>'Converted Diagram'!$I$191</f>
        <v>#VALUE!</v>
      </c>
      <c r="B105" s="1" t="s">
        <v>32</v>
      </c>
      <c r="C105" s="2">
        <v>0</v>
      </c>
      <c r="I105" s="2" t="s">
        <v>217</v>
      </c>
      <c r="J105" s="2">
        <f>'Converted Diagram'!$H$191</f>
        <v>0</v>
      </c>
      <c r="K105" s="2" t="e">
        <f>'Converted Diagram'!$H$190</f>
        <v>#VALUE!</v>
      </c>
      <c r="L105" s="2" t="s">
        <v>313</v>
      </c>
      <c r="M105" s="2">
        <v>0</v>
      </c>
      <c r="O105" s="2" t="str">
        <f>'Converted Diagram'!$I$190</f>
        <v>Floor</v>
      </c>
      <c r="P105" s="2" t="b">
        <v>0</v>
      </c>
    </row>
    <row r="106" spans="1:16" x14ac:dyDescent="0.3">
      <c r="A106" s="2" t="e">
        <f>'Converted Diagram'!$J$193</f>
        <v>#VALUE!</v>
      </c>
      <c r="B106" s="1" t="s">
        <v>32</v>
      </c>
      <c r="C106" s="2">
        <v>0</v>
      </c>
      <c r="I106" s="2" t="s">
        <v>217</v>
      </c>
      <c r="J106" s="2">
        <f>'Converted Diagram'!$I$193</f>
        <v>0</v>
      </c>
      <c r="K106" s="2" t="e">
        <f>'Converted Diagram'!$I$192</f>
        <v>#VALUE!</v>
      </c>
      <c r="L106" s="2" t="s">
        <v>314</v>
      </c>
      <c r="M106" s="2">
        <v>0</v>
      </c>
      <c r="O106" s="2" t="str">
        <f>'Converted Diagram'!$J$192</f>
        <v>Reduce Commute Time</v>
      </c>
      <c r="P106" s="2" t="b">
        <v>0</v>
      </c>
    </row>
    <row r="107" spans="1:16" x14ac:dyDescent="0.3">
      <c r="A107" s="2" t="e">
        <f>'Converted Diagram'!$K$195</f>
        <v>#VALUE!</v>
      </c>
      <c r="B107" s="1" t="s">
        <v>219</v>
      </c>
      <c r="C107" s="2">
        <v>0</v>
      </c>
      <c r="I107" s="2" t="s">
        <v>217</v>
      </c>
      <c r="J107" s="2">
        <f>'Converted Diagram'!$J$195</f>
        <v>0</v>
      </c>
      <c r="K107" s="2" t="e">
        <f>'Converted Diagram'!$J$194</f>
        <v>#VALUE!</v>
      </c>
      <c r="L107" s="2" t="s">
        <v>315</v>
      </c>
      <c r="M107" s="2">
        <v>0</v>
      </c>
      <c r="O107" s="2" t="str">
        <f>'Converted Diagram'!$K$194</f>
        <v>Reduce overall rent</v>
      </c>
      <c r="P107" s="2" t="b">
        <v>0</v>
      </c>
    </row>
    <row r="108" spans="1:16" x14ac:dyDescent="0.3">
      <c r="A108" s="2" t="e">
        <f>'Converted Diagram'!$L$197</f>
        <v>#VALUE!</v>
      </c>
      <c r="B108" s="1" t="s">
        <v>219</v>
      </c>
      <c r="C108" s="2">
        <v>0</v>
      </c>
      <c r="I108" s="2" t="s">
        <v>217</v>
      </c>
      <c r="J108" s="2">
        <f>'Converted Diagram'!$K$197</f>
        <v>0</v>
      </c>
      <c r="K108" s="2" t="e">
        <f>'Converted Diagram'!$K$196</f>
        <v>#VALUE!</v>
      </c>
      <c r="L108" s="2" t="s">
        <v>316</v>
      </c>
      <c r="M108" s="2">
        <v>0</v>
      </c>
      <c r="O108" s="2" t="str">
        <f>'Converted Diagram'!$L$196</f>
        <v>Increase Overall Convenience</v>
      </c>
      <c r="P108" s="2" t="b">
        <v>0</v>
      </c>
    </row>
    <row r="109" spans="1:16" x14ac:dyDescent="0.3">
      <c r="A109" s="2" t="e">
        <f>'Converted Diagram'!$M$199</f>
        <v>#VALUE!</v>
      </c>
      <c r="B109" s="1" t="s">
        <v>219</v>
      </c>
      <c r="C109" s="2">
        <v>0</v>
      </c>
      <c r="I109" s="2" t="e">
        <v>#VALUE!</v>
      </c>
      <c r="J109" s="2">
        <f>'Converted Diagram'!$L$199</f>
        <v>0</v>
      </c>
      <c r="K109" s="2" t="e">
        <f>'Converted Diagram'!$L$198</f>
        <v>#VALUE!</v>
      </c>
      <c r="L109" s="2" t="s">
        <v>317</v>
      </c>
      <c r="M109" s="2">
        <v>0</v>
      </c>
      <c r="P109" s="2" t="b">
        <v>0</v>
      </c>
    </row>
    <row r="110" spans="1:16" x14ac:dyDescent="0.3">
      <c r="A110" s="2" t="e">
        <f>'Converted Diagram'!$G$201</f>
        <v>#VALUE!</v>
      </c>
      <c r="B110" s="1" t="s">
        <v>31</v>
      </c>
      <c r="C110" s="2">
        <v>0</v>
      </c>
      <c r="I110" s="2" t="s">
        <v>217</v>
      </c>
      <c r="J110" s="2">
        <f>'Converted Diagram'!$F$201</f>
        <v>0</v>
      </c>
      <c r="K110" s="2" t="e">
        <f>'Converted Diagram'!$F$200</f>
        <v>#VALUE!</v>
      </c>
      <c r="L110" s="2" t="s">
        <v>318</v>
      </c>
      <c r="M110" s="2">
        <v>0</v>
      </c>
      <c r="O110" s="2" t="str">
        <f>'Converted Diagram'!$G$200</f>
        <v>Grocery Store</v>
      </c>
      <c r="P110" s="2" t="b">
        <v>0</v>
      </c>
    </row>
    <row r="111" spans="1:16" x14ac:dyDescent="0.3">
      <c r="A111" s="2" t="e">
        <f>'Converted Diagram'!$J$203</f>
        <v>#VALUE!</v>
      </c>
      <c r="B111" s="1" t="s">
        <v>31</v>
      </c>
      <c r="C111" s="2">
        <v>0</v>
      </c>
      <c r="I111" s="2" t="s">
        <v>217</v>
      </c>
      <c r="J111" s="2">
        <f>'Converted Diagram'!$I$203</f>
        <v>0</v>
      </c>
      <c r="K111" s="2" t="e">
        <f>'Converted Diagram'!$I$202</f>
        <v>#VALUE!</v>
      </c>
      <c r="L111" s="2" t="s">
        <v>319</v>
      </c>
      <c r="M111" s="2">
        <v>0</v>
      </c>
      <c r="O111" s="2" t="str">
        <f>'Converted Diagram'!$J$202</f>
        <v>Reduce Commute Time</v>
      </c>
      <c r="P111" s="2" t="b">
        <v>0</v>
      </c>
    </row>
    <row r="112" spans="1:16" x14ac:dyDescent="0.3">
      <c r="A112" s="2" t="e">
        <f>'Converted Diagram'!$K$205</f>
        <v>#VALUE!</v>
      </c>
      <c r="B112" s="1" t="s">
        <v>219</v>
      </c>
      <c r="C112" s="2">
        <v>0</v>
      </c>
      <c r="I112" s="2" t="s">
        <v>217</v>
      </c>
      <c r="J112" s="2">
        <f>'Converted Diagram'!$J$205</f>
        <v>0</v>
      </c>
      <c r="K112" s="2" t="e">
        <f>'Converted Diagram'!$J$204</f>
        <v>#VALUE!</v>
      </c>
      <c r="L112" s="2" t="s">
        <v>320</v>
      </c>
      <c r="M112" s="2">
        <v>0</v>
      </c>
      <c r="O112" s="2" t="str">
        <f>'Converted Diagram'!$K$204</f>
        <v>Reduce overall rent</v>
      </c>
      <c r="P112" s="2" t="b">
        <v>0</v>
      </c>
    </row>
    <row r="113" spans="1:16" x14ac:dyDescent="0.3">
      <c r="A113" s="2" t="e">
        <f>'Converted Diagram'!$L$207</f>
        <v>#VALUE!</v>
      </c>
      <c r="B113" s="1" t="s">
        <v>219</v>
      </c>
      <c r="C113" s="2">
        <v>0</v>
      </c>
      <c r="I113" s="2" t="s">
        <v>217</v>
      </c>
      <c r="J113" s="2">
        <f>'Converted Diagram'!$K$207</f>
        <v>0</v>
      </c>
      <c r="K113" s="2" t="e">
        <f>'Converted Diagram'!$K$206</f>
        <v>#VALUE!</v>
      </c>
      <c r="L113" s="2" t="s">
        <v>321</v>
      </c>
      <c r="M113" s="2">
        <v>0</v>
      </c>
      <c r="O113" s="2" t="str">
        <f>'Converted Diagram'!$L$206</f>
        <v>Increase Overall Convenience</v>
      </c>
      <c r="P113" s="2" t="b">
        <v>0</v>
      </c>
    </row>
    <row r="114" spans="1:16" x14ac:dyDescent="0.3">
      <c r="A114" s="2" t="e">
        <f>'Converted Diagram'!$M$209</f>
        <v>#VALUE!</v>
      </c>
      <c r="B114" s="1" t="s">
        <v>219</v>
      </c>
      <c r="C114" s="2">
        <v>0</v>
      </c>
      <c r="I114" s="2" t="e">
        <v>#VALUE!</v>
      </c>
      <c r="J114" s="2">
        <f>'Converted Diagram'!$L$209</f>
        <v>0</v>
      </c>
      <c r="K114" s="2" t="e">
        <f>'Converted Diagram'!$L$208</f>
        <v>#VALUE!</v>
      </c>
      <c r="L114" s="2" t="s">
        <v>322</v>
      </c>
      <c r="M114" s="2">
        <v>0</v>
      </c>
      <c r="P114" s="2" t="b">
        <v>0</v>
      </c>
    </row>
    <row r="115" spans="1:16" x14ac:dyDescent="0.3">
      <c r="A115" s="2" t="e">
        <f>'Converted Diagram'!$I$211</f>
        <v>#VALUE!</v>
      </c>
      <c r="B115" s="1" t="s">
        <v>31</v>
      </c>
      <c r="C115" s="2">
        <v>0</v>
      </c>
      <c r="I115" s="2" t="s">
        <v>217</v>
      </c>
      <c r="J115" s="2">
        <f>'Converted Diagram'!$H$211</f>
        <v>0</v>
      </c>
      <c r="K115" s="2" t="e">
        <f>'Converted Diagram'!$H$210</f>
        <v>#VALUE!</v>
      </c>
      <c r="L115" s="2" t="s">
        <v>323</v>
      </c>
      <c r="M115" s="2">
        <v>0</v>
      </c>
      <c r="O115" s="2" t="str">
        <f>'Converted Diagram'!$I$210</f>
        <v>Floor</v>
      </c>
      <c r="P115" s="2" t="b">
        <v>0</v>
      </c>
    </row>
    <row r="116" spans="1:16" x14ac:dyDescent="0.3">
      <c r="A116" s="2" t="e">
        <f>'Converted Diagram'!$J$213</f>
        <v>#VALUE!</v>
      </c>
      <c r="B116" s="1" t="s">
        <v>32</v>
      </c>
      <c r="C116" s="2">
        <v>0</v>
      </c>
      <c r="I116" s="2" t="s">
        <v>217</v>
      </c>
      <c r="J116" s="2">
        <f>'Converted Diagram'!$I$213</f>
        <v>0</v>
      </c>
      <c r="K116" s="2" t="e">
        <f>'Converted Diagram'!$I$212</f>
        <v>#VALUE!</v>
      </c>
      <c r="L116" s="2" t="s">
        <v>324</v>
      </c>
      <c r="M116" s="2">
        <v>0</v>
      </c>
      <c r="O116" s="2" t="str">
        <f>'Converted Diagram'!$J$212</f>
        <v>Reduce Commute Time</v>
      </c>
      <c r="P116" s="2" t="b">
        <v>0</v>
      </c>
    </row>
    <row r="117" spans="1:16" x14ac:dyDescent="0.3">
      <c r="A117" s="2" t="e">
        <f>'Converted Diagram'!$K$215</f>
        <v>#VALUE!</v>
      </c>
      <c r="B117" s="1" t="s">
        <v>219</v>
      </c>
      <c r="C117" s="2">
        <v>0</v>
      </c>
      <c r="I117" s="2" t="s">
        <v>217</v>
      </c>
      <c r="J117" s="2">
        <f>'Converted Diagram'!$J$215</f>
        <v>0</v>
      </c>
      <c r="K117" s="2" t="e">
        <f>'Converted Diagram'!$J$214</f>
        <v>#VALUE!</v>
      </c>
      <c r="L117" s="2" t="s">
        <v>325</v>
      </c>
      <c r="M117" s="2">
        <v>0</v>
      </c>
      <c r="O117" s="2" t="str">
        <f>'Converted Diagram'!$K$214</f>
        <v>Reduce overall rent</v>
      </c>
      <c r="P117" s="2" t="b">
        <v>0</v>
      </c>
    </row>
    <row r="118" spans="1:16" x14ac:dyDescent="0.3">
      <c r="A118" s="2" t="e">
        <f>'Converted Diagram'!$L$217</f>
        <v>#VALUE!</v>
      </c>
      <c r="B118" s="1" t="s">
        <v>219</v>
      </c>
      <c r="C118" s="2">
        <v>0</v>
      </c>
      <c r="I118" s="2" t="s">
        <v>217</v>
      </c>
      <c r="J118" s="2">
        <f>'Converted Diagram'!$K$217</f>
        <v>0</v>
      </c>
      <c r="K118" s="2" t="e">
        <f>'Converted Diagram'!$K$216</f>
        <v>#VALUE!</v>
      </c>
      <c r="L118" s="2" t="s">
        <v>326</v>
      </c>
      <c r="M118" s="2">
        <v>0</v>
      </c>
      <c r="O118" s="2" t="str">
        <f>'Converted Diagram'!$L$216</f>
        <v>Increase Overall Convenience</v>
      </c>
      <c r="P118" s="2" t="b">
        <v>0</v>
      </c>
    </row>
    <row r="119" spans="1:16" x14ac:dyDescent="0.3">
      <c r="A119" s="2" t="e">
        <f>'Converted Diagram'!$M$219</f>
        <v>#VALUE!</v>
      </c>
      <c r="B119" s="1" t="s">
        <v>219</v>
      </c>
      <c r="C119" s="2">
        <v>0</v>
      </c>
      <c r="I119" s="2" t="e">
        <v>#VALUE!</v>
      </c>
      <c r="J119" s="2">
        <f>'Converted Diagram'!$L$219</f>
        <v>0</v>
      </c>
      <c r="K119" s="2" t="e">
        <f>'Converted Diagram'!$L$218</f>
        <v>#VALUE!</v>
      </c>
      <c r="L119" s="2" t="s">
        <v>327</v>
      </c>
      <c r="M119" s="2">
        <v>0</v>
      </c>
      <c r="P119" s="2" t="b">
        <v>0</v>
      </c>
    </row>
    <row r="120" spans="1:16" x14ac:dyDescent="0.3">
      <c r="A120" s="2" t="e">
        <f>'Converted Diagram'!$H$221</f>
        <v>#VALUE!</v>
      </c>
      <c r="B120" s="1" t="s">
        <v>32</v>
      </c>
      <c r="C120" s="2">
        <v>0</v>
      </c>
      <c r="I120" s="2" t="s">
        <v>217</v>
      </c>
      <c r="J120" s="2">
        <f>'Converted Diagram'!$G$221</f>
        <v>0</v>
      </c>
      <c r="K120" s="2" t="e">
        <f>'Converted Diagram'!$G$220</f>
        <v>#VALUE!</v>
      </c>
      <c r="L120" s="2" t="s">
        <v>328</v>
      </c>
      <c r="M120" s="2">
        <v>0</v>
      </c>
      <c r="O120" s="2" t="str">
        <f>'Converted Diagram'!$H$220</f>
        <v>Wi-Fi &amp; Cable Ready</v>
      </c>
      <c r="P120" s="2" t="b">
        <v>0</v>
      </c>
    </row>
    <row r="121" spans="1:16" x14ac:dyDescent="0.3">
      <c r="A121" s="2" t="e">
        <f>'Converted Diagram'!$J$223</f>
        <v>#VALUE!</v>
      </c>
      <c r="B121" s="1" t="s">
        <v>31</v>
      </c>
      <c r="C121" s="2">
        <v>0</v>
      </c>
      <c r="I121" s="2" t="s">
        <v>217</v>
      </c>
      <c r="J121" s="2">
        <f>'Converted Diagram'!$I$223</f>
        <v>0</v>
      </c>
      <c r="K121" s="2" t="e">
        <f>'Converted Diagram'!$I$222</f>
        <v>#VALUE!</v>
      </c>
      <c r="L121" s="2" t="s">
        <v>329</v>
      </c>
      <c r="M121" s="2">
        <v>0</v>
      </c>
      <c r="O121" s="2" t="str">
        <f>'Converted Diagram'!$J$222</f>
        <v>Reduce Commute Time</v>
      </c>
      <c r="P121" s="2" t="b">
        <v>0</v>
      </c>
    </row>
    <row r="122" spans="1:16" x14ac:dyDescent="0.3">
      <c r="A122" s="2" t="e">
        <f>'Converted Diagram'!$K$225</f>
        <v>#VALUE!</v>
      </c>
      <c r="B122" s="1" t="s">
        <v>219</v>
      </c>
      <c r="C122" s="2">
        <v>0</v>
      </c>
      <c r="I122" s="2" t="s">
        <v>217</v>
      </c>
      <c r="J122" s="2">
        <f>'Converted Diagram'!$J$225</f>
        <v>0</v>
      </c>
      <c r="K122" s="2" t="e">
        <f>'Converted Diagram'!$J$224</f>
        <v>#VALUE!</v>
      </c>
      <c r="L122" s="2" t="s">
        <v>330</v>
      </c>
      <c r="M122" s="2">
        <v>0</v>
      </c>
      <c r="O122" s="2" t="str">
        <f>'Converted Diagram'!$K$224</f>
        <v>Reduce overall rent</v>
      </c>
      <c r="P122" s="2" t="b">
        <v>0</v>
      </c>
    </row>
    <row r="123" spans="1:16" x14ac:dyDescent="0.3">
      <c r="A123" s="2" t="e">
        <f>'Converted Diagram'!$L$227</f>
        <v>#VALUE!</v>
      </c>
      <c r="B123" s="1" t="s">
        <v>219</v>
      </c>
      <c r="C123" s="2">
        <v>0</v>
      </c>
      <c r="I123" s="2" t="s">
        <v>217</v>
      </c>
      <c r="J123" s="2">
        <f>'Converted Diagram'!$K$227</f>
        <v>0</v>
      </c>
      <c r="K123" s="2" t="e">
        <f>'Converted Diagram'!$K$226</f>
        <v>#VALUE!</v>
      </c>
      <c r="L123" s="2" t="s">
        <v>331</v>
      </c>
      <c r="M123" s="2">
        <v>0</v>
      </c>
      <c r="O123" s="2" t="str">
        <f>'Converted Diagram'!$L$226</f>
        <v>Increase Overall Convenience</v>
      </c>
      <c r="P123" s="2" t="b">
        <v>0</v>
      </c>
    </row>
    <row r="124" spans="1:16" x14ac:dyDescent="0.3">
      <c r="A124" s="2" t="e">
        <f>'Converted Diagram'!$M$229</f>
        <v>#VALUE!</v>
      </c>
      <c r="B124" s="1" t="s">
        <v>219</v>
      </c>
      <c r="C124" s="2">
        <v>0</v>
      </c>
      <c r="I124" s="2" t="e">
        <v>#VALUE!</v>
      </c>
      <c r="J124" s="2">
        <f>'Converted Diagram'!$L$229</f>
        <v>0</v>
      </c>
      <c r="K124" s="2" t="e">
        <f>'Converted Diagram'!$L$228</f>
        <v>#VALUE!</v>
      </c>
      <c r="L124" s="2" t="s">
        <v>332</v>
      </c>
      <c r="M124" s="2">
        <v>0</v>
      </c>
      <c r="P124" s="2" t="b">
        <v>0</v>
      </c>
    </row>
    <row r="125" spans="1:16" x14ac:dyDescent="0.3">
      <c r="A125" s="2" t="e">
        <f>'Converted Diagram'!$I$231</f>
        <v>#VALUE!</v>
      </c>
      <c r="B125" s="1" t="s">
        <v>32</v>
      </c>
      <c r="C125" s="2">
        <v>0</v>
      </c>
      <c r="I125" s="2" t="s">
        <v>217</v>
      </c>
      <c r="J125" s="2">
        <f>'Converted Diagram'!$H$231</f>
        <v>0</v>
      </c>
      <c r="K125" s="2" t="e">
        <f>'Converted Diagram'!$H$230</f>
        <v>#VALUE!</v>
      </c>
      <c r="L125" s="2" t="s">
        <v>333</v>
      </c>
      <c r="M125" s="2">
        <v>0</v>
      </c>
      <c r="O125" s="2" t="str">
        <f>'Converted Diagram'!$I$230</f>
        <v>Floor</v>
      </c>
      <c r="P125" s="2" t="b">
        <v>0</v>
      </c>
    </row>
    <row r="126" spans="1:16" x14ac:dyDescent="0.3">
      <c r="A126" s="2" t="e">
        <f>'Converted Diagram'!$J$233</f>
        <v>#VALUE!</v>
      </c>
      <c r="B126" s="1" t="s">
        <v>32</v>
      </c>
      <c r="C126" s="2">
        <v>0</v>
      </c>
      <c r="I126" s="2" t="s">
        <v>217</v>
      </c>
      <c r="J126" s="2">
        <f>'Converted Diagram'!$I$233</f>
        <v>0</v>
      </c>
      <c r="K126" s="2" t="e">
        <f>'Converted Diagram'!$I$232</f>
        <v>#VALUE!</v>
      </c>
      <c r="L126" s="2" t="s">
        <v>334</v>
      </c>
      <c r="M126" s="2">
        <v>0</v>
      </c>
      <c r="O126" s="2" t="str">
        <f>'Converted Diagram'!$J$232</f>
        <v>Reduce Commute Time</v>
      </c>
      <c r="P126" s="2" t="b">
        <v>0</v>
      </c>
    </row>
    <row r="127" spans="1:16" x14ac:dyDescent="0.3">
      <c r="A127" s="2" t="e">
        <f>'Converted Diagram'!$K$235</f>
        <v>#VALUE!</v>
      </c>
      <c r="B127" s="1" t="s">
        <v>219</v>
      </c>
      <c r="C127" s="2">
        <v>0</v>
      </c>
      <c r="I127" s="2" t="s">
        <v>217</v>
      </c>
      <c r="J127" s="2">
        <f>'Converted Diagram'!$J$235</f>
        <v>0</v>
      </c>
      <c r="K127" s="2" t="e">
        <f>'Converted Diagram'!$J$234</f>
        <v>#VALUE!</v>
      </c>
      <c r="L127" s="2" t="s">
        <v>335</v>
      </c>
      <c r="M127" s="2">
        <v>0</v>
      </c>
      <c r="O127" s="2" t="str">
        <f>'Converted Diagram'!$K$234</f>
        <v>Reduce overall rent</v>
      </c>
      <c r="P127" s="2" t="b">
        <v>0</v>
      </c>
    </row>
    <row r="128" spans="1:16" x14ac:dyDescent="0.3">
      <c r="A128" s="2" t="e">
        <f>'Converted Diagram'!$L$237</f>
        <v>#VALUE!</v>
      </c>
      <c r="B128" s="1" t="s">
        <v>219</v>
      </c>
      <c r="C128" s="2">
        <v>0</v>
      </c>
      <c r="I128" s="2" t="s">
        <v>217</v>
      </c>
      <c r="J128" s="2">
        <f>'Converted Diagram'!$K$237</f>
        <v>0</v>
      </c>
      <c r="K128" s="2" t="e">
        <f>'Converted Diagram'!$K$236</f>
        <v>#VALUE!</v>
      </c>
      <c r="L128" s="2" t="s">
        <v>336</v>
      </c>
      <c r="M128" s="2">
        <v>0</v>
      </c>
      <c r="O128" s="2" t="str">
        <f>'Converted Diagram'!$L$236</f>
        <v>Increase Overall Convenience</v>
      </c>
      <c r="P128" s="2" t="b">
        <v>0</v>
      </c>
    </row>
    <row r="129" spans="1:16" x14ac:dyDescent="0.3">
      <c r="A129" s="2" t="e">
        <f>'Converted Diagram'!$M$239</f>
        <v>#VALUE!</v>
      </c>
      <c r="B129" s="1" t="s">
        <v>219</v>
      </c>
      <c r="C129" s="2">
        <v>0</v>
      </c>
      <c r="I129" s="2" t="e">
        <v>#VALUE!</v>
      </c>
      <c r="J129" s="2">
        <f>'Converted Diagram'!$L$239</f>
        <v>0</v>
      </c>
      <c r="K129" s="2" t="e">
        <f>'Converted Diagram'!$L$238</f>
        <v>#VALUE!</v>
      </c>
      <c r="L129" s="2" t="s">
        <v>337</v>
      </c>
      <c r="M129" s="2">
        <v>0</v>
      </c>
      <c r="P129" s="2" t="b">
        <v>0</v>
      </c>
    </row>
    <row r="130" spans="1:16" x14ac:dyDescent="0.3">
      <c r="A130" s="2" t="e">
        <f>'Converted Diagram'!$F$241</f>
        <v>#VALUE!</v>
      </c>
      <c r="B130" s="1" t="s">
        <v>32</v>
      </c>
      <c r="C130" s="2">
        <v>0</v>
      </c>
      <c r="I130" s="2" t="s">
        <v>217</v>
      </c>
      <c r="J130" s="2">
        <f>'Converted Diagram'!$E$241</f>
        <v>0</v>
      </c>
      <c r="K130" s="2" t="e">
        <f>'Converted Diagram'!$E$240</f>
        <v>#VALUE!</v>
      </c>
      <c r="L130" s="2" t="s">
        <v>338</v>
      </c>
      <c r="M130" s="2">
        <v>0</v>
      </c>
      <c r="O130" s="2" t="str">
        <f>'Converted Diagram'!$F$240</f>
        <v>Utilities</v>
      </c>
      <c r="P130" s="2" t="b">
        <v>0</v>
      </c>
    </row>
    <row r="131" spans="1:16" x14ac:dyDescent="0.3">
      <c r="A131" s="2" t="e">
        <f>'Converted Diagram'!$J$243</f>
        <v>#VALUE!</v>
      </c>
      <c r="B131" s="1" t="s">
        <v>31</v>
      </c>
      <c r="C131" s="2">
        <v>0</v>
      </c>
      <c r="I131" s="2" t="s">
        <v>217</v>
      </c>
      <c r="J131" s="2">
        <f>'Converted Diagram'!$I$243</f>
        <v>0</v>
      </c>
      <c r="K131" s="2" t="e">
        <f>'Converted Diagram'!$I$242</f>
        <v>#VALUE!</v>
      </c>
      <c r="L131" s="2" t="s">
        <v>339</v>
      </c>
      <c r="M131" s="2">
        <v>0</v>
      </c>
      <c r="O131" s="2" t="str">
        <f>'Converted Diagram'!$J$242</f>
        <v>Reduce Commute Time</v>
      </c>
      <c r="P131" s="2" t="b">
        <v>0</v>
      </c>
    </row>
    <row r="132" spans="1:16" x14ac:dyDescent="0.3">
      <c r="A132" s="2" t="e">
        <f>'Converted Diagram'!$K$245</f>
        <v>#VALUE!</v>
      </c>
      <c r="B132" s="1" t="s">
        <v>219</v>
      </c>
      <c r="C132" s="2">
        <v>0</v>
      </c>
      <c r="I132" s="2" t="s">
        <v>217</v>
      </c>
      <c r="J132" s="2">
        <f>'Converted Diagram'!$J$245</f>
        <v>0</v>
      </c>
      <c r="K132" s="2" t="e">
        <f>'Converted Diagram'!$J$244</f>
        <v>#VALUE!</v>
      </c>
      <c r="L132" s="2" t="s">
        <v>340</v>
      </c>
      <c r="M132" s="2">
        <v>0</v>
      </c>
      <c r="O132" s="2" t="str">
        <f>'Converted Diagram'!$K$244</f>
        <v>Reduce overall rent</v>
      </c>
      <c r="P132" s="2" t="b">
        <v>0</v>
      </c>
    </row>
    <row r="133" spans="1:16" x14ac:dyDescent="0.3">
      <c r="A133" s="2" t="e">
        <f>'Converted Diagram'!$L$247</f>
        <v>#VALUE!</v>
      </c>
      <c r="B133" s="1" t="s">
        <v>219</v>
      </c>
      <c r="C133" s="2">
        <v>0</v>
      </c>
      <c r="I133" s="2" t="s">
        <v>217</v>
      </c>
      <c r="J133" s="2">
        <f>'Converted Diagram'!$K$247</f>
        <v>0</v>
      </c>
      <c r="K133" s="2" t="e">
        <f>'Converted Diagram'!$K$246</f>
        <v>#VALUE!</v>
      </c>
      <c r="L133" s="2" t="s">
        <v>341</v>
      </c>
      <c r="M133" s="2">
        <v>0</v>
      </c>
      <c r="O133" s="2" t="str">
        <f>'Converted Diagram'!$L$246</f>
        <v>Increase Overall Convenience</v>
      </c>
      <c r="P133" s="2" t="b">
        <v>0</v>
      </c>
    </row>
    <row r="134" spans="1:16" x14ac:dyDescent="0.3">
      <c r="A134" s="2" t="e">
        <f>'Converted Diagram'!$M$249</f>
        <v>#VALUE!</v>
      </c>
      <c r="B134" s="1" t="s">
        <v>219</v>
      </c>
      <c r="C134" s="2">
        <v>0</v>
      </c>
      <c r="I134" s="2" t="e">
        <v>#VALUE!</v>
      </c>
      <c r="J134" s="2">
        <f>'Converted Diagram'!$L$249</f>
        <v>0</v>
      </c>
      <c r="K134" s="2" t="e">
        <f>'Converted Diagram'!$L$248</f>
        <v>#VALUE!</v>
      </c>
      <c r="L134" s="2" t="s">
        <v>342</v>
      </c>
      <c r="M134" s="2">
        <v>0</v>
      </c>
      <c r="P134" s="2" t="b">
        <v>0</v>
      </c>
    </row>
    <row r="135" spans="1:16" x14ac:dyDescent="0.3">
      <c r="A135" s="2" t="e">
        <f>'Converted Diagram'!$I$251</f>
        <v>#VALUE!</v>
      </c>
      <c r="B135" s="1" t="s">
        <v>31</v>
      </c>
      <c r="C135" s="2">
        <v>0</v>
      </c>
      <c r="I135" s="2" t="s">
        <v>217</v>
      </c>
      <c r="J135" s="2">
        <f>'Converted Diagram'!$H$251</f>
        <v>0</v>
      </c>
      <c r="K135" s="2" t="e">
        <f>'Converted Diagram'!$H$250</f>
        <v>#VALUE!</v>
      </c>
      <c r="L135" s="2" t="s">
        <v>343</v>
      </c>
      <c r="M135" s="2">
        <v>0</v>
      </c>
      <c r="O135" s="2" t="str">
        <f>'Converted Diagram'!$I$250</f>
        <v>Floor</v>
      </c>
      <c r="P135" s="2" t="b">
        <v>0</v>
      </c>
    </row>
    <row r="136" spans="1:16" x14ac:dyDescent="0.3">
      <c r="A136" s="2" t="e">
        <f>'Converted Diagram'!$J$253</f>
        <v>#VALUE!</v>
      </c>
      <c r="B136" s="1" t="s">
        <v>32</v>
      </c>
      <c r="C136" s="2">
        <v>0</v>
      </c>
      <c r="I136" s="2" t="s">
        <v>217</v>
      </c>
      <c r="J136" s="2">
        <f>'Converted Diagram'!$I$253</f>
        <v>0</v>
      </c>
      <c r="K136" s="2" t="e">
        <f>'Converted Diagram'!$I$252</f>
        <v>#VALUE!</v>
      </c>
      <c r="L136" s="2" t="s">
        <v>344</v>
      </c>
      <c r="M136" s="2">
        <v>0</v>
      </c>
      <c r="O136" s="2" t="str">
        <f>'Converted Diagram'!$J$252</f>
        <v>Reduce Commute Time</v>
      </c>
      <c r="P136" s="2" t="b">
        <v>0</v>
      </c>
    </row>
    <row r="137" spans="1:16" x14ac:dyDescent="0.3">
      <c r="A137" s="2" t="e">
        <f>'Converted Diagram'!$K$255</f>
        <v>#VALUE!</v>
      </c>
      <c r="B137" s="1" t="s">
        <v>219</v>
      </c>
      <c r="C137" s="2">
        <v>0</v>
      </c>
      <c r="I137" s="2" t="s">
        <v>217</v>
      </c>
      <c r="J137" s="2">
        <f>'Converted Diagram'!$J$255</f>
        <v>0</v>
      </c>
      <c r="K137" s="2" t="e">
        <f>'Converted Diagram'!$J$254</f>
        <v>#VALUE!</v>
      </c>
      <c r="L137" s="2" t="s">
        <v>345</v>
      </c>
      <c r="M137" s="2">
        <v>0</v>
      </c>
      <c r="O137" s="2" t="str">
        <f>'Converted Diagram'!$K$254</f>
        <v>Reduce overall rent</v>
      </c>
      <c r="P137" s="2" t="b">
        <v>0</v>
      </c>
    </row>
    <row r="138" spans="1:16" x14ac:dyDescent="0.3">
      <c r="A138" s="2" t="e">
        <f>'Converted Diagram'!$L$257</f>
        <v>#VALUE!</v>
      </c>
      <c r="B138" s="1" t="s">
        <v>219</v>
      </c>
      <c r="C138" s="2">
        <v>0</v>
      </c>
      <c r="I138" s="2" t="s">
        <v>217</v>
      </c>
      <c r="J138" s="2">
        <f>'Converted Diagram'!$K$257</f>
        <v>0</v>
      </c>
      <c r="K138" s="2" t="e">
        <f>'Converted Diagram'!$K$256</f>
        <v>#VALUE!</v>
      </c>
      <c r="L138" s="2" t="s">
        <v>346</v>
      </c>
      <c r="M138" s="2">
        <v>0</v>
      </c>
      <c r="O138" s="2" t="str">
        <f>'Converted Diagram'!$L$256</f>
        <v>Increase Overall Convenience</v>
      </c>
      <c r="P138" s="2" t="b">
        <v>0</v>
      </c>
    </row>
    <row r="139" spans="1:16" x14ac:dyDescent="0.3">
      <c r="A139" s="2" t="e">
        <f>'Converted Diagram'!$M$259</f>
        <v>#VALUE!</v>
      </c>
      <c r="B139" s="1" t="s">
        <v>219</v>
      </c>
      <c r="C139" s="2">
        <v>0</v>
      </c>
      <c r="I139" s="2" t="e">
        <v>#VALUE!</v>
      </c>
      <c r="J139" s="2">
        <f>'Converted Diagram'!$L$259</f>
        <v>0</v>
      </c>
      <c r="K139" s="2" t="e">
        <f>'Converted Diagram'!$L$258</f>
        <v>#VALUE!</v>
      </c>
      <c r="L139" s="2" t="s">
        <v>347</v>
      </c>
      <c r="M139" s="2">
        <v>0</v>
      </c>
      <c r="P139" s="2" t="b">
        <v>0</v>
      </c>
    </row>
    <row r="140" spans="1:16" x14ac:dyDescent="0.3">
      <c r="A140" s="2" t="e">
        <f>'Converted Diagram'!$H$261</f>
        <v>#VALUE!</v>
      </c>
      <c r="B140" s="1" t="s">
        <v>31</v>
      </c>
      <c r="C140" s="2">
        <v>0</v>
      </c>
      <c r="I140" s="2" t="s">
        <v>217</v>
      </c>
      <c r="J140" s="2">
        <f>'Converted Diagram'!$G$261</f>
        <v>0</v>
      </c>
      <c r="K140" s="2" t="e">
        <f>'Converted Diagram'!$G$260</f>
        <v>#VALUE!</v>
      </c>
      <c r="L140" s="2" t="s">
        <v>348</v>
      </c>
      <c r="M140" s="2">
        <v>0</v>
      </c>
      <c r="O140" s="2" t="str">
        <f>'Converted Diagram'!$H$260</f>
        <v>Wi-Fi &amp; Cable Ready</v>
      </c>
      <c r="P140" s="2" t="b">
        <v>0</v>
      </c>
    </row>
    <row r="141" spans="1:16" x14ac:dyDescent="0.3">
      <c r="A141" s="2" t="e">
        <f>'Converted Diagram'!$J$263</f>
        <v>#VALUE!</v>
      </c>
      <c r="B141" s="1" t="s">
        <v>31</v>
      </c>
      <c r="C141" s="2">
        <v>0</v>
      </c>
      <c r="I141" s="2" t="s">
        <v>217</v>
      </c>
      <c r="J141" s="2">
        <f>'Converted Diagram'!$I$263</f>
        <v>0</v>
      </c>
      <c r="K141" s="2" t="e">
        <f>'Converted Diagram'!$I$262</f>
        <v>#VALUE!</v>
      </c>
      <c r="L141" s="2" t="s">
        <v>349</v>
      </c>
      <c r="M141" s="2">
        <v>0</v>
      </c>
      <c r="O141" s="2" t="str">
        <f>'Converted Diagram'!$J$262</f>
        <v>Reduce Commute Time</v>
      </c>
      <c r="P141" s="2" t="b">
        <v>0</v>
      </c>
    </row>
    <row r="142" spans="1:16" x14ac:dyDescent="0.3">
      <c r="A142" s="2" t="e">
        <f>'Converted Diagram'!$K$265</f>
        <v>#VALUE!</v>
      </c>
      <c r="B142" s="1" t="s">
        <v>219</v>
      </c>
      <c r="C142" s="2">
        <v>0</v>
      </c>
      <c r="I142" s="2" t="s">
        <v>217</v>
      </c>
      <c r="J142" s="2">
        <f>'Converted Diagram'!$J$265</f>
        <v>0</v>
      </c>
      <c r="K142" s="2" t="e">
        <f>'Converted Diagram'!$J$264</f>
        <v>#VALUE!</v>
      </c>
      <c r="L142" s="2" t="s">
        <v>350</v>
      </c>
      <c r="M142" s="2">
        <v>0</v>
      </c>
      <c r="O142" s="2" t="str">
        <f>'Converted Diagram'!$K$264</f>
        <v>Reduce overall rent</v>
      </c>
      <c r="P142" s="2" t="b">
        <v>0</v>
      </c>
    </row>
    <row r="143" spans="1:16" x14ac:dyDescent="0.3">
      <c r="A143" s="2" t="e">
        <f>'Converted Diagram'!$L$267</f>
        <v>#VALUE!</v>
      </c>
      <c r="B143" s="1" t="s">
        <v>219</v>
      </c>
      <c r="C143" s="2">
        <v>0</v>
      </c>
      <c r="I143" s="2" t="s">
        <v>217</v>
      </c>
      <c r="J143" s="2">
        <f>'Converted Diagram'!$K$267</f>
        <v>0</v>
      </c>
      <c r="K143" s="2" t="e">
        <f>'Converted Diagram'!$K$266</f>
        <v>#VALUE!</v>
      </c>
      <c r="L143" s="2" t="s">
        <v>351</v>
      </c>
      <c r="M143" s="2">
        <v>0</v>
      </c>
      <c r="O143" s="2" t="str">
        <f>'Converted Diagram'!$L$266</f>
        <v>Increase Overall Convenience</v>
      </c>
      <c r="P143" s="2" t="b">
        <v>0</v>
      </c>
    </row>
    <row r="144" spans="1:16" x14ac:dyDescent="0.3">
      <c r="A144" s="2" t="e">
        <f>'Converted Diagram'!$M$269</f>
        <v>#VALUE!</v>
      </c>
      <c r="B144" s="1" t="s">
        <v>219</v>
      </c>
      <c r="C144" s="2">
        <v>0</v>
      </c>
      <c r="I144" s="2" t="e">
        <v>#VALUE!</v>
      </c>
      <c r="J144" s="2">
        <f>'Converted Diagram'!$L$269</f>
        <v>0</v>
      </c>
      <c r="K144" s="2" t="e">
        <f>'Converted Diagram'!$L$268</f>
        <v>#VALUE!</v>
      </c>
      <c r="L144" s="2" t="s">
        <v>352</v>
      </c>
      <c r="M144" s="2">
        <v>0</v>
      </c>
      <c r="P144" s="2" t="b">
        <v>0</v>
      </c>
    </row>
    <row r="145" spans="1:16" x14ac:dyDescent="0.3">
      <c r="A145" s="2" t="e">
        <f>'Converted Diagram'!$I$271</f>
        <v>#VALUE!</v>
      </c>
      <c r="B145" s="1" t="s">
        <v>32</v>
      </c>
      <c r="C145" s="2">
        <v>0</v>
      </c>
      <c r="I145" s="2" t="s">
        <v>217</v>
      </c>
      <c r="J145" s="2">
        <f>'Converted Diagram'!$H$271</f>
        <v>0</v>
      </c>
      <c r="K145" s="2" t="e">
        <f>'Converted Diagram'!$H$270</f>
        <v>#VALUE!</v>
      </c>
      <c r="L145" s="2" t="s">
        <v>353</v>
      </c>
      <c r="M145" s="2">
        <v>0</v>
      </c>
      <c r="O145" s="2" t="str">
        <f>'Converted Diagram'!$I$270</f>
        <v>Floor</v>
      </c>
      <c r="P145" s="2" t="b">
        <v>0</v>
      </c>
    </row>
    <row r="146" spans="1:16" x14ac:dyDescent="0.3">
      <c r="A146" s="2" t="e">
        <f>'Converted Diagram'!$J$273</f>
        <v>#VALUE!</v>
      </c>
      <c r="B146" s="1" t="s">
        <v>32</v>
      </c>
      <c r="C146" s="2">
        <v>0</v>
      </c>
      <c r="I146" s="2" t="s">
        <v>217</v>
      </c>
      <c r="J146" s="2">
        <f>'Converted Diagram'!$I$273</f>
        <v>0</v>
      </c>
      <c r="K146" s="2" t="e">
        <f>'Converted Diagram'!$I$272</f>
        <v>#VALUE!</v>
      </c>
      <c r="L146" s="2" t="s">
        <v>354</v>
      </c>
      <c r="M146" s="2">
        <v>0</v>
      </c>
      <c r="O146" s="2" t="str">
        <f>'Converted Diagram'!$J$272</f>
        <v>Reduce Commute Time</v>
      </c>
      <c r="P146" s="2" t="b">
        <v>0</v>
      </c>
    </row>
    <row r="147" spans="1:16" x14ac:dyDescent="0.3">
      <c r="A147" s="2" t="e">
        <f>'Converted Diagram'!$K$275</f>
        <v>#VALUE!</v>
      </c>
      <c r="B147" s="1" t="s">
        <v>219</v>
      </c>
      <c r="C147" s="2">
        <v>0</v>
      </c>
      <c r="I147" s="2" t="s">
        <v>217</v>
      </c>
      <c r="J147" s="2">
        <f>'Converted Diagram'!$J$275</f>
        <v>0</v>
      </c>
      <c r="K147" s="2" t="e">
        <f>'Converted Diagram'!$J$274</f>
        <v>#VALUE!</v>
      </c>
      <c r="L147" s="2" t="s">
        <v>355</v>
      </c>
      <c r="M147" s="2">
        <v>0</v>
      </c>
      <c r="O147" s="2" t="str">
        <f>'Converted Diagram'!$K$274</f>
        <v>Reduce overall rent</v>
      </c>
      <c r="P147" s="2" t="b">
        <v>0</v>
      </c>
    </row>
    <row r="148" spans="1:16" x14ac:dyDescent="0.3">
      <c r="A148" s="2" t="e">
        <f>'Converted Diagram'!$L$277</f>
        <v>#VALUE!</v>
      </c>
      <c r="B148" s="1" t="s">
        <v>219</v>
      </c>
      <c r="C148" s="2">
        <v>0</v>
      </c>
      <c r="I148" s="2" t="s">
        <v>217</v>
      </c>
      <c r="J148" s="2">
        <f>'Converted Diagram'!$K$277</f>
        <v>0</v>
      </c>
      <c r="K148" s="2" t="e">
        <f>'Converted Diagram'!$K$276</f>
        <v>#VALUE!</v>
      </c>
      <c r="L148" s="2" t="s">
        <v>356</v>
      </c>
      <c r="M148" s="2">
        <v>0</v>
      </c>
      <c r="O148" s="2" t="str">
        <f>'Converted Diagram'!$L$276</f>
        <v>Increase Overall Convenience</v>
      </c>
      <c r="P148" s="2" t="b">
        <v>0</v>
      </c>
    </row>
    <row r="149" spans="1:16" x14ac:dyDescent="0.3">
      <c r="A149" s="2" t="e">
        <f>'Converted Diagram'!$M$279</f>
        <v>#VALUE!</v>
      </c>
      <c r="B149" s="1" t="s">
        <v>219</v>
      </c>
      <c r="C149" s="2">
        <v>0</v>
      </c>
      <c r="I149" s="2" t="e">
        <v>#VALUE!</v>
      </c>
      <c r="J149" s="2">
        <f>'Converted Diagram'!$L$279</f>
        <v>0</v>
      </c>
      <c r="K149" s="2" t="e">
        <f>'Converted Diagram'!$L$278</f>
        <v>#VALUE!</v>
      </c>
      <c r="L149" s="2" t="s">
        <v>357</v>
      </c>
      <c r="M149" s="2">
        <v>0</v>
      </c>
      <c r="P149" s="2" t="b">
        <v>0</v>
      </c>
    </row>
    <row r="150" spans="1:16" x14ac:dyDescent="0.3">
      <c r="A150" s="2" t="e">
        <f>'Converted Diagram'!$G$281</f>
        <v>#VALUE!</v>
      </c>
      <c r="B150" s="1" t="s">
        <v>32</v>
      </c>
      <c r="C150" s="2">
        <v>0</v>
      </c>
      <c r="I150" s="2" t="s">
        <v>217</v>
      </c>
      <c r="J150" s="2">
        <f>'Converted Diagram'!$F$281</f>
        <v>0</v>
      </c>
      <c r="K150" s="2" t="e">
        <f>'Converted Diagram'!$F$280</f>
        <v>#VALUE!</v>
      </c>
      <c r="L150" s="2" t="s">
        <v>358</v>
      </c>
      <c r="M150" s="2">
        <v>0</v>
      </c>
      <c r="O150" s="2" t="str">
        <f>'Converted Diagram'!$G$280</f>
        <v>Grocery Store</v>
      </c>
      <c r="P150" s="2" t="b">
        <v>0</v>
      </c>
    </row>
    <row r="151" spans="1:16" x14ac:dyDescent="0.3">
      <c r="A151" s="2" t="e">
        <f>'Converted Diagram'!$J$283</f>
        <v>#VALUE!</v>
      </c>
      <c r="B151" s="1" t="s">
        <v>31</v>
      </c>
      <c r="C151" s="2">
        <v>0</v>
      </c>
      <c r="I151" s="2" t="s">
        <v>217</v>
      </c>
      <c r="J151" s="2">
        <f>'Converted Diagram'!$I$283</f>
        <v>0</v>
      </c>
      <c r="K151" s="2" t="e">
        <f>'Converted Diagram'!$I$282</f>
        <v>#VALUE!</v>
      </c>
      <c r="L151" s="2" t="s">
        <v>359</v>
      </c>
      <c r="M151" s="2">
        <v>0</v>
      </c>
      <c r="O151" s="2" t="str">
        <f>'Converted Diagram'!$J$282</f>
        <v>Reduce Commute Time</v>
      </c>
      <c r="P151" s="2" t="b">
        <v>0</v>
      </c>
    </row>
    <row r="152" spans="1:16" x14ac:dyDescent="0.3">
      <c r="A152" s="2" t="e">
        <f>'Converted Diagram'!$K$285</f>
        <v>#VALUE!</v>
      </c>
      <c r="B152" s="1" t="s">
        <v>219</v>
      </c>
      <c r="C152" s="2">
        <v>0</v>
      </c>
      <c r="I152" s="2" t="s">
        <v>217</v>
      </c>
      <c r="J152" s="2">
        <f>'Converted Diagram'!$J$285</f>
        <v>0</v>
      </c>
      <c r="K152" s="2" t="e">
        <f>'Converted Diagram'!$J$284</f>
        <v>#VALUE!</v>
      </c>
      <c r="L152" s="2" t="s">
        <v>360</v>
      </c>
      <c r="M152" s="2">
        <v>0</v>
      </c>
      <c r="O152" s="2" t="str">
        <f>'Converted Diagram'!$K$284</f>
        <v>Reduce overall rent</v>
      </c>
      <c r="P152" s="2" t="b">
        <v>0</v>
      </c>
    </row>
    <row r="153" spans="1:16" x14ac:dyDescent="0.3">
      <c r="A153" s="2" t="e">
        <f>'Converted Diagram'!$L$287</f>
        <v>#VALUE!</v>
      </c>
      <c r="B153" s="1" t="s">
        <v>219</v>
      </c>
      <c r="C153" s="2">
        <v>0</v>
      </c>
      <c r="I153" s="2" t="s">
        <v>217</v>
      </c>
      <c r="J153" s="2">
        <f>'Converted Diagram'!$K$287</f>
        <v>0</v>
      </c>
      <c r="K153" s="2" t="e">
        <f>'Converted Diagram'!$K$286</f>
        <v>#VALUE!</v>
      </c>
      <c r="L153" s="2" t="s">
        <v>361</v>
      </c>
      <c r="M153" s="2">
        <v>0</v>
      </c>
      <c r="O153" s="2" t="str">
        <f>'Converted Diagram'!$L$286</f>
        <v>Increase Overall Convenience</v>
      </c>
      <c r="P153" s="2" t="b">
        <v>0</v>
      </c>
    </row>
    <row r="154" spans="1:16" x14ac:dyDescent="0.3">
      <c r="A154" s="2" t="e">
        <f>'Converted Diagram'!$M$289</f>
        <v>#VALUE!</v>
      </c>
      <c r="B154" s="1" t="s">
        <v>219</v>
      </c>
      <c r="C154" s="2">
        <v>0</v>
      </c>
      <c r="I154" s="2" t="e">
        <v>#VALUE!</v>
      </c>
      <c r="J154" s="2">
        <f>'Converted Diagram'!$L$289</f>
        <v>0</v>
      </c>
      <c r="K154" s="2" t="e">
        <f>'Converted Diagram'!$L$288</f>
        <v>#VALUE!</v>
      </c>
      <c r="L154" s="2" t="s">
        <v>362</v>
      </c>
      <c r="M154" s="2">
        <v>0</v>
      </c>
      <c r="P154" s="2" t="b">
        <v>0</v>
      </c>
    </row>
    <row r="155" spans="1:16" x14ac:dyDescent="0.3">
      <c r="A155" s="2" t="e">
        <f>'Converted Diagram'!$I$291</f>
        <v>#VALUE!</v>
      </c>
      <c r="B155" s="1" t="s">
        <v>31</v>
      </c>
      <c r="C155" s="2">
        <v>0</v>
      </c>
      <c r="I155" s="2" t="s">
        <v>217</v>
      </c>
      <c r="J155" s="2">
        <f>'Converted Diagram'!$H$291</f>
        <v>0</v>
      </c>
      <c r="K155" s="2" t="e">
        <f>'Converted Diagram'!$H$290</f>
        <v>#VALUE!</v>
      </c>
      <c r="L155" s="2" t="s">
        <v>363</v>
      </c>
      <c r="M155" s="2">
        <v>0</v>
      </c>
      <c r="O155" s="2" t="str">
        <f>'Converted Diagram'!$I$290</f>
        <v>Floor</v>
      </c>
      <c r="P155" s="2" t="b">
        <v>0</v>
      </c>
    </row>
    <row r="156" spans="1:16" x14ac:dyDescent="0.3">
      <c r="A156" s="2" t="e">
        <f>'Converted Diagram'!$J$293</f>
        <v>#VALUE!</v>
      </c>
      <c r="B156" s="1" t="s">
        <v>32</v>
      </c>
      <c r="C156" s="2">
        <v>0</v>
      </c>
      <c r="I156" s="2" t="s">
        <v>217</v>
      </c>
      <c r="J156" s="2">
        <f>'Converted Diagram'!$I$293</f>
        <v>0</v>
      </c>
      <c r="K156" s="2" t="e">
        <f>'Converted Diagram'!$I$292</f>
        <v>#VALUE!</v>
      </c>
      <c r="L156" s="2" t="s">
        <v>364</v>
      </c>
      <c r="M156" s="2">
        <v>0</v>
      </c>
      <c r="O156" s="2" t="str">
        <f>'Converted Diagram'!$J$292</f>
        <v>Reduce Commute Time</v>
      </c>
      <c r="P156" s="2" t="b">
        <v>0</v>
      </c>
    </row>
    <row r="157" spans="1:16" x14ac:dyDescent="0.3">
      <c r="A157" s="2" t="e">
        <f>'Converted Diagram'!$K$295</f>
        <v>#VALUE!</v>
      </c>
      <c r="B157" s="1" t="s">
        <v>219</v>
      </c>
      <c r="C157" s="2">
        <v>0</v>
      </c>
      <c r="I157" s="2" t="s">
        <v>217</v>
      </c>
      <c r="J157" s="2">
        <f>'Converted Diagram'!$J$295</f>
        <v>0</v>
      </c>
      <c r="K157" s="2" t="e">
        <f>'Converted Diagram'!$J$294</f>
        <v>#VALUE!</v>
      </c>
      <c r="L157" s="2" t="s">
        <v>365</v>
      </c>
      <c r="M157" s="2">
        <v>0</v>
      </c>
      <c r="O157" s="2" t="str">
        <f>'Converted Diagram'!$K$294</f>
        <v>Reduce overall rent</v>
      </c>
      <c r="P157" s="2" t="b">
        <v>0</v>
      </c>
    </row>
    <row r="158" spans="1:16" x14ac:dyDescent="0.3">
      <c r="A158" s="2" t="e">
        <f>'Converted Diagram'!$L$297</f>
        <v>#VALUE!</v>
      </c>
      <c r="B158" s="1" t="s">
        <v>219</v>
      </c>
      <c r="C158" s="2">
        <v>0</v>
      </c>
      <c r="I158" s="2" t="s">
        <v>217</v>
      </c>
      <c r="J158" s="2">
        <f>'Converted Diagram'!$K$297</f>
        <v>0</v>
      </c>
      <c r="K158" s="2" t="e">
        <f>'Converted Diagram'!$K$296</f>
        <v>#VALUE!</v>
      </c>
      <c r="L158" s="2" t="s">
        <v>366</v>
      </c>
      <c r="M158" s="2">
        <v>0</v>
      </c>
      <c r="O158" s="2" t="str">
        <f>'Converted Diagram'!$L$296</f>
        <v>Increase Overall Convenience</v>
      </c>
      <c r="P158" s="2" t="b">
        <v>0</v>
      </c>
    </row>
    <row r="159" spans="1:16" x14ac:dyDescent="0.3">
      <c r="A159" s="2" t="e">
        <f>'Converted Diagram'!$M$299</f>
        <v>#VALUE!</v>
      </c>
      <c r="B159" s="1" t="s">
        <v>219</v>
      </c>
      <c r="C159" s="2">
        <v>0</v>
      </c>
      <c r="I159" s="2" t="e">
        <v>#VALUE!</v>
      </c>
      <c r="J159" s="2">
        <f>'Converted Diagram'!$L$299</f>
        <v>0</v>
      </c>
      <c r="K159" s="2" t="e">
        <f>'Converted Diagram'!$L$298</f>
        <v>#VALUE!</v>
      </c>
      <c r="L159" s="2" t="s">
        <v>367</v>
      </c>
      <c r="M159" s="2">
        <v>0</v>
      </c>
      <c r="P159" s="2" t="b">
        <v>0</v>
      </c>
    </row>
    <row r="160" spans="1:16" x14ac:dyDescent="0.3">
      <c r="A160" s="2" t="e">
        <f>'Converted Diagram'!$H$301</f>
        <v>#VALUE!</v>
      </c>
      <c r="B160" s="1" t="s">
        <v>32</v>
      </c>
      <c r="C160" s="2">
        <v>0</v>
      </c>
      <c r="I160" s="2" t="s">
        <v>217</v>
      </c>
      <c r="J160" s="2">
        <f>'Converted Diagram'!$G$301</f>
        <v>0</v>
      </c>
      <c r="K160" s="2" t="e">
        <f>'Converted Diagram'!$G$300</f>
        <v>#VALUE!</v>
      </c>
      <c r="L160" s="2" t="s">
        <v>368</v>
      </c>
      <c r="M160" s="2">
        <v>0</v>
      </c>
      <c r="O160" s="2" t="str">
        <f>'Converted Diagram'!$H$300</f>
        <v>Wi-Fi &amp; Cable Ready</v>
      </c>
      <c r="P160" s="2" t="b">
        <v>0</v>
      </c>
    </row>
    <row r="161" spans="1:16" x14ac:dyDescent="0.3">
      <c r="A161" s="2" t="e">
        <f>'Converted Diagram'!$J$303</f>
        <v>#VALUE!</v>
      </c>
      <c r="B161" s="1" t="s">
        <v>31</v>
      </c>
      <c r="C161" s="2">
        <v>0</v>
      </c>
      <c r="I161" s="2" t="s">
        <v>217</v>
      </c>
      <c r="J161" s="2">
        <f>'Converted Diagram'!$I$303</f>
        <v>0</v>
      </c>
      <c r="K161" s="2" t="e">
        <f>'Converted Diagram'!$I$302</f>
        <v>#VALUE!</v>
      </c>
      <c r="L161" s="2" t="s">
        <v>369</v>
      </c>
      <c r="M161" s="2">
        <v>0</v>
      </c>
      <c r="O161" s="2" t="str">
        <f>'Converted Diagram'!$J$302</f>
        <v>Reduce Commute Time</v>
      </c>
      <c r="P161" s="2" t="b">
        <v>0</v>
      </c>
    </row>
    <row r="162" spans="1:16" x14ac:dyDescent="0.3">
      <c r="A162" s="2" t="e">
        <f>'Converted Diagram'!$K$305</f>
        <v>#VALUE!</v>
      </c>
      <c r="B162" s="1" t="s">
        <v>219</v>
      </c>
      <c r="C162" s="2">
        <v>0</v>
      </c>
      <c r="I162" s="2" t="s">
        <v>217</v>
      </c>
      <c r="J162" s="2">
        <f>'Converted Diagram'!$J$305</f>
        <v>0</v>
      </c>
      <c r="K162" s="2" t="e">
        <f>'Converted Diagram'!$J$304</f>
        <v>#VALUE!</v>
      </c>
      <c r="L162" s="2" t="s">
        <v>370</v>
      </c>
      <c r="M162" s="2">
        <v>0</v>
      </c>
      <c r="O162" s="2" t="str">
        <f>'Converted Diagram'!$K$304</f>
        <v>Reduce overall rent</v>
      </c>
      <c r="P162" s="2" t="b">
        <v>0</v>
      </c>
    </row>
    <row r="163" spans="1:16" x14ac:dyDescent="0.3">
      <c r="A163" s="2" t="e">
        <f>'Converted Diagram'!$L$307</f>
        <v>#VALUE!</v>
      </c>
      <c r="B163" s="1" t="s">
        <v>219</v>
      </c>
      <c r="C163" s="2">
        <v>0</v>
      </c>
      <c r="I163" s="2" t="s">
        <v>217</v>
      </c>
      <c r="J163" s="2">
        <f>'Converted Diagram'!$K$307</f>
        <v>0</v>
      </c>
      <c r="K163" s="2" t="e">
        <f>'Converted Diagram'!$K$306</f>
        <v>#VALUE!</v>
      </c>
      <c r="L163" s="2" t="s">
        <v>371</v>
      </c>
      <c r="M163" s="2">
        <v>0</v>
      </c>
      <c r="O163" s="2" t="str">
        <f>'Converted Diagram'!$L$306</f>
        <v>Increase Overall Convenience</v>
      </c>
      <c r="P163" s="2" t="b">
        <v>0</v>
      </c>
    </row>
    <row r="164" spans="1:16" x14ac:dyDescent="0.3">
      <c r="A164" s="2" t="e">
        <f>'Converted Diagram'!$M$309</f>
        <v>#VALUE!</v>
      </c>
      <c r="B164" s="1" t="s">
        <v>219</v>
      </c>
      <c r="C164" s="2">
        <v>0</v>
      </c>
      <c r="I164" s="2" t="e">
        <v>#VALUE!</v>
      </c>
      <c r="J164" s="2">
        <f>'Converted Diagram'!$L$309</f>
        <v>0</v>
      </c>
      <c r="K164" s="2" t="e">
        <f>'Converted Diagram'!$L$308</f>
        <v>#VALUE!</v>
      </c>
      <c r="L164" s="2" t="s">
        <v>372</v>
      </c>
      <c r="M164" s="2">
        <v>0</v>
      </c>
      <c r="P164" s="2" t="b">
        <v>0</v>
      </c>
    </row>
    <row r="165" spans="1:16" x14ac:dyDescent="0.3">
      <c r="A165" s="2" t="e">
        <f>'Converted Diagram'!$I$311</f>
        <v>#VALUE!</v>
      </c>
      <c r="B165" s="1" t="s">
        <v>32</v>
      </c>
      <c r="C165" s="2">
        <v>0</v>
      </c>
      <c r="I165" s="2" t="s">
        <v>217</v>
      </c>
      <c r="J165" s="2">
        <f>'Converted Diagram'!$H$311</f>
        <v>0</v>
      </c>
      <c r="K165" s="2" t="e">
        <f>'Converted Diagram'!$H$310</f>
        <v>#VALUE!</v>
      </c>
      <c r="L165" s="2" t="s">
        <v>373</v>
      </c>
      <c r="M165" s="2">
        <v>0</v>
      </c>
      <c r="O165" s="2" t="str">
        <f>'Converted Diagram'!$I$310</f>
        <v>Floor</v>
      </c>
      <c r="P165" s="2" t="b">
        <v>0</v>
      </c>
    </row>
    <row r="166" spans="1:16" x14ac:dyDescent="0.3">
      <c r="A166" s="2" t="e">
        <f>'Converted Diagram'!$J$313</f>
        <v>#VALUE!</v>
      </c>
      <c r="B166" s="1" t="s">
        <v>32</v>
      </c>
      <c r="C166" s="2">
        <v>0</v>
      </c>
      <c r="I166" s="2" t="s">
        <v>217</v>
      </c>
      <c r="J166" s="2">
        <f>'Converted Diagram'!$I$313</f>
        <v>0</v>
      </c>
      <c r="K166" s="2" t="e">
        <f>'Converted Diagram'!$I$312</f>
        <v>#VALUE!</v>
      </c>
      <c r="L166" s="2" t="s">
        <v>374</v>
      </c>
      <c r="M166" s="2">
        <v>0</v>
      </c>
      <c r="O166" s="2" t="str">
        <f>'Converted Diagram'!$J$312</f>
        <v>Reduce Commute Time</v>
      </c>
      <c r="P166" s="2" t="b">
        <v>0</v>
      </c>
    </row>
    <row r="167" spans="1:16" x14ac:dyDescent="0.3">
      <c r="A167" s="2" t="e">
        <f>'Converted Diagram'!$K$315</f>
        <v>#VALUE!</v>
      </c>
      <c r="B167" s="1" t="s">
        <v>219</v>
      </c>
      <c r="C167" s="2">
        <v>0</v>
      </c>
      <c r="I167" s="2" t="s">
        <v>217</v>
      </c>
      <c r="J167" s="2">
        <f>'Converted Diagram'!$J$315</f>
        <v>0</v>
      </c>
      <c r="K167" s="2" t="e">
        <f>'Converted Diagram'!$J$314</f>
        <v>#VALUE!</v>
      </c>
      <c r="L167" s="2" t="s">
        <v>375</v>
      </c>
      <c r="M167" s="2">
        <v>0</v>
      </c>
      <c r="O167" s="2" t="str">
        <f>'Converted Diagram'!$K$314</f>
        <v>Reduce overall rent</v>
      </c>
      <c r="P167" s="2" t="b">
        <v>0</v>
      </c>
    </row>
    <row r="168" spans="1:16" x14ac:dyDescent="0.3">
      <c r="A168" s="2" t="e">
        <f>'Converted Diagram'!$L$317</f>
        <v>#VALUE!</v>
      </c>
      <c r="B168" s="1" t="s">
        <v>219</v>
      </c>
      <c r="C168" s="2">
        <v>0</v>
      </c>
      <c r="I168" s="2" t="s">
        <v>217</v>
      </c>
      <c r="J168" s="2">
        <f>'Converted Diagram'!$K$317</f>
        <v>0</v>
      </c>
      <c r="K168" s="2" t="e">
        <f>'Converted Diagram'!$K$316</f>
        <v>#VALUE!</v>
      </c>
      <c r="L168" s="2" t="s">
        <v>376</v>
      </c>
      <c r="M168" s="2">
        <v>0</v>
      </c>
      <c r="O168" s="2" t="str">
        <f>'Converted Diagram'!$L$316</f>
        <v>Increase Overall Convenience</v>
      </c>
      <c r="P168" s="2" t="b">
        <v>0</v>
      </c>
    </row>
    <row r="169" spans="1:16" x14ac:dyDescent="0.3">
      <c r="A169" s="2" t="e">
        <f>'Converted Diagram'!$M$319</f>
        <v>#VALUE!</v>
      </c>
      <c r="B169" s="1" t="s">
        <v>219</v>
      </c>
      <c r="C169" s="2">
        <v>0</v>
      </c>
      <c r="I169" s="2" t="e">
        <v>#VALUE!</v>
      </c>
      <c r="J169" s="2">
        <f>'Converted Diagram'!$L$319</f>
        <v>0</v>
      </c>
      <c r="K169" s="2" t="e">
        <f>'Converted Diagram'!$L$318</f>
        <v>#VALUE!</v>
      </c>
      <c r="L169" s="2" t="s">
        <v>377</v>
      </c>
      <c r="M169" s="2">
        <v>0</v>
      </c>
      <c r="P169" s="2" t="b">
        <v>0</v>
      </c>
    </row>
    <row r="170" spans="1:16" x14ac:dyDescent="0.3">
      <c r="A170" s="2" t="e">
        <f>'Converted Diagram'!$D$321</f>
        <v>#VALUE!</v>
      </c>
      <c r="B170" s="1" t="s">
        <v>31</v>
      </c>
      <c r="C170" s="2">
        <v>0</v>
      </c>
      <c r="I170" s="2" t="s">
        <v>217</v>
      </c>
      <c r="J170" s="2">
        <f>'Converted Diagram'!$C$321</f>
        <v>0</v>
      </c>
      <c r="L170" s="2" t="s">
        <v>378</v>
      </c>
      <c r="M170" s="2">
        <v>0</v>
      </c>
      <c r="O170" s="2" t="str">
        <f>'Converted Diagram'!$D$320</f>
        <v>Number of Rooms and Restrooms</v>
      </c>
      <c r="P170" s="2" t="b">
        <v>0</v>
      </c>
    </row>
    <row r="171" spans="1:16" x14ac:dyDescent="0.3">
      <c r="A171" s="2" t="e">
        <f>'Converted Diagram'!$J$323</f>
        <v>#VALUE!</v>
      </c>
      <c r="B171" s="1" t="s">
        <v>31</v>
      </c>
      <c r="C171" s="2">
        <v>0</v>
      </c>
      <c r="I171" s="2" t="s">
        <v>217</v>
      </c>
      <c r="J171" s="2">
        <f>'Converted Diagram'!$I$323</f>
        <v>0</v>
      </c>
      <c r="K171" s="2" t="e">
        <f>'Converted Diagram'!$I$322</f>
        <v>#VALUE!</v>
      </c>
      <c r="L171" s="2" t="s">
        <v>379</v>
      </c>
      <c r="M171" s="2">
        <v>0</v>
      </c>
      <c r="O171" s="2" t="str">
        <f>'Converted Diagram'!$J$322</f>
        <v>Reduce Commute Time</v>
      </c>
      <c r="P171" s="2" t="b">
        <v>0</v>
      </c>
    </row>
    <row r="172" spans="1:16" x14ac:dyDescent="0.3">
      <c r="A172" s="2" t="e">
        <f>'Converted Diagram'!$K$325</f>
        <v>#VALUE!</v>
      </c>
      <c r="B172" s="1" t="s">
        <v>219</v>
      </c>
      <c r="C172" s="2">
        <v>0</v>
      </c>
      <c r="I172" s="2" t="s">
        <v>217</v>
      </c>
      <c r="J172" s="2">
        <f>'Converted Diagram'!$J$325</f>
        <v>0</v>
      </c>
      <c r="K172" s="2" t="e">
        <f>'Converted Diagram'!$J$324</f>
        <v>#VALUE!</v>
      </c>
      <c r="L172" s="2" t="s">
        <v>380</v>
      </c>
      <c r="M172" s="2">
        <v>0</v>
      </c>
      <c r="O172" s="2" t="str">
        <f>'Converted Diagram'!$K$324</f>
        <v>Reduce overall rent</v>
      </c>
      <c r="P172" s="2" t="b">
        <v>0</v>
      </c>
    </row>
    <row r="173" spans="1:16" x14ac:dyDescent="0.3">
      <c r="A173" s="2" t="e">
        <f>'Converted Diagram'!$L$327</f>
        <v>#VALUE!</v>
      </c>
      <c r="B173" s="1" t="s">
        <v>219</v>
      </c>
      <c r="C173" s="2">
        <v>0</v>
      </c>
      <c r="I173" s="2" t="s">
        <v>217</v>
      </c>
      <c r="J173" s="2">
        <f>'Converted Diagram'!$K$327</f>
        <v>0</v>
      </c>
      <c r="K173" s="2" t="e">
        <f>'Converted Diagram'!$K$326</f>
        <v>#VALUE!</v>
      </c>
      <c r="L173" s="2" t="s">
        <v>381</v>
      </c>
      <c r="M173" s="2">
        <v>0</v>
      </c>
      <c r="O173" s="2" t="str">
        <f>'Converted Diagram'!$L$326</f>
        <v>Increase Overall Convenience</v>
      </c>
      <c r="P173" s="2" t="b">
        <v>0</v>
      </c>
    </row>
    <row r="174" spans="1:16" x14ac:dyDescent="0.3">
      <c r="A174" s="2" t="e">
        <f>'Converted Diagram'!$M$329</f>
        <v>#VALUE!</v>
      </c>
      <c r="B174" s="1" t="s">
        <v>219</v>
      </c>
      <c r="C174" s="2">
        <v>0</v>
      </c>
      <c r="I174" s="2" t="e">
        <v>#VALUE!</v>
      </c>
      <c r="J174" s="2">
        <f>'Converted Diagram'!$L$329</f>
        <v>0</v>
      </c>
      <c r="K174" s="2" t="e">
        <f>'Converted Diagram'!$L$328</f>
        <v>#VALUE!</v>
      </c>
      <c r="L174" s="2" t="s">
        <v>382</v>
      </c>
      <c r="M174" s="2">
        <v>0</v>
      </c>
      <c r="P174" s="2" t="b">
        <v>0</v>
      </c>
    </row>
    <row r="175" spans="1:16" x14ac:dyDescent="0.3">
      <c r="A175" s="2" t="e">
        <f>'Converted Diagram'!$I$331</f>
        <v>#VALUE!</v>
      </c>
      <c r="B175" s="1" t="s">
        <v>31</v>
      </c>
      <c r="C175" s="2">
        <v>0</v>
      </c>
      <c r="I175" s="2" t="s">
        <v>217</v>
      </c>
      <c r="J175" s="2">
        <f>'Converted Diagram'!$H$331</f>
        <v>0</v>
      </c>
      <c r="K175" s="2" t="e">
        <f>'Converted Diagram'!$H$330</f>
        <v>#VALUE!</v>
      </c>
      <c r="L175" s="2" t="s">
        <v>383</v>
      </c>
      <c r="M175" s="2">
        <v>0</v>
      </c>
      <c r="O175" s="2" t="str">
        <f>'Converted Diagram'!$I$330</f>
        <v>Floor</v>
      </c>
      <c r="P175" s="2" t="b">
        <v>0</v>
      </c>
    </row>
    <row r="176" spans="1:16" x14ac:dyDescent="0.3">
      <c r="A176" s="2" t="e">
        <f>'Converted Diagram'!$J$333</f>
        <v>#VALUE!</v>
      </c>
      <c r="B176" s="1" t="s">
        <v>32</v>
      </c>
      <c r="C176" s="2">
        <v>0</v>
      </c>
      <c r="I176" s="2" t="s">
        <v>217</v>
      </c>
      <c r="J176" s="2">
        <f>'Converted Diagram'!$I$333</f>
        <v>0</v>
      </c>
      <c r="K176" s="2" t="e">
        <f>'Converted Diagram'!$I$332</f>
        <v>#VALUE!</v>
      </c>
      <c r="L176" s="2" t="s">
        <v>384</v>
      </c>
      <c r="M176" s="2">
        <v>0</v>
      </c>
      <c r="O176" s="2" t="str">
        <f>'Converted Diagram'!$J$332</f>
        <v>Reduce Commute Time</v>
      </c>
      <c r="P176" s="2" t="b">
        <v>0</v>
      </c>
    </row>
    <row r="177" spans="1:16" x14ac:dyDescent="0.3">
      <c r="A177" s="2" t="e">
        <f>'Converted Diagram'!$K$335</f>
        <v>#VALUE!</v>
      </c>
      <c r="B177" s="1" t="s">
        <v>219</v>
      </c>
      <c r="C177" s="2">
        <v>0</v>
      </c>
      <c r="I177" s="2" t="s">
        <v>217</v>
      </c>
      <c r="J177" s="2">
        <f>'Converted Diagram'!$J$335</f>
        <v>0</v>
      </c>
      <c r="K177" s="2" t="e">
        <f>'Converted Diagram'!$J$334</f>
        <v>#VALUE!</v>
      </c>
      <c r="L177" s="2" t="s">
        <v>385</v>
      </c>
      <c r="M177" s="2">
        <v>0</v>
      </c>
      <c r="O177" s="2" t="str">
        <f>'Converted Diagram'!$K$334</f>
        <v>Reduce overall rent</v>
      </c>
      <c r="P177" s="2" t="b">
        <v>0</v>
      </c>
    </row>
    <row r="178" spans="1:16" x14ac:dyDescent="0.3">
      <c r="A178" s="2" t="e">
        <f>'Converted Diagram'!$L$337</f>
        <v>#VALUE!</v>
      </c>
      <c r="B178" s="1" t="s">
        <v>219</v>
      </c>
      <c r="C178" s="2">
        <v>0</v>
      </c>
      <c r="I178" s="2" t="s">
        <v>217</v>
      </c>
      <c r="J178" s="2">
        <f>'Converted Diagram'!$K$337</f>
        <v>0</v>
      </c>
      <c r="K178" s="2" t="e">
        <f>'Converted Diagram'!$K$336</f>
        <v>#VALUE!</v>
      </c>
      <c r="L178" s="2" t="s">
        <v>386</v>
      </c>
      <c r="M178" s="2">
        <v>0</v>
      </c>
      <c r="O178" s="2" t="str">
        <f>'Converted Diagram'!$L$336</f>
        <v>Increase Overall Convenience</v>
      </c>
      <c r="P178" s="2" t="b">
        <v>0</v>
      </c>
    </row>
    <row r="179" spans="1:16" x14ac:dyDescent="0.3">
      <c r="A179" s="2" t="e">
        <f>'Converted Diagram'!$M$339</f>
        <v>#VALUE!</v>
      </c>
      <c r="B179" s="1" t="s">
        <v>219</v>
      </c>
      <c r="C179" s="2">
        <v>0</v>
      </c>
      <c r="I179" s="2" t="e">
        <v>#VALUE!</v>
      </c>
      <c r="J179" s="2">
        <f>'Converted Diagram'!$L$339</f>
        <v>0</v>
      </c>
      <c r="K179" s="2" t="e">
        <f>'Converted Diagram'!$L$338</f>
        <v>#VALUE!</v>
      </c>
      <c r="L179" s="2" t="s">
        <v>387</v>
      </c>
      <c r="M179" s="2">
        <v>0</v>
      </c>
      <c r="P179" s="2" t="b">
        <v>0</v>
      </c>
    </row>
    <row r="180" spans="1:16" x14ac:dyDescent="0.3">
      <c r="A180" s="2" t="e">
        <f>'Converted Diagram'!$H$341</f>
        <v>#VALUE!</v>
      </c>
      <c r="B180" s="1" t="s">
        <v>31</v>
      </c>
      <c r="C180" s="2">
        <v>0</v>
      </c>
      <c r="I180" s="2" t="s">
        <v>217</v>
      </c>
      <c r="J180" s="2">
        <f>'Converted Diagram'!$G$341</f>
        <v>0</v>
      </c>
      <c r="K180" s="2" t="e">
        <f>'Converted Diagram'!$G$340</f>
        <v>#VALUE!</v>
      </c>
      <c r="L180" s="2" t="s">
        <v>388</v>
      </c>
      <c r="M180" s="2">
        <v>0</v>
      </c>
      <c r="O180" s="2" t="str">
        <f>'Converted Diagram'!$H$340</f>
        <v>Wi-Fi &amp; Cable Ready</v>
      </c>
      <c r="P180" s="2" t="b">
        <v>0</v>
      </c>
    </row>
    <row r="181" spans="1:16" x14ac:dyDescent="0.3">
      <c r="A181" s="2" t="e">
        <f>'Converted Diagram'!$J$343</f>
        <v>#VALUE!</v>
      </c>
      <c r="B181" s="1" t="s">
        <v>31</v>
      </c>
      <c r="C181" s="2">
        <v>0</v>
      </c>
      <c r="I181" s="2" t="s">
        <v>217</v>
      </c>
      <c r="J181" s="2">
        <f>'Converted Diagram'!$I$343</f>
        <v>0</v>
      </c>
      <c r="K181" s="2" t="e">
        <f>'Converted Diagram'!$I$342</f>
        <v>#VALUE!</v>
      </c>
      <c r="L181" s="2" t="s">
        <v>389</v>
      </c>
      <c r="M181" s="2">
        <v>0</v>
      </c>
      <c r="O181" s="2" t="str">
        <f>'Converted Diagram'!$J$342</f>
        <v>Reduce Commute Time</v>
      </c>
      <c r="P181" s="2" t="b">
        <v>0</v>
      </c>
    </row>
    <row r="182" spans="1:16" x14ac:dyDescent="0.3">
      <c r="A182" s="2" t="e">
        <f>'Converted Diagram'!$K$345</f>
        <v>#VALUE!</v>
      </c>
      <c r="B182" s="1" t="s">
        <v>219</v>
      </c>
      <c r="C182" s="2">
        <v>0</v>
      </c>
      <c r="I182" s="2" t="s">
        <v>217</v>
      </c>
      <c r="J182" s="2">
        <f>'Converted Diagram'!$J$345</f>
        <v>0</v>
      </c>
      <c r="K182" s="2" t="e">
        <f>'Converted Diagram'!$J$344</f>
        <v>#VALUE!</v>
      </c>
      <c r="L182" s="2" t="s">
        <v>390</v>
      </c>
      <c r="M182" s="2">
        <v>0</v>
      </c>
      <c r="O182" s="2" t="str">
        <f>'Converted Diagram'!$K$344</f>
        <v>Reduce overall rent</v>
      </c>
      <c r="P182" s="2" t="b">
        <v>0</v>
      </c>
    </row>
    <row r="183" spans="1:16" x14ac:dyDescent="0.3">
      <c r="A183" s="2" t="e">
        <f>'Converted Diagram'!$L$347</f>
        <v>#VALUE!</v>
      </c>
      <c r="B183" s="1" t="s">
        <v>219</v>
      </c>
      <c r="C183" s="2">
        <v>0</v>
      </c>
      <c r="I183" s="2" t="s">
        <v>217</v>
      </c>
      <c r="J183" s="2">
        <f>'Converted Diagram'!$K$347</f>
        <v>0</v>
      </c>
      <c r="K183" s="2" t="e">
        <f>'Converted Diagram'!$K$346</f>
        <v>#VALUE!</v>
      </c>
      <c r="L183" s="2" t="s">
        <v>391</v>
      </c>
      <c r="M183" s="2">
        <v>0</v>
      </c>
      <c r="O183" s="2" t="str">
        <f>'Converted Diagram'!$L$346</f>
        <v>Increase Overall Convenience</v>
      </c>
      <c r="P183" s="2" t="b">
        <v>0</v>
      </c>
    </row>
    <row r="184" spans="1:16" x14ac:dyDescent="0.3">
      <c r="A184" s="2" t="e">
        <f>'Converted Diagram'!$M$349</f>
        <v>#VALUE!</v>
      </c>
      <c r="B184" s="1" t="s">
        <v>219</v>
      </c>
      <c r="C184" s="2">
        <v>0</v>
      </c>
      <c r="I184" s="2" t="e">
        <v>#VALUE!</v>
      </c>
      <c r="J184" s="2">
        <f>'Converted Diagram'!$L$349</f>
        <v>0</v>
      </c>
      <c r="K184" s="2" t="e">
        <f>'Converted Diagram'!$L$348</f>
        <v>#VALUE!</v>
      </c>
      <c r="L184" s="2" t="s">
        <v>392</v>
      </c>
      <c r="M184" s="2">
        <v>0</v>
      </c>
      <c r="P184" s="2" t="b">
        <v>0</v>
      </c>
    </row>
    <row r="185" spans="1:16" x14ac:dyDescent="0.3">
      <c r="A185" s="2" t="e">
        <f>'Converted Diagram'!$I$351</f>
        <v>#VALUE!</v>
      </c>
      <c r="B185" s="1" t="s">
        <v>32</v>
      </c>
      <c r="C185" s="2">
        <v>0</v>
      </c>
      <c r="I185" s="2" t="s">
        <v>217</v>
      </c>
      <c r="J185" s="2">
        <f>'Converted Diagram'!$H$351</f>
        <v>0</v>
      </c>
      <c r="K185" s="2" t="e">
        <f>'Converted Diagram'!$H$350</f>
        <v>#VALUE!</v>
      </c>
      <c r="L185" s="2" t="s">
        <v>393</v>
      </c>
      <c r="M185" s="2">
        <v>0</v>
      </c>
      <c r="O185" s="2" t="str">
        <f>'Converted Diagram'!$I$350</f>
        <v>Floor</v>
      </c>
      <c r="P185" s="2" t="b">
        <v>0</v>
      </c>
    </row>
    <row r="186" spans="1:16" x14ac:dyDescent="0.3">
      <c r="A186" s="2" t="e">
        <f>'Converted Diagram'!$J$353</f>
        <v>#VALUE!</v>
      </c>
      <c r="B186" s="1" t="s">
        <v>32</v>
      </c>
      <c r="C186" s="2">
        <v>0</v>
      </c>
      <c r="I186" s="2" t="s">
        <v>217</v>
      </c>
      <c r="J186" s="2">
        <f>'Converted Diagram'!$I$353</f>
        <v>0</v>
      </c>
      <c r="K186" s="2" t="e">
        <f>'Converted Diagram'!$I$352</f>
        <v>#VALUE!</v>
      </c>
      <c r="L186" s="2" t="s">
        <v>394</v>
      </c>
      <c r="M186" s="2">
        <v>0</v>
      </c>
      <c r="O186" s="2" t="str">
        <f>'Converted Diagram'!$J$352</f>
        <v>Reduce Commute Time</v>
      </c>
      <c r="P186" s="2" t="b">
        <v>0</v>
      </c>
    </row>
    <row r="187" spans="1:16" x14ac:dyDescent="0.3">
      <c r="A187" s="2" t="e">
        <f>'Converted Diagram'!$K$355</f>
        <v>#VALUE!</v>
      </c>
      <c r="B187" s="1" t="s">
        <v>219</v>
      </c>
      <c r="C187" s="2">
        <v>0</v>
      </c>
      <c r="I187" s="2" t="s">
        <v>217</v>
      </c>
      <c r="J187" s="2">
        <f>'Converted Diagram'!$J$355</f>
        <v>0</v>
      </c>
      <c r="K187" s="2" t="e">
        <f>'Converted Diagram'!$J$354</f>
        <v>#VALUE!</v>
      </c>
      <c r="L187" s="2" t="s">
        <v>395</v>
      </c>
      <c r="M187" s="2">
        <v>0</v>
      </c>
      <c r="O187" s="2" t="str">
        <f>'Converted Diagram'!$K$354</f>
        <v>Reduce overall rent</v>
      </c>
      <c r="P187" s="2" t="b">
        <v>0</v>
      </c>
    </row>
    <row r="188" spans="1:16" x14ac:dyDescent="0.3">
      <c r="A188" s="2" t="e">
        <f>'Converted Diagram'!$L$357</f>
        <v>#VALUE!</v>
      </c>
      <c r="B188" s="1" t="s">
        <v>219</v>
      </c>
      <c r="C188" s="2">
        <v>0</v>
      </c>
      <c r="I188" s="2" t="s">
        <v>217</v>
      </c>
      <c r="J188" s="2">
        <f>'Converted Diagram'!$K$357</f>
        <v>0</v>
      </c>
      <c r="K188" s="2" t="e">
        <f>'Converted Diagram'!$K$356</f>
        <v>#VALUE!</v>
      </c>
      <c r="L188" s="2" t="s">
        <v>396</v>
      </c>
      <c r="M188" s="2">
        <v>0</v>
      </c>
      <c r="O188" s="2" t="str">
        <f>'Converted Diagram'!$L$356</f>
        <v>Increase Overall Convenience</v>
      </c>
      <c r="P188" s="2" t="b">
        <v>0</v>
      </c>
    </row>
    <row r="189" spans="1:16" x14ac:dyDescent="0.3">
      <c r="A189" s="2" t="e">
        <f>'Converted Diagram'!$M$359</f>
        <v>#VALUE!</v>
      </c>
      <c r="B189" s="1" t="s">
        <v>219</v>
      </c>
      <c r="C189" s="2">
        <v>0</v>
      </c>
      <c r="I189" s="2" t="e">
        <v>#VALUE!</v>
      </c>
      <c r="J189" s="2">
        <f>'Converted Diagram'!$L$359</f>
        <v>0</v>
      </c>
      <c r="K189" s="2" t="e">
        <f>'Converted Diagram'!$L$358</f>
        <v>#VALUE!</v>
      </c>
      <c r="L189" s="2" t="s">
        <v>397</v>
      </c>
      <c r="M189" s="2">
        <v>0</v>
      </c>
      <c r="P189" s="2" t="b">
        <v>0</v>
      </c>
    </row>
    <row r="190" spans="1:16" x14ac:dyDescent="0.3">
      <c r="A190" s="2" t="e">
        <f>'Converted Diagram'!$G$361</f>
        <v>#VALUE!</v>
      </c>
      <c r="B190" s="1" t="s">
        <v>31</v>
      </c>
      <c r="C190" s="2">
        <v>0</v>
      </c>
      <c r="I190" s="2" t="s">
        <v>217</v>
      </c>
      <c r="J190" s="2">
        <f>'Converted Diagram'!$F$361</f>
        <v>0</v>
      </c>
      <c r="K190" s="2" t="e">
        <f>'Converted Diagram'!$F$360</f>
        <v>#VALUE!</v>
      </c>
      <c r="L190" s="2" t="s">
        <v>398</v>
      </c>
      <c r="M190" s="2">
        <v>0</v>
      </c>
      <c r="O190" s="2" t="str">
        <f>'Converted Diagram'!$G$360</f>
        <v>Grocery Store</v>
      </c>
      <c r="P190" s="2" t="b">
        <v>0</v>
      </c>
    </row>
    <row r="191" spans="1:16" x14ac:dyDescent="0.3">
      <c r="A191" s="2" t="e">
        <f>'Converted Diagram'!$J$363</f>
        <v>#VALUE!</v>
      </c>
      <c r="B191" s="1" t="s">
        <v>31</v>
      </c>
      <c r="C191" s="2">
        <v>0</v>
      </c>
      <c r="I191" s="2" t="s">
        <v>217</v>
      </c>
      <c r="J191" s="2">
        <f>'Converted Diagram'!$I$363</f>
        <v>0</v>
      </c>
      <c r="K191" s="2" t="e">
        <f>'Converted Diagram'!$I$362</f>
        <v>#VALUE!</v>
      </c>
      <c r="L191" s="2" t="s">
        <v>399</v>
      </c>
      <c r="M191" s="2">
        <v>0</v>
      </c>
      <c r="O191" s="2" t="str">
        <f>'Converted Diagram'!$J$362</f>
        <v>Reduce Commute Time</v>
      </c>
      <c r="P191" s="2" t="b">
        <v>0</v>
      </c>
    </row>
    <row r="192" spans="1:16" x14ac:dyDescent="0.3">
      <c r="A192" s="2" t="e">
        <f>'Converted Diagram'!$K$365</f>
        <v>#VALUE!</v>
      </c>
      <c r="B192" s="1" t="s">
        <v>219</v>
      </c>
      <c r="C192" s="2">
        <v>0</v>
      </c>
      <c r="I192" s="2" t="s">
        <v>217</v>
      </c>
      <c r="J192" s="2">
        <f>'Converted Diagram'!$J$365</f>
        <v>0</v>
      </c>
      <c r="K192" s="2" t="e">
        <f>'Converted Diagram'!$J$364</f>
        <v>#VALUE!</v>
      </c>
      <c r="L192" s="2" t="s">
        <v>400</v>
      </c>
      <c r="M192" s="2">
        <v>0</v>
      </c>
      <c r="O192" s="2" t="str">
        <f>'Converted Diagram'!$K$364</f>
        <v>Reduce overall rent</v>
      </c>
      <c r="P192" s="2" t="b">
        <v>0</v>
      </c>
    </row>
    <row r="193" spans="1:16" x14ac:dyDescent="0.3">
      <c r="A193" s="2" t="e">
        <f>'Converted Diagram'!$L$367</f>
        <v>#VALUE!</v>
      </c>
      <c r="B193" s="1" t="s">
        <v>219</v>
      </c>
      <c r="C193" s="2">
        <v>0</v>
      </c>
      <c r="I193" s="2" t="s">
        <v>217</v>
      </c>
      <c r="J193" s="2">
        <f>'Converted Diagram'!$K$367</f>
        <v>0</v>
      </c>
      <c r="K193" s="2" t="e">
        <f>'Converted Diagram'!$K$366</f>
        <v>#VALUE!</v>
      </c>
      <c r="L193" s="2" t="s">
        <v>401</v>
      </c>
      <c r="M193" s="2">
        <v>0</v>
      </c>
      <c r="O193" s="2" t="str">
        <f>'Converted Diagram'!$L$366</f>
        <v>Increase Overall Convenience</v>
      </c>
      <c r="P193" s="2" t="b">
        <v>0</v>
      </c>
    </row>
    <row r="194" spans="1:16" x14ac:dyDescent="0.3">
      <c r="A194" s="2" t="e">
        <f>'Converted Diagram'!$M$369</f>
        <v>#VALUE!</v>
      </c>
      <c r="B194" s="1" t="s">
        <v>219</v>
      </c>
      <c r="C194" s="2">
        <v>0</v>
      </c>
      <c r="I194" s="2" t="e">
        <v>#VALUE!</v>
      </c>
      <c r="J194" s="2">
        <f>'Converted Diagram'!$L$369</f>
        <v>0</v>
      </c>
      <c r="K194" s="2" t="e">
        <f>'Converted Diagram'!$L$368</f>
        <v>#VALUE!</v>
      </c>
      <c r="L194" s="2" t="s">
        <v>402</v>
      </c>
      <c r="M194" s="2">
        <v>0</v>
      </c>
      <c r="P194" s="2" t="b">
        <v>0</v>
      </c>
    </row>
    <row r="195" spans="1:16" x14ac:dyDescent="0.3">
      <c r="A195" s="2" t="e">
        <f>'Converted Diagram'!$I$371</f>
        <v>#VALUE!</v>
      </c>
      <c r="B195" s="1" t="s">
        <v>31</v>
      </c>
      <c r="C195" s="2">
        <v>0</v>
      </c>
      <c r="I195" s="2" t="s">
        <v>217</v>
      </c>
      <c r="J195" s="2">
        <f>'Converted Diagram'!$H$371</f>
        <v>0</v>
      </c>
      <c r="K195" s="2" t="e">
        <f>'Converted Diagram'!$H$370</f>
        <v>#VALUE!</v>
      </c>
      <c r="L195" s="2" t="s">
        <v>403</v>
      </c>
      <c r="M195" s="2">
        <v>0</v>
      </c>
      <c r="O195" s="2" t="str">
        <f>'Converted Diagram'!$I$370</f>
        <v>Floor</v>
      </c>
      <c r="P195" s="2" t="b">
        <v>0</v>
      </c>
    </row>
    <row r="196" spans="1:16" x14ac:dyDescent="0.3">
      <c r="A196" s="2" t="e">
        <f>'Converted Diagram'!$J$373</f>
        <v>#VALUE!</v>
      </c>
      <c r="B196" s="1" t="s">
        <v>32</v>
      </c>
      <c r="C196" s="2">
        <v>0</v>
      </c>
      <c r="I196" s="2" t="s">
        <v>217</v>
      </c>
      <c r="J196" s="2">
        <f>'Converted Diagram'!$I$373</f>
        <v>0</v>
      </c>
      <c r="K196" s="2" t="e">
        <f>'Converted Diagram'!$I$372</f>
        <v>#VALUE!</v>
      </c>
      <c r="L196" s="2" t="s">
        <v>404</v>
      </c>
      <c r="M196" s="2">
        <v>0</v>
      </c>
      <c r="O196" s="2" t="str">
        <f>'Converted Diagram'!$J$372</f>
        <v>Reduce Commute Time</v>
      </c>
      <c r="P196" s="2" t="b">
        <v>0</v>
      </c>
    </row>
    <row r="197" spans="1:16" x14ac:dyDescent="0.3">
      <c r="A197" s="2" t="e">
        <f>'Converted Diagram'!$K$375</f>
        <v>#VALUE!</v>
      </c>
      <c r="B197" s="1" t="s">
        <v>219</v>
      </c>
      <c r="C197" s="2">
        <v>0</v>
      </c>
      <c r="I197" s="2" t="s">
        <v>217</v>
      </c>
      <c r="J197" s="2">
        <f>'Converted Diagram'!$J$375</f>
        <v>0</v>
      </c>
      <c r="K197" s="2" t="e">
        <f>'Converted Diagram'!$J$374</f>
        <v>#VALUE!</v>
      </c>
      <c r="L197" s="2" t="s">
        <v>405</v>
      </c>
      <c r="M197" s="2">
        <v>0</v>
      </c>
      <c r="O197" s="2" t="str">
        <f>'Converted Diagram'!$K$374</f>
        <v>Reduce overall rent</v>
      </c>
      <c r="P197" s="2" t="b">
        <v>0</v>
      </c>
    </row>
    <row r="198" spans="1:16" x14ac:dyDescent="0.3">
      <c r="A198" s="2" t="e">
        <f>'Converted Diagram'!$L$377</f>
        <v>#VALUE!</v>
      </c>
      <c r="B198" s="1" t="s">
        <v>219</v>
      </c>
      <c r="C198" s="2">
        <v>0</v>
      </c>
      <c r="I198" s="2" t="s">
        <v>217</v>
      </c>
      <c r="J198" s="2">
        <f>'Converted Diagram'!$K$377</f>
        <v>0</v>
      </c>
      <c r="K198" s="2" t="e">
        <f>'Converted Diagram'!$K$376</f>
        <v>#VALUE!</v>
      </c>
      <c r="L198" s="2" t="s">
        <v>406</v>
      </c>
      <c r="M198" s="2">
        <v>0</v>
      </c>
      <c r="O198" s="2" t="str">
        <f>'Converted Diagram'!$L$376</f>
        <v>Increase Overall Convenience</v>
      </c>
      <c r="P198" s="2" t="b">
        <v>0</v>
      </c>
    </row>
    <row r="199" spans="1:16" x14ac:dyDescent="0.3">
      <c r="A199" s="2" t="e">
        <f>'Converted Diagram'!$M$379</f>
        <v>#VALUE!</v>
      </c>
      <c r="B199" s="1" t="s">
        <v>219</v>
      </c>
      <c r="C199" s="2">
        <v>0</v>
      </c>
      <c r="I199" s="2" t="e">
        <v>#VALUE!</v>
      </c>
      <c r="J199" s="2">
        <f>'Converted Diagram'!$L$379</f>
        <v>0</v>
      </c>
      <c r="K199" s="2" t="e">
        <f>'Converted Diagram'!$L$378</f>
        <v>#VALUE!</v>
      </c>
      <c r="L199" s="2" t="s">
        <v>407</v>
      </c>
      <c r="M199" s="2">
        <v>0</v>
      </c>
      <c r="P199" s="2" t="b">
        <v>0</v>
      </c>
    </row>
    <row r="200" spans="1:16" x14ac:dyDescent="0.3">
      <c r="A200" s="2" t="e">
        <f>'Converted Diagram'!$H$381</f>
        <v>#VALUE!</v>
      </c>
      <c r="B200" s="1" t="s">
        <v>32</v>
      </c>
      <c r="C200" s="2">
        <v>0</v>
      </c>
      <c r="I200" s="2" t="s">
        <v>217</v>
      </c>
      <c r="J200" s="2">
        <f>'Converted Diagram'!$G$381</f>
        <v>0</v>
      </c>
      <c r="K200" s="2" t="e">
        <f>'Converted Diagram'!$G$380</f>
        <v>#VALUE!</v>
      </c>
      <c r="L200" s="2" t="s">
        <v>408</v>
      </c>
      <c r="M200" s="2">
        <v>0</v>
      </c>
      <c r="O200" s="2" t="str">
        <f>'Converted Diagram'!$H$380</f>
        <v>Wi-Fi &amp; Cable Ready</v>
      </c>
      <c r="P200" s="2" t="b">
        <v>0</v>
      </c>
    </row>
    <row r="201" spans="1:16" x14ac:dyDescent="0.3">
      <c r="A201" s="2" t="e">
        <f>'Converted Diagram'!$J$383</f>
        <v>#VALUE!</v>
      </c>
      <c r="B201" s="1" t="s">
        <v>31</v>
      </c>
      <c r="C201" s="2">
        <v>0</v>
      </c>
      <c r="I201" s="2" t="s">
        <v>217</v>
      </c>
      <c r="J201" s="2">
        <f>'Converted Diagram'!$I$383</f>
        <v>0</v>
      </c>
      <c r="K201" s="2" t="e">
        <f>'Converted Diagram'!$I$382</f>
        <v>#VALUE!</v>
      </c>
      <c r="L201" s="2" t="s">
        <v>409</v>
      </c>
      <c r="M201" s="2">
        <v>0</v>
      </c>
      <c r="O201" s="2" t="str">
        <f>'Converted Diagram'!$J$382</f>
        <v>Reduce Commute Time</v>
      </c>
      <c r="P201" s="2" t="b">
        <v>0</v>
      </c>
    </row>
    <row r="202" spans="1:16" x14ac:dyDescent="0.3">
      <c r="A202" s="2" t="e">
        <f>'Converted Diagram'!$K$385</f>
        <v>#VALUE!</v>
      </c>
      <c r="B202" s="1" t="s">
        <v>219</v>
      </c>
      <c r="C202" s="2">
        <v>0</v>
      </c>
      <c r="I202" s="2" t="s">
        <v>217</v>
      </c>
      <c r="J202" s="2">
        <f>'Converted Diagram'!$J$385</f>
        <v>0</v>
      </c>
      <c r="K202" s="2" t="e">
        <f>'Converted Diagram'!$J$384</f>
        <v>#VALUE!</v>
      </c>
      <c r="L202" s="2" t="s">
        <v>410</v>
      </c>
      <c r="M202" s="2">
        <v>0</v>
      </c>
      <c r="O202" s="2" t="str">
        <f>'Converted Diagram'!$K$384</f>
        <v>Reduce overall rent</v>
      </c>
      <c r="P202" s="2" t="b">
        <v>0</v>
      </c>
    </row>
    <row r="203" spans="1:16" x14ac:dyDescent="0.3">
      <c r="A203" s="2" t="e">
        <f>'Converted Diagram'!$L$387</f>
        <v>#VALUE!</v>
      </c>
      <c r="B203" s="1" t="s">
        <v>219</v>
      </c>
      <c r="C203" s="2">
        <v>0</v>
      </c>
      <c r="I203" s="2" t="s">
        <v>217</v>
      </c>
      <c r="J203" s="2">
        <f>'Converted Diagram'!$K$387</f>
        <v>0</v>
      </c>
      <c r="K203" s="2" t="e">
        <f>'Converted Diagram'!$K$386</f>
        <v>#VALUE!</v>
      </c>
      <c r="L203" s="2" t="s">
        <v>411</v>
      </c>
      <c r="M203" s="2">
        <v>0</v>
      </c>
      <c r="O203" s="2" t="str">
        <f>'Converted Diagram'!$L$386</f>
        <v>Increase Overall Convenience</v>
      </c>
      <c r="P203" s="2" t="b">
        <v>0</v>
      </c>
    </row>
    <row r="204" spans="1:16" x14ac:dyDescent="0.3">
      <c r="A204" s="2" t="e">
        <f>'Converted Diagram'!$M$389</f>
        <v>#VALUE!</v>
      </c>
      <c r="B204" s="1" t="s">
        <v>219</v>
      </c>
      <c r="C204" s="2">
        <v>0</v>
      </c>
      <c r="I204" s="2" t="e">
        <v>#VALUE!</v>
      </c>
      <c r="J204" s="2">
        <f>'Converted Diagram'!$L$389</f>
        <v>0</v>
      </c>
      <c r="K204" s="2" t="e">
        <f>'Converted Diagram'!$L$388</f>
        <v>#VALUE!</v>
      </c>
      <c r="L204" s="2" t="s">
        <v>412</v>
      </c>
      <c r="M204" s="2">
        <v>0</v>
      </c>
      <c r="P204" s="2" t="b">
        <v>0</v>
      </c>
    </row>
    <row r="205" spans="1:16" x14ac:dyDescent="0.3">
      <c r="A205" s="2" t="e">
        <f>'Converted Diagram'!$I$391</f>
        <v>#VALUE!</v>
      </c>
      <c r="B205" s="1" t="s">
        <v>32</v>
      </c>
      <c r="C205" s="2">
        <v>0</v>
      </c>
      <c r="I205" s="2" t="s">
        <v>217</v>
      </c>
      <c r="J205" s="2">
        <f>'Converted Diagram'!$H$391</f>
        <v>0</v>
      </c>
      <c r="K205" s="2" t="e">
        <f>'Converted Diagram'!$H$390</f>
        <v>#VALUE!</v>
      </c>
      <c r="L205" s="2" t="s">
        <v>413</v>
      </c>
      <c r="M205" s="2">
        <v>0</v>
      </c>
      <c r="O205" s="2" t="str">
        <f>'Converted Diagram'!$I$390</f>
        <v>Floor</v>
      </c>
      <c r="P205" s="2" t="b">
        <v>0</v>
      </c>
    </row>
    <row r="206" spans="1:16" x14ac:dyDescent="0.3">
      <c r="A206" s="2" t="e">
        <f>'Converted Diagram'!$J$393</f>
        <v>#VALUE!</v>
      </c>
      <c r="B206" s="1" t="s">
        <v>32</v>
      </c>
      <c r="C206" s="2">
        <v>0</v>
      </c>
      <c r="I206" s="2" t="s">
        <v>217</v>
      </c>
      <c r="J206" s="2">
        <f>'Converted Diagram'!$I$393</f>
        <v>0</v>
      </c>
      <c r="K206" s="2" t="e">
        <f>'Converted Diagram'!$I$392</f>
        <v>#VALUE!</v>
      </c>
      <c r="L206" s="2" t="s">
        <v>414</v>
      </c>
      <c r="M206" s="2">
        <v>0</v>
      </c>
      <c r="O206" s="2" t="str">
        <f>'Converted Diagram'!$J$392</f>
        <v>Reduce Commute Time</v>
      </c>
      <c r="P206" s="2" t="b">
        <v>0</v>
      </c>
    </row>
    <row r="207" spans="1:16" x14ac:dyDescent="0.3">
      <c r="A207" s="2" t="e">
        <f>'Converted Diagram'!$K$395</f>
        <v>#VALUE!</v>
      </c>
      <c r="B207" s="1" t="s">
        <v>219</v>
      </c>
      <c r="C207" s="2">
        <v>0</v>
      </c>
      <c r="I207" s="2" t="s">
        <v>217</v>
      </c>
      <c r="J207" s="2">
        <f>'Converted Diagram'!$J$395</f>
        <v>0</v>
      </c>
      <c r="K207" s="2" t="e">
        <f>'Converted Diagram'!$J$394</f>
        <v>#VALUE!</v>
      </c>
      <c r="L207" s="2" t="s">
        <v>415</v>
      </c>
      <c r="M207" s="2">
        <v>0</v>
      </c>
      <c r="O207" s="2" t="str">
        <f>'Converted Diagram'!$K$394</f>
        <v>Reduce overall rent</v>
      </c>
      <c r="P207" s="2" t="b">
        <v>0</v>
      </c>
    </row>
    <row r="208" spans="1:16" x14ac:dyDescent="0.3">
      <c r="A208" s="2" t="e">
        <f>'Converted Diagram'!$L$397</f>
        <v>#VALUE!</v>
      </c>
      <c r="B208" s="1" t="s">
        <v>219</v>
      </c>
      <c r="C208" s="2">
        <v>0</v>
      </c>
      <c r="I208" s="2" t="s">
        <v>217</v>
      </c>
      <c r="J208" s="2">
        <f>'Converted Diagram'!$K$397</f>
        <v>0</v>
      </c>
      <c r="K208" s="2" t="e">
        <f>'Converted Diagram'!$K$396</f>
        <v>#VALUE!</v>
      </c>
      <c r="L208" s="2" t="s">
        <v>416</v>
      </c>
      <c r="M208" s="2">
        <v>0</v>
      </c>
      <c r="O208" s="2" t="str">
        <f>'Converted Diagram'!$L$396</f>
        <v>Increase Overall Convenience</v>
      </c>
      <c r="P208" s="2" t="b">
        <v>0</v>
      </c>
    </row>
    <row r="209" spans="1:16" x14ac:dyDescent="0.3">
      <c r="A209" s="2" t="e">
        <f>'Converted Diagram'!$M$399</f>
        <v>#VALUE!</v>
      </c>
      <c r="B209" s="1" t="s">
        <v>219</v>
      </c>
      <c r="C209" s="2">
        <v>0</v>
      </c>
      <c r="I209" s="2" t="e">
        <v>#VALUE!</v>
      </c>
      <c r="J209" s="2">
        <f>'Converted Diagram'!$L$399</f>
        <v>0</v>
      </c>
      <c r="K209" s="2" t="e">
        <f>'Converted Diagram'!$L$398</f>
        <v>#VALUE!</v>
      </c>
      <c r="L209" s="2" t="s">
        <v>417</v>
      </c>
      <c r="M209" s="2">
        <v>0</v>
      </c>
      <c r="P209" s="2" t="b">
        <v>0</v>
      </c>
    </row>
    <row r="210" spans="1:16" x14ac:dyDescent="0.3">
      <c r="A210" s="2" t="e">
        <f>'Converted Diagram'!$F$401</f>
        <v>#VALUE!</v>
      </c>
      <c r="B210" s="1" t="s">
        <v>31</v>
      </c>
      <c r="C210" s="2">
        <v>0</v>
      </c>
      <c r="I210" s="2" t="s">
        <v>217</v>
      </c>
      <c r="J210" s="2">
        <f>'Converted Diagram'!$E$401</f>
        <v>0</v>
      </c>
      <c r="K210" s="2" t="e">
        <f>'Converted Diagram'!$E$400</f>
        <v>#VALUE!</v>
      </c>
      <c r="L210" s="2" t="s">
        <v>418</v>
      </c>
      <c r="M210" s="2">
        <v>0</v>
      </c>
      <c r="O210" s="2" t="str">
        <f>'Converted Diagram'!$F$400</f>
        <v>Utilities</v>
      </c>
      <c r="P210" s="2" t="b">
        <v>0</v>
      </c>
    </row>
    <row r="211" spans="1:16" x14ac:dyDescent="0.3">
      <c r="A211" s="2" t="e">
        <f>'Converted Diagram'!$J$403</f>
        <v>#VALUE!</v>
      </c>
      <c r="B211" s="1" t="s">
        <v>31</v>
      </c>
      <c r="C211" s="2">
        <v>0</v>
      </c>
      <c r="I211" s="2" t="s">
        <v>217</v>
      </c>
      <c r="J211" s="2">
        <f>'Converted Diagram'!$I$403</f>
        <v>0</v>
      </c>
      <c r="K211" s="2" t="e">
        <f>'Converted Diagram'!$I$402</f>
        <v>#VALUE!</v>
      </c>
      <c r="L211" s="2" t="s">
        <v>419</v>
      </c>
      <c r="M211" s="2">
        <v>0</v>
      </c>
      <c r="O211" s="2" t="str">
        <f>'Converted Diagram'!$J$402</f>
        <v>Reduce Commute Time</v>
      </c>
      <c r="P211" s="2" t="b">
        <v>0</v>
      </c>
    </row>
    <row r="212" spans="1:16" x14ac:dyDescent="0.3">
      <c r="A212" s="2" t="e">
        <f>'Converted Diagram'!$K$405</f>
        <v>#VALUE!</v>
      </c>
      <c r="B212" s="1" t="s">
        <v>219</v>
      </c>
      <c r="C212" s="2">
        <v>0</v>
      </c>
      <c r="I212" s="2" t="s">
        <v>217</v>
      </c>
      <c r="J212" s="2">
        <f>'Converted Diagram'!$J$405</f>
        <v>0</v>
      </c>
      <c r="K212" s="2" t="e">
        <f>'Converted Diagram'!$J$404</f>
        <v>#VALUE!</v>
      </c>
      <c r="L212" s="2" t="s">
        <v>420</v>
      </c>
      <c r="M212" s="2">
        <v>0</v>
      </c>
      <c r="O212" s="2" t="str">
        <f>'Converted Diagram'!$K$404</f>
        <v>Reduce overall rent</v>
      </c>
      <c r="P212" s="2" t="b">
        <v>0</v>
      </c>
    </row>
    <row r="213" spans="1:16" x14ac:dyDescent="0.3">
      <c r="A213" s="2" t="e">
        <f>'Converted Diagram'!$L$407</f>
        <v>#VALUE!</v>
      </c>
      <c r="B213" s="1" t="s">
        <v>219</v>
      </c>
      <c r="C213" s="2">
        <v>0</v>
      </c>
      <c r="I213" s="2" t="s">
        <v>217</v>
      </c>
      <c r="J213" s="2">
        <f>'Converted Diagram'!$K$407</f>
        <v>0</v>
      </c>
      <c r="K213" s="2" t="e">
        <f>'Converted Diagram'!$K$406</f>
        <v>#VALUE!</v>
      </c>
      <c r="L213" s="2" t="s">
        <v>421</v>
      </c>
      <c r="M213" s="2">
        <v>0</v>
      </c>
      <c r="O213" s="2" t="str">
        <f>'Converted Diagram'!$L$406</f>
        <v>Increase Overall Convenience</v>
      </c>
      <c r="P213" s="2" t="b">
        <v>0</v>
      </c>
    </row>
    <row r="214" spans="1:16" x14ac:dyDescent="0.3">
      <c r="A214" s="2" t="e">
        <f>'Converted Diagram'!$M$409</f>
        <v>#VALUE!</v>
      </c>
      <c r="B214" s="1" t="s">
        <v>219</v>
      </c>
      <c r="C214" s="2">
        <v>0</v>
      </c>
      <c r="I214" s="2" t="e">
        <v>#VALUE!</v>
      </c>
      <c r="J214" s="2">
        <f>'Converted Diagram'!$L$409</f>
        <v>0</v>
      </c>
      <c r="K214" s="2" t="e">
        <f>'Converted Diagram'!$L$408</f>
        <v>#VALUE!</v>
      </c>
      <c r="L214" s="2" t="s">
        <v>422</v>
      </c>
      <c r="M214" s="2">
        <v>0</v>
      </c>
      <c r="P214" s="2" t="b">
        <v>0</v>
      </c>
    </row>
    <row r="215" spans="1:16" x14ac:dyDescent="0.3">
      <c r="A215" s="2" t="e">
        <f>'Converted Diagram'!$I$411</f>
        <v>#VALUE!</v>
      </c>
      <c r="B215" s="1" t="s">
        <v>31</v>
      </c>
      <c r="C215" s="2">
        <v>0</v>
      </c>
      <c r="I215" s="2" t="s">
        <v>217</v>
      </c>
      <c r="J215" s="2">
        <f>'Converted Diagram'!$H$411</f>
        <v>0</v>
      </c>
      <c r="K215" s="2" t="e">
        <f>'Converted Diagram'!$H$410</f>
        <v>#VALUE!</v>
      </c>
      <c r="L215" s="2" t="s">
        <v>423</v>
      </c>
      <c r="M215" s="2">
        <v>0</v>
      </c>
      <c r="O215" s="2" t="str">
        <f>'Converted Diagram'!$I$410</f>
        <v>Floor</v>
      </c>
      <c r="P215" s="2" t="b">
        <v>0</v>
      </c>
    </row>
    <row r="216" spans="1:16" x14ac:dyDescent="0.3">
      <c r="A216" s="2" t="e">
        <f>'Converted Diagram'!$J$413</f>
        <v>#VALUE!</v>
      </c>
      <c r="B216" s="1" t="s">
        <v>32</v>
      </c>
      <c r="C216" s="2">
        <v>0</v>
      </c>
      <c r="I216" s="2" t="s">
        <v>217</v>
      </c>
      <c r="J216" s="2">
        <f>'Converted Diagram'!$I$413</f>
        <v>0</v>
      </c>
      <c r="K216" s="2" t="e">
        <f>'Converted Diagram'!$I$412</f>
        <v>#VALUE!</v>
      </c>
      <c r="L216" s="2" t="s">
        <v>424</v>
      </c>
      <c r="M216" s="2">
        <v>0</v>
      </c>
      <c r="O216" s="2" t="str">
        <f>'Converted Diagram'!$J$412</f>
        <v>Reduce Commute Time</v>
      </c>
      <c r="P216" s="2" t="b">
        <v>0</v>
      </c>
    </row>
    <row r="217" spans="1:16" x14ac:dyDescent="0.3">
      <c r="A217" s="2" t="e">
        <f>'Converted Diagram'!$K$415</f>
        <v>#VALUE!</v>
      </c>
      <c r="B217" s="1" t="s">
        <v>219</v>
      </c>
      <c r="C217" s="2">
        <v>0</v>
      </c>
      <c r="I217" s="2" t="s">
        <v>217</v>
      </c>
      <c r="J217" s="2">
        <f>'Converted Diagram'!$J$415</f>
        <v>0</v>
      </c>
      <c r="K217" s="2" t="e">
        <f>'Converted Diagram'!$J$414</f>
        <v>#VALUE!</v>
      </c>
      <c r="L217" s="2" t="s">
        <v>425</v>
      </c>
      <c r="M217" s="2">
        <v>0</v>
      </c>
      <c r="O217" s="2" t="str">
        <f>'Converted Diagram'!$K$414</f>
        <v>Reduce overall rent</v>
      </c>
      <c r="P217" s="2" t="b">
        <v>0</v>
      </c>
    </row>
    <row r="218" spans="1:16" x14ac:dyDescent="0.3">
      <c r="A218" s="2" t="e">
        <f>'Converted Diagram'!$L$417</f>
        <v>#VALUE!</v>
      </c>
      <c r="B218" s="1" t="s">
        <v>219</v>
      </c>
      <c r="C218" s="2">
        <v>0</v>
      </c>
      <c r="I218" s="2" t="s">
        <v>217</v>
      </c>
      <c r="J218" s="2">
        <f>'Converted Diagram'!$K$417</f>
        <v>0</v>
      </c>
      <c r="K218" s="2" t="e">
        <f>'Converted Diagram'!$K$416</f>
        <v>#VALUE!</v>
      </c>
      <c r="L218" s="2" t="s">
        <v>426</v>
      </c>
      <c r="M218" s="2">
        <v>0</v>
      </c>
      <c r="O218" s="2" t="str">
        <f>'Converted Diagram'!$L$416</f>
        <v>Increase Overall Convenience</v>
      </c>
      <c r="P218" s="2" t="b">
        <v>0</v>
      </c>
    </row>
    <row r="219" spans="1:16" x14ac:dyDescent="0.3">
      <c r="A219" s="2" t="e">
        <f>'Converted Diagram'!$M$419</f>
        <v>#VALUE!</v>
      </c>
      <c r="B219" s="1" t="s">
        <v>219</v>
      </c>
      <c r="C219" s="2">
        <v>0</v>
      </c>
      <c r="I219" s="2" t="e">
        <v>#VALUE!</v>
      </c>
      <c r="J219" s="2">
        <f>'Converted Diagram'!$L$419</f>
        <v>0</v>
      </c>
      <c r="K219" s="2" t="e">
        <f>'Converted Diagram'!$L$418</f>
        <v>#VALUE!</v>
      </c>
      <c r="L219" s="2" t="s">
        <v>427</v>
      </c>
      <c r="M219" s="2">
        <v>0</v>
      </c>
      <c r="P219" s="2" t="b">
        <v>0</v>
      </c>
    </row>
    <row r="220" spans="1:16" x14ac:dyDescent="0.3">
      <c r="A220" s="2" t="e">
        <f>'Converted Diagram'!$H$421</f>
        <v>#VALUE!</v>
      </c>
      <c r="B220" s="1" t="s">
        <v>31</v>
      </c>
      <c r="C220" s="2">
        <v>0</v>
      </c>
      <c r="I220" s="2" t="s">
        <v>217</v>
      </c>
      <c r="J220" s="2">
        <f>'Converted Diagram'!$G$421</f>
        <v>0</v>
      </c>
      <c r="K220" s="2" t="e">
        <f>'Converted Diagram'!$G$420</f>
        <v>#VALUE!</v>
      </c>
      <c r="L220" s="2" t="s">
        <v>428</v>
      </c>
      <c r="M220" s="2">
        <v>0</v>
      </c>
      <c r="O220" s="2" t="str">
        <f>'Converted Diagram'!$H$420</f>
        <v>Wi-Fi &amp; Cable Ready</v>
      </c>
      <c r="P220" s="2" t="b">
        <v>0</v>
      </c>
    </row>
    <row r="221" spans="1:16" x14ac:dyDescent="0.3">
      <c r="A221" s="2" t="e">
        <f>'Converted Diagram'!$J$423</f>
        <v>#VALUE!</v>
      </c>
      <c r="B221" s="1" t="s">
        <v>31</v>
      </c>
      <c r="C221" s="2">
        <v>0</v>
      </c>
      <c r="I221" s="2" t="s">
        <v>217</v>
      </c>
      <c r="J221" s="2">
        <f>'Converted Diagram'!$I$423</f>
        <v>0</v>
      </c>
      <c r="K221" s="2" t="e">
        <f>'Converted Diagram'!$I$422</f>
        <v>#VALUE!</v>
      </c>
      <c r="L221" s="2" t="s">
        <v>429</v>
      </c>
      <c r="M221" s="2">
        <v>0</v>
      </c>
      <c r="O221" s="2" t="str">
        <f>'Converted Diagram'!$J$422</f>
        <v>Reduce Commute Time</v>
      </c>
      <c r="P221" s="2" t="b">
        <v>0</v>
      </c>
    </row>
    <row r="222" spans="1:16" x14ac:dyDescent="0.3">
      <c r="A222" s="2" t="e">
        <f>'Converted Diagram'!$K$425</f>
        <v>#VALUE!</v>
      </c>
      <c r="B222" s="1" t="s">
        <v>219</v>
      </c>
      <c r="C222" s="2">
        <v>0</v>
      </c>
      <c r="I222" s="2" t="s">
        <v>217</v>
      </c>
      <c r="J222" s="2">
        <f>'Converted Diagram'!$J$425</f>
        <v>0</v>
      </c>
      <c r="K222" s="2" t="e">
        <f>'Converted Diagram'!$J$424</f>
        <v>#VALUE!</v>
      </c>
      <c r="L222" s="2" t="s">
        <v>430</v>
      </c>
      <c r="M222" s="2">
        <v>0</v>
      </c>
      <c r="O222" s="2" t="str">
        <f>'Converted Diagram'!$K$424</f>
        <v>Reduce overall rent</v>
      </c>
      <c r="P222" s="2" t="b">
        <v>0</v>
      </c>
    </row>
    <row r="223" spans="1:16" x14ac:dyDescent="0.3">
      <c r="A223" s="2" t="e">
        <f>'Converted Diagram'!$L$427</f>
        <v>#VALUE!</v>
      </c>
      <c r="B223" s="1" t="s">
        <v>219</v>
      </c>
      <c r="C223" s="2">
        <v>0</v>
      </c>
      <c r="I223" s="2" t="s">
        <v>217</v>
      </c>
      <c r="J223" s="2">
        <f>'Converted Diagram'!$K$427</f>
        <v>0</v>
      </c>
      <c r="K223" s="2" t="e">
        <f>'Converted Diagram'!$K$426</f>
        <v>#VALUE!</v>
      </c>
      <c r="L223" s="2" t="s">
        <v>431</v>
      </c>
      <c r="M223" s="2">
        <v>0</v>
      </c>
      <c r="O223" s="2" t="str">
        <f>'Converted Diagram'!$L$426</f>
        <v>Increase Overall Convenience</v>
      </c>
      <c r="P223" s="2" t="b">
        <v>0</v>
      </c>
    </row>
    <row r="224" spans="1:16" x14ac:dyDescent="0.3">
      <c r="A224" s="2" t="e">
        <f>'Converted Diagram'!$M$429</f>
        <v>#VALUE!</v>
      </c>
      <c r="B224" s="1" t="s">
        <v>219</v>
      </c>
      <c r="C224" s="2">
        <v>0</v>
      </c>
      <c r="I224" s="2" t="e">
        <v>#VALUE!</v>
      </c>
      <c r="J224" s="2">
        <f>'Converted Diagram'!$L$429</f>
        <v>0</v>
      </c>
      <c r="K224" s="2" t="e">
        <f>'Converted Diagram'!$L$428</f>
        <v>#VALUE!</v>
      </c>
      <c r="L224" s="2" t="s">
        <v>432</v>
      </c>
      <c r="M224" s="2">
        <v>0</v>
      </c>
      <c r="P224" s="2" t="b">
        <v>0</v>
      </c>
    </row>
    <row r="225" spans="1:16" x14ac:dyDescent="0.3">
      <c r="A225" s="2" t="e">
        <f>'Converted Diagram'!$I$431</f>
        <v>#VALUE!</v>
      </c>
      <c r="B225" s="1" t="s">
        <v>32</v>
      </c>
      <c r="C225" s="2">
        <v>0</v>
      </c>
      <c r="I225" s="2" t="s">
        <v>217</v>
      </c>
      <c r="J225" s="2">
        <f>'Converted Diagram'!$H$431</f>
        <v>0</v>
      </c>
      <c r="K225" s="2" t="e">
        <f>'Converted Diagram'!$H$430</f>
        <v>#VALUE!</v>
      </c>
      <c r="L225" s="2" t="s">
        <v>433</v>
      </c>
      <c r="M225" s="2">
        <v>0</v>
      </c>
      <c r="O225" s="2" t="str">
        <f>'Converted Diagram'!$I$430</f>
        <v>Floor</v>
      </c>
      <c r="P225" s="2" t="b">
        <v>0</v>
      </c>
    </row>
    <row r="226" spans="1:16" x14ac:dyDescent="0.3">
      <c r="A226" s="2" t="e">
        <f>'Converted Diagram'!$J$433</f>
        <v>#VALUE!</v>
      </c>
      <c r="B226" s="1" t="s">
        <v>32</v>
      </c>
      <c r="C226" s="2">
        <v>0</v>
      </c>
      <c r="I226" s="2" t="s">
        <v>217</v>
      </c>
      <c r="J226" s="2">
        <f>'Converted Diagram'!$I$433</f>
        <v>0</v>
      </c>
      <c r="K226" s="2" t="e">
        <f>'Converted Diagram'!$I$432</f>
        <v>#VALUE!</v>
      </c>
      <c r="L226" s="2" t="s">
        <v>434</v>
      </c>
      <c r="M226" s="2">
        <v>0</v>
      </c>
      <c r="O226" s="2" t="str">
        <f>'Converted Diagram'!$J$432</f>
        <v>Reduce Commute Time</v>
      </c>
      <c r="P226" s="2" t="b">
        <v>0</v>
      </c>
    </row>
    <row r="227" spans="1:16" x14ac:dyDescent="0.3">
      <c r="A227" s="2" t="e">
        <f>'Converted Diagram'!$K$435</f>
        <v>#VALUE!</v>
      </c>
      <c r="B227" s="1" t="s">
        <v>219</v>
      </c>
      <c r="C227" s="2">
        <v>0</v>
      </c>
      <c r="I227" s="2" t="s">
        <v>217</v>
      </c>
      <c r="J227" s="2">
        <f>'Converted Diagram'!$J$435</f>
        <v>0</v>
      </c>
      <c r="K227" s="2" t="e">
        <f>'Converted Diagram'!$J$434</f>
        <v>#VALUE!</v>
      </c>
      <c r="L227" s="2" t="s">
        <v>435</v>
      </c>
      <c r="M227" s="2">
        <v>0</v>
      </c>
      <c r="O227" s="2" t="str">
        <f>'Converted Diagram'!$K$434</f>
        <v>Reduce overall rent</v>
      </c>
      <c r="P227" s="2" t="b">
        <v>0</v>
      </c>
    </row>
    <row r="228" spans="1:16" x14ac:dyDescent="0.3">
      <c r="A228" s="2" t="e">
        <f>'Converted Diagram'!$L$437</f>
        <v>#VALUE!</v>
      </c>
      <c r="B228" s="1" t="s">
        <v>219</v>
      </c>
      <c r="C228" s="2">
        <v>0</v>
      </c>
      <c r="I228" s="2" t="s">
        <v>217</v>
      </c>
      <c r="J228" s="2">
        <f>'Converted Diagram'!$K$437</f>
        <v>0</v>
      </c>
      <c r="K228" s="2" t="e">
        <f>'Converted Diagram'!$K$436</f>
        <v>#VALUE!</v>
      </c>
      <c r="L228" s="2" t="s">
        <v>436</v>
      </c>
      <c r="M228" s="2">
        <v>0</v>
      </c>
      <c r="O228" s="2" t="str">
        <f>'Converted Diagram'!$L$436</f>
        <v>Increase Overall Convenience</v>
      </c>
      <c r="P228" s="2" t="b">
        <v>0</v>
      </c>
    </row>
    <row r="229" spans="1:16" x14ac:dyDescent="0.3">
      <c r="A229" s="2" t="e">
        <f>'Converted Diagram'!$M$439</f>
        <v>#VALUE!</v>
      </c>
      <c r="B229" s="1" t="s">
        <v>219</v>
      </c>
      <c r="C229" s="2">
        <v>0</v>
      </c>
      <c r="I229" s="2" t="e">
        <v>#VALUE!</v>
      </c>
      <c r="J229" s="2">
        <f>'Converted Diagram'!$L$439</f>
        <v>0</v>
      </c>
      <c r="K229" s="2" t="e">
        <f>'Converted Diagram'!$L$438</f>
        <v>#VALUE!</v>
      </c>
      <c r="L229" s="2" t="s">
        <v>437</v>
      </c>
      <c r="M229" s="2">
        <v>0</v>
      </c>
      <c r="P229" s="2" t="b">
        <v>0</v>
      </c>
    </row>
    <row r="230" spans="1:16" x14ac:dyDescent="0.3">
      <c r="A230" s="2" t="e">
        <f>'Converted Diagram'!$G$441</f>
        <v>#VALUE!</v>
      </c>
      <c r="B230" s="1" t="s">
        <v>32</v>
      </c>
      <c r="C230" s="2">
        <v>0</v>
      </c>
      <c r="I230" s="2" t="s">
        <v>217</v>
      </c>
      <c r="J230" s="2">
        <f>'Converted Diagram'!$F$441</f>
        <v>0</v>
      </c>
      <c r="K230" s="2" t="e">
        <f>'Converted Diagram'!$F$440</f>
        <v>#VALUE!</v>
      </c>
      <c r="L230" s="2" t="s">
        <v>438</v>
      </c>
      <c r="M230" s="2">
        <v>0</v>
      </c>
      <c r="O230" s="2" t="str">
        <f>'Converted Diagram'!$G$440</f>
        <v>Grocery Store</v>
      </c>
      <c r="P230" s="2" t="b">
        <v>0</v>
      </c>
    </row>
    <row r="231" spans="1:16" x14ac:dyDescent="0.3">
      <c r="A231" s="2" t="e">
        <f>'Converted Diagram'!$J$443</f>
        <v>#VALUE!</v>
      </c>
      <c r="B231" s="1" t="s">
        <v>31</v>
      </c>
      <c r="C231" s="2">
        <v>0</v>
      </c>
      <c r="I231" s="2" t="s">
        <v>217</v>
      </c>
      <c r="J231" s="2">
        <f>'Converted Diagram'!$I$443</f>
        <v>0</v>
      </c>
      <c r="K231" s="2" t="e">
        <f>'Converted Diagram'!$I$442</f>
        <v>#VALUE!</v>
      </c>
      <c r="L231" s="2" t="s">
        <v>439</v>
      </c>
      <c r="M231" s="2">
        <v>0</v>
      </c>
      <c r="O231" s="2" t="str">
        <f>'Converted Diagram'!$J$442</f>
        <v>Reduce Commute Time</v>
      </c>
      <c r="P231" s="2" t="b">
        <v>0</v>
      </c>
    </row>
    <row r="232" spans="1:16" x14ac:dyDescent="0.3">
      <c r="A232" s="2" t="e">
        <f>'Converted Diagram'!$K$445</f>
        <v>#VALUE!</v>
      </c>
      <c r="B232" s="1" t="s">
        <v>219</v>
      </c>
      <c r="C232" s="2">
        <v>0</v>
      </c>
      <c r="I232" s="2" t="s">
        <v>217</v>
      </c>
      <c r="J232" s="2">
        <f>'Converted Diagram'!$J$445</f>
        <v>0</v>
      </c>
      <c r="K232" s="2" t="e">
        <f>'Converted Diagram'!$J$444</f>
        <v>#VALUE!</v>
      </c>
      <c r="L232" s="2" t="s">
        <v>440</v>
      </c>
      <c r="M232" s="2">
        <v>0</v>
      </c>
      <c r="O232" s="2" t="str">
        <f>'Converted Diagram'!$K$444</f>
        <v>Reduce overall rent</v>
      </c>
      <c r="P232" s="2" t="b">
        <v>0</v>
      </c>
    </row>
    <row r="233" spans="1:16" x14ac:dyDescent="0.3">
      <c r="A233" s="2" t="e">
        <f>'Converted Diagram'!$L$447</f>
        <v>#VALUE!</v>
      </c>
      <c r="B233" s="1" t="s">
        <v>219</v>
      </c>
      <c r="C233" s="2">
        <v>0</v>
      </c>
      <c r="I233" s="2" t="s">
        <v>217</v>
      </c>
      <c r="J233" s="2">
        <f>'Converted Diagram'!$K$447</f>
        <v>0</v>
      </c>
      <c r="K233" s="2" t="e">
        <f>'Converted Diagram'!$K$446</f>
        <v>#VALUE!</v>
      </c>
      <c r="L233" s="2" t="s">
        <v>441</v>
      </c>
      <c r="M233" s="2">
        <v>0</v>
      </c>
      <c r="O233" s="2" t="str">
        <f>'Converted Diagram'!$L$446</f>
        <v>Increase Overall Convenience</v>
      </c>
      <c r="P233" s="2" t="b">
        <v>0</v>
      </c>
    </row>
    <row r="234" spans="1:16" x14ac:dyDescent="0.3">
      <c r="A234" s="2" t="e">
        <f>'Converted Diagram'!$M$449</f>
        <v>#VALUE!</v>
      </c>
      <c r="B234" s="1" t="s">
        <v>219</v>
      </c>
      <c r="C234" s="2">
        <v>0</v>
      </c>
      <c r="I234" s="2" t="e">
        <v>#VALUE!</v>
      </c>
      <c r="J234" s="2">
        <f>'Converted Diagram'!$L$449</f>
        <v>0</v>
      </c>
      <c r="K234" s="2" t="e">
        <f>'Converted Diagram'!$L$448</f>
        <v>#VALUE!</v>
      </c>
      <c r="L234" s="2" t="s">
        <v>442</v>
      </c>
      <c r="M234" s="2">
        <v>0</v>
      </c>
      <c r="P234" s="2" t="b">
        <v>0</v>
      </c>
    </row>
    <row r="235" spans="1:16" x14ac:dyDescent="0.3">
      <c r="A235" s="2" t="e">
        <f>'Converted Diagram'!$I$451</f>
        <v>#VALUE!</v>
      </c>
      <c r="B235" s="1" t="s">
        <v>31</v>
      </c>
      <c r="C235" s="2">
        <v>0</v>
      </c>
      <c r="I235" s="2" t="s">
        <v>217</v>
      </c>
      <c r="J235" s="2">
        <f>'Converted Diagram'!$H$451</f>
        <v>0</v>
      </c>
      <c r="K235" s="2" t="e">
        <f>'Converted Diagram'!$H$450</f>
        <v>#VALUE!</v>
      </c>
      <c r="L235" s="2" t="s">
        <v>443</v>
      </c>
      <c r="M235" s="2">
        <v>0</v>
      </c>
      <c r="O235" s="2" t="str">
        <f>'Converted Diagram'!$I$450</f>
        <v>Floor</v>
      </c>
      <c r="P235" s="2" t="b">
        <v>0</v>
      </c>
    </row>
    <row r="236" spans="1:16" x14ac:dyDescent="0.3">
      <c r="A236" s="2" t="e">
        <f>'Converted Diagram'!$J$453</f>
        <v>#VALUE!</v>
      </c>
      <c r="B236" s="1" t="s">
        <v>32</v>
      </c>
      <c r="C236" s="2">
        <v>0</v>
      </c>
      <c r="I236" s="2" t="s">
        <v>217</v>
      </c>
      <c r="J236" s="2">
        <f>'Converted Diagram'!$I$453</f>
        <v>0</v>
      </c>
      <c r="K236" s="2" t="e">
        <f>'Converted Diagram'!$I$452</f>
        <v>#VALUE!</v>
      </c>
      <c r="L236" s="2" t="s">
        <v>444</v>
      </c>
      <c r="M236" s="2">
        <v>0</v>
      </c>
      <c r="O236" s="2" t="str">
        <f>'Converted Diagram'!$J$452</f>
        <v>Reduce Commute Time</v>
      </c>
      <c r="P236" s="2" t="b">
        <v>0</v>
      </c>
    </row>
    <row r="237" spans="1:16" x14ac:dyDescent="0.3">
      <c r="A237" s="2" t="e">
        <f>'Converted Diagram'!$K$455</f>
        <v>#VALUE!</v>
      </c>
      <c r="B237" s="1" t="s">
        <v>219</v>
      </c>
      <c r="C237" s="2">
        <v>0</v>
      </c>
      <c r="I237" s="2" t="s">
        <v>217</v>
      </c>
      <c r="J237" s="2">
        <f>'Converted Diagram'!$J$455</f>
        <v>0</v>
      </c>
      <c r="K237" s="2" t="e">
        <f>'Converted Diagram'!$J$454</f>
        <v>#VALUE!</v>
      </c>
      <c r="L237" s="2" t="s">
        <v>445</v>
      </c>
      <c r="M237" s="2">
        <v>0</v>
      </c>
      <c r="O237" s="2" t="str">
        <f>'Converted Diagram'!$K$454</f>
        <v>Reduce overall rent</v>
      </c>
      <c r="P237" s="2" t="b">
        <v>0</v>
      </c>
    </row>
    <row r="238" spans="1:16" x14ac:dyDescent="0.3">
      <c r="A238" s="2" t="e">
        <f>'Converted Diagram'!$L$457</f>
        <v>#VALUE!</v>
      </c>
      <c r="B238" s="1" t="s">
        <v>219</v>
      </c>
      <c r="C238" s="2">
        <v>0</v>
      </c>
      <c r="I238" s="2" t="s">
        <v>217</v>
      </c>
      <c r="J238" s="2">
        <f>'Converted Diagram'!$K$457</f>
        <v>0</v>
      </c>
      <c r="K238" s="2" t="e">
        <f>'Converted Diagram'!$K$456</f>
        <v>#VALUE!</v>
      </c>
      <c r="L238" s="2" t="s">
        <v>446</v>
      </c>
      <c r="M238" s="2">
        <v>0</v>
      </c>
      <c r="O238" s="2" t="str">
        <f>'Converted Diagram'!$L$456</f>
        <v>Increase Overall Convenience</v>
      </c>
      <c r="P238" s="2" t="b">
        <v>0</v>
      </c>
    </row>
    <row r="239" spans="1:16" x14ac:dyDescent="0.3">
      <c r="A239" s="2" t="e">
        <f>'Converted Diagram'!$M$459</f>
        <v>#VALUE!</v>
      </c>
      <c r="B239" s="1" t="s">
        <v>219</v>
      </c>
      <c r="C239" s="2">
        <v>0</v>
      </c>
      <c r="I239" s="2" t="e">
        <v>#VALUE!</v>
      </c>
      <c r="J239" s="2">
        <f>'Converted Diagram'!$L$459</f>
        <v>0</v>
      </c>
      <c r="K239" s="2" t="e">
        <f>'Converted Diagram'!$L$458</f>
        <v>#VALUE!</v>
      </c>
      <c r="L239" s="2" t="s">
        <v>447</v>
      </c>
      <c r="M239" s="2">
        <v>0</v>
      </c>
      <c r="P239" s="2" t="b">
        <v>0</v>
      </c>
    </row>
    <row r="240" spans="1:16" x14ac:dyDescent="0.3">
      <c r="A240" s="2" t="e">
        <f>'Converted Diagram'!$H$461</f>
        <v>#VALUE!</v>
      </c>
      <c r="B240" s="1" t="s">
        <v>32</v>
      </c>
      <c r="C240" s="2">
        <v>0</v>
      </c>
      <c r="I240" s="2" t="s">
        <v>217</v>
      </c>
      <c r="J240" s="2">
        <f>'Converted Diagram'!$G$461</f>
        <v>0</v>
      </c>
      <c r="K240" s="2" t="e">
        <f>'Converted Diagram'!$G$460</f>
        <v>#VALUE!</v>
      </c>
      <c r="L240" s="2" t="s">
        <v>448</v>
      </c>
      <c r="M240" s="2">
        <v>0</v>
      </c>
      <c r="O240" s="2" t="str">
        <f>'Converted Diagram'!$H$460</f>
        <v>Wi-Fi &amp; Cable Ready</v>
      </c>
      <c r="P240" s="2" t="b">
        <v>0</v>
      </c>
    </row>
    <row r="241" spans="1:16" x14ac:dyDescent="0.3">
      <c r="A241" s="2" t="e">
        <f>'Converted Diagram'!$J$463</f>
        <v>#VALUE!</v>
      </c>
      <c r="B241" s="1" t="s">
        <v>31</v>
      </c>
      <c r="C241" s="2">
        <v>0</v>
      </c>
      <c r="I241" s="2" t="s">
        <v>217</v>
      </c>
      <c r="J241" s="2">
        <f>'Converted Diagram'!$I$463</f>
        <v>0</v>
      </c>
      <c r="K241" s="2" t="e">
        <f>'Converted Diagram'!$I$462</f>
        <v>#VALUE!</v>
      </c>
      <c r="L241" s="2" t="s">
        <v>449</v>
      </c>
      <c r="M241" s="2">
        <v>0</v>
      </c>
      <c r="O241" s="2" t="str">
        <f>'Converted Diagram'!$J$462</f>
        <v>Reduce Commute Time</v>
      </c>
      <c r="P241" s="2" t="b">
        <v>0</v>
      </c>
    </row>
    <row r="242" spans="1:16" x14ac:dyDescent="0.3">
      <c r="A242" s="2" t="e">
        <f>'Converted Diagram'!$K$465</f>
        <v>#VALUE!</v>
      </c>
      <c r="B242" s="1" t="s">
        <v>219</v>
      </c>
      <c r="C242" s="2">
        <v>0</v>
      </c>
      <c r="I242" s="2" t="s">
        <v>217</v>
      </c>
      <c r="J242" s="2">
        <f>'Converted Diagram'!$J$465</f>
        <v>0</v>
      </c>
      <c r="K242" s="2" t="e">
        <f>'Converted Diagram'!$J$464</f>
        <v>#VALUE!</v>
      </c>
      <c r="L242" s="2" t="s">
        <v>450</v>
      </c>
      <c r="M242" s="2">
        <v>0</v>
      </c>
      <c r="O242" s="2" t="str">
        <f>'Converted Diagram'!$K$464</f>
        <v>Reduce overall rent</v>
      </c>
      <c r="P242" s="2" t="b">
        <v>0</v>
      </c>
    </row>
    <row r="243" spans="1:16" x14ac:dyDescent="0.3">
      <c r="A243" s="2" t="e">
        <f>'Converted Diagram'!$L$467</f>
        <v>#VALUE!</v>
      </c>
      <c r="B243" s="1" t="s">
        <v>219</v>
      </c>
      <c r="C243" s="2">
        <v>0</v>
      </c>
      <c r="I243" s="2" t="s">
        <v>217</v>
      </c>
      <c r="J243" s="2">
        <f>'Converted Diagram'!$K$467</f>
        <v>0</v>
      </c>
      <c r="K243" s="2" t="e">
        <f>'Converted Diagram'!$K$466</f>
        <v>#VALUE!</v>
      </c>
      <c r="L243" s="2" t="s">
        <v>451</v>
      </c>
      <c r="M243" s="2">
        <v>0</v>
      </c>
      <c r="O243" s="2" t="str">
        <f>'Converted Diagram'!$L$466</f>
        <v>Increase Overall Convenience</v>
      </c>
      <c r="P243" s="2" t="b">
        <v>0</v>
      </c>
    </row>
    <row r="244" spans="1:16" x14ac:dyDescent="0.3">
      <c r="A244" s="2" t="e">
        <f>'Converted Diagram'!$M$469</f>
        <v>#VALUE!</v>
      </c>
      <c r="B244" s="1" t="s">
        <v>219</v>
      </c>
      <c r="C244" s="2">
        <v>0</v>
      </c>
      <c r="I244" s="2" t="e">
        <v>#VALUE!</v>
      </c>
      <c r="J244" s="2">
        <f>'Converted Diagram'!$L$469</f>
        <v>0</v>
      </c>
      <c r="K244" s="2" t="e">
        <f>'Converted Diagram'!$L$468</f>
        <v>#VALUE!</v>
      </c>
      <c r="L244" s="2" t="s">
        <v>452</v>
      </c>
      <c r="M244" s="2">
        <v>0</v>
      </c>
      <c r="P244" s="2" t="b">
        <v>0</v>
      </c>
    </row>
    <row r="245" spans="1:16" x14ac:dyDescent="0.3">
      <c r="A245" s="2" t="e">
        <f>'Converted Diagram'!$I$471</f>
        <v>#VALUE!</v>
      </c>
      <c r="B245" s="1" t="s">
        <v>32</v>
      </c>
      <c r="C245" s="2">
        <v>0</v>
      </c>
      <c r="I245" s="2" t="s">
        <v>217</v>
      </c>
      <c r="J245" s="2">
        <f>'Converted Diagram'!$H$471</f>
        <v>0</v>
      </c>
      <c r="K245" s="2" t="e">
        <f>'Converted Diagram'!$H$470</f>
        <v>#VALUE!</v>
      </c>
      <c r="L245" s="2" t="s">
        <v>453</v>
      </c>
      <c r="M245" s="2">
        <v>0</v>
      </c>
      <c r="O245" s="2" t="str">
        <f>'Converted Diagram'!$I$470</f>
        <v>Floor</v>
      </c>
      <c r="P245" s="2" t="b">
        <v>0</v>
      </c>
    </row>
    <row r="246" spans="1:16" x14ac:dyDescent="0.3">
      <c r="A246" s="2" t="e">
        <f>'Converted Diagram'!$J$473</f>
        <v>#VALUE!</v>
      </c>
      <c r="B246" s="1" t="s">
        <v>32</v>
      </c>
      <c r="C246" s="2">
        <v>0</v>
      </c>
      <c r="I246" s="2" t="s">
        <v>217</v>
      </c>
      <c r="J246" s="2">
        <f>'Converted Diagram'!$I$473</f>
        <v>0</v>
      </c>
      <c r="K246" s="2" t="e">
        <f>'Converted Diagram'!$I$472</f>
        <v>#VALUE!</v>
      </c>
      <c r="L246" s="2" t="s">
        <v>454</v>
      </c>
      <c r="M246" s="2">
        <v>0</v>
      </c>
      <c r="O246" s="2" t="str">
        <f>'Converted Diagram'!$J$472</f>
        <v>Reduce Commute Time</v>
      </c>
      <c r="P246" s="2" t="b">
        <v>0</v>
      </c>
    </row>
    <row r="247" spans="1:16" x14ac:dyDescent="0.3">
      <c r="A247" s="2" t="e">
        <f>'Converted Diagram'!$K$475</f>
        <v>#VALUE!</v>
      </c>
      <c r="B247" s="1" t="s">
        <v>219</v>
      </c>
      <c r="C247" s="2">
        <v>0</v>
      </c>
      <c r="I247" s="2" t="s">
        <v>217</v>
      </c>
      <c r="J247" s="2">
        <f>'Converted Diagram'!$J$475</f>
        <v>0</v>
      </c>
      <c r="K247" s="2" t="e">
        <f>'Converted Diagram'!$J$474</f>
        <v>#VALUE!</v>
      </c>
      <c r="L247" s="2" t="s">
        <v>455</v>
      </c>
      <c r="M247" s="2">
        <v>0</v>
      </c>
      <c r="O247" s="2" t="str">
        <f>'Converted Diagram'!$K$474</f>
        <v>Reduce overall rent</v>
      </c>
      <c r="P247" s="2" t="b">
        <v>0</v>
      </c>
    </row>
    <row r="248" spans="1:16" x14ac:dyDescent="0.3">
      <c r="A248" s="2" t="e">
        <f>'Converted Diagram'!$L$477</f>
        <v>#VALUE!</v>
      </c>
      <c r="B248" s="1" t="s">
        <v>219</v>
      </c>
      <c r="C248" s="2">
        <v>0</v>
      </c>
      <c r="I248" s="2" t="s">
        <v>217</v>
      </c>
      <c r="J248" s="2">
        <f>'Converted Diagram'!$K$477</f>
        <v>0</v>
      </c>
      <c r="K248" s="2" t="e">
        <f>'Converted Diagram'!$K$476</f>
        <v>#VALUE!</v>
      </c>
      <c r="L248" s="2" t="s">
        <v>456</v>
      </c>
      <c r="M248" s="2">
        <v>0</v>
      </c>
      <c r="O248" s="2" t="str">
        <f>'Converted Diagram'!$L$476</f>
        <v>Increase Overall Convenience</v>
      </c>
      <c r="P248" s="2" t="b">
        <v>0</v>
      </c>
    </row>
    <row r="249" spans="1:16" x14ac:dyDescent="0.3">
      <c r="A249" s="2" t="e">
        <f>'Converted Diagram'!$M$479</f>
        <v>#VALUE!</v>
      </c>
      <c r="B249" s="1" t="s">
        <v>219</v>
      </c>
      <c r="C249" s="2">
        <v>0</v>
      </c>
      <c r="I249" s="2" t="e">
        <v>#VALUE!</v>
      </c>
      <c r="J249" s="2">
        <f>'Converted Diagram'!$L$479</f>
        <v>0</v>
      </c>
      <c r="K249" s="2" t="e">
        <f>'Converted Diagram'!$L$478</f>
        <v>#VALUE!</v>
      </c>
      <c r="L249" s="2" t="s">
        <v>457</v>
      </c>
      <c r="M249" s="2">
        <v>0</v>
      </c>
      <c r="P249" s="2" t="b">
        <v>0</v>
      </c>
    </row>
    <row r="250" spans="1:16" x14ac:dyDescent="0.3">
      <c r="A250" s="2" t="e">
        <f>'Converted Diagram'!$E$481</f>
        <v>#VALUE!</v>
      </c>
      <c r="B250" s="1" t="s">
        <v>32</v>
      </c>
      <c r="C250" s="2">
        <v>0</v>
      </c>
      <c r="I250" s="2" t="s">
        <v>217</v>
      </c>
      <c r="J250" s="2">
        <f>'Converted Diagram'!$D$481</f>
        <v>0</v>
      </c>
      <c r="L250" s="2" t="s">
        <v>458</v>
      </c>
      <c r="M250" s="2">
        <v>0</v>
      </c>
      <c r="O250" s="2" t="str">
        <f>'Converted Diagram'!$E$480</f>
        <v>Nearest Transportation Station</v>
      </c>
      <c r="P250" s="2" t="b">
        <v>0</v>
      </c>
    </row>
    <row r="251" spans="1:16" x14ac:dyDescent="0.3">
      <c r="A251" s="2" t="e">
        <f>'Converted Diagram'!$J$483</f>
        <v>#VALUE!</v>
      </c>
      <c r="B251" s="1" t="s">
        <v>31</v>
      </c>
      <c r="C251" s="2">
        <v>0</v>
      </c>
      <c r="I251" s="2" t="s">
        <v>217</v>
      </c>
      <c r="J251" s="2">
        <f>'Converted Diagram'!$I$483</f>
        <v>0</v>
      </c>
      <c r="K251" s="2" t="e">
        <f>'Converted Diagram'!$I$482</f>
        <v>#VALUE!</v>
      </c>
      <c r="L251" s="2" t="s">
        <v>459</v>
      </c>
      <c r="M251" s="2">
        <v>0</v>
      </c>
      <c r="O251" s="2" t="str">
        <f>'Converted Diagram'!$J$482</f>
        <v>Reduce Commute Time</v>
      </c>
      <c r="P251" s="2" t="b">
        <v>0</v>
      </c>
    </row>
    <row r="252" spans="1:16" x14ac:dyDescent="0.3">
      <c r="A252" s="2" t="e">
        <f>'Converted Diagram'!$K$485</f>
        <v>#VALUE!</v>
      </c>
      <c r="B252" s="1" t="s">
        <v>219</v>
      </c>
      <c r="C252" s="2">
        <v>0</v>
      </c>
      <c r="I252" s="2" t="s">
        <v>217</v>
      </c>
      <c r="J252" s="2">
        <f>'Converted Diagram'!$J$485</f>
        <v>0</v>
      </c>
      <c r="K252" s="2" t="e">
        <f>'Converted Diagram'!$J$484</f>
        <v>#VALUE!</v>
      </c>
      <c r="L252" s="2" t="s">
        <v>460</v>
      </c>
      <c r="M252" s="2">
        <v>0</v>
      </c>
      <c r="O252" s="2" t="str">
        <f>'Converted Diagram'!$K$484</f>
        <v>Reduce overall rent</v>
      </c>
      <c r="P252" s="2" t="b">
        <v>0</v>
      </c>
    </row>
    <row r="253" spans="1:16" x14ac:dyDescent="0.3">
      <c r="A253" s="2" t="e">
        <f>'Converted Diagram'!$L$487</f>
        <v>#VALUE!</v>
      </c>
      <c r="B253" s="1" t="s">
        <v>219</v>
      </c>
      <c r="C253" s="2">
        <v>0</v>
      </c>
      <c r="I253" s="2" t="s">
        <v>217</v>
      </c>
      <c r="J253" s="2">
        <f>'Converted Diagram'!$K$487</f>
        <v>0</v>
      </c>
      <c r="K253" s="2" t="e">
        <f>'Converted Diagram'!$K$486</f>
        <v>#VALUE!</v>
      </c>
      <c r="L253" s="2" t="s">
        <v>461</v>
      </c>
      <c r="M253" s="2">
        <v>0</v>
      </c>
      <c r="O253" s="2" t="str">
        <f>'Converted Diagram'!$L$486</f>
        <v>Increase Overall Convenience</v>
      </c>
      <c r="P253" s="2" t="b">
        <v>0</v>
      </c>
    </row>
    <row r="254" spans="1:16" x14ac:dyDescent="0.3">
      <c r="A254" s="2" t="e">
        <f>'Converted Diagram'!$M$489</f>
        <v>#VALUE!</v>
      </c>
      <c r="B254" s="1" t="s">
        <v>219</v>
      </c>
      <c r="C254" s="2">
        <v>0</v>
      </c>
      <c r="I254" s="2" t="e">
        <v>#VALUE!</v>
      </c>
      <c r="J254" s="2">
        <f>'Converted Diagram'!$L$489</f>
        <v>0</v>
      </c>
      <c r="K254" s="2" t="e">
        <f>'Converted Diagram'!$L$488</f>
        <v>#VALUE!</v>
      </c>
      <c r="L254" s="2" t="s">
        <v>462</v>
      </c>
      <c r="M254" s="2">
        <v>0</v>
      </c>
      <c r="P254" s="2" t="b">
        <v>0</v>
      </c>
    </row>
    <row r="255" spans="1:16" x14ac:dyDescent="0.3">
      <c r="A255" s="2" t="e">
        <f>'Converted Diagram'!$I$491</f>
        <v>#VALUE!</v>
      </c>
      <c r="B255" s="1" t="s">
        <v>31</v>
      </c>
      <c r="C255" s="2">
        <v>0</v>
      </c>
      <c r="I255" s="2" t="s">
        <v>217</v>
      </c>
      <c r="J255" s="2">
        <f>'Converted Diagram'!$H$491</f>
        <v>0</v>
      </c>
      <c r="K255" s="2" t="e">
        <f>'Converted Diagram'!$H$490</f>
        <v>#VALUE!</v>
      </c>
      <c r="L255" s="2" t="s">
        <v>463</v>
      </c>
      <c r="M255" s="2">
        <v>0</v>
      </c>
      <c r="O255" s="2" t="str">
        <f>'Converted Diagram'!$I$490</f>
        <v>Floor</v>
      </c>
      <c r="P255" s="2" t="b">
        <v>0</v>
      </c>
    </row>
    <row r="256" spans="1:16" x14ac:dyDescent="0.3">
      <c r="A256" s="2" t="e">
        <f>'Converted Diagram'!$J$493</f>
        <v>#VALUE!</v>
      </c>
      <c r="B256" s="1" t="s">
        <v>32</v>
      </c>
      <c r="C256" s="2">
        <v>0</v>
      </c>
      <c r="I256" s="2" t="s">
        <v>217</v>
      </c>
      <c r="J256" s="2">
        <f>'Converted Diagram'!$I$493</f>
        <v>0</v>
      </c>
      <c r="K256" s="2" t="e">
        <f>'Converted Diagram'!$I$492</f>
        <v>#VALUE!</v>
      </c>
      <c r="L256" s="2" t="s">
        <v>464</v>
      </c>
      <c r="M256" s="2">
        <v>0</v>
      </c>
      <c r="O256" s="2" t="str">
        <f>'Converted Diagram'!$J$492</f>
        <v>Reduce Commute Time</v>
      </c>
      <c r="P256" s="2" t="b">
        <v>0</v>
      </c>
    </row>
    <row r="257" spans="1:16" x14ac:dyDescent="0.3">
      <c r="A257" s="2" t="e">
        <f>'Converted Diagram'!$K$495</f>
        <v>#VALUE!</v>
      </c>
      <c r="B257" s="1" t="s">
        <v>219</v>
      </c>
      <c r="C257" s="2">
        <v>0</v>
      </c>
      <c r="I257" s="2" t="s">
        <v>217</v>
      </c>
      <c r="J257" s="2">
        <f>'Converted Diagram'!$J$495</f>
        <v>0</v>
      </c>
      <c r="K257" s="2" t="e">
        <f>'Converted Diagram'!$J$494</f>
        <v>#VALUE!</v>
      </c>
      <c r="L257" s="2" t="s">
        <v>465</v>
      </c>
      <c r="M257" s="2">
        <v>0</v>
      </c>
      <c r="O257" s="2" t="str">
        <f>'Converted Diagram'!$K$494</f>
        <v>Reduce overall rent</v>
      </c>
      <c r="P257" s="2" t="b">
        <v>0</v>
      </c>
    </row>
    <row r="258" spans="1:16" x14ac:dyDescent="0.3">
      <c r="A258" s="2" t="e">
        <f>'Converted Diagram'!$L$497</f>
        <v>#VALUE!</v>
      </c>
      <c r="B258" s="1" t="s">
        <v>219</v>
      </c>
      <c r="C258" s="2">
        <v>0</v>
      </c>
      <c r="I258" s="2" t="s">
        <v>217</v>
      </c>
      <c r="J258" s="2">
        <f>'Converted Diagram'!$K$497</f>
        <v>0</v>
      </c>
      <c r="K258" s="2" t="e">
        <f>'Converted Diagram'!$K$496</f>
        <v>#VALUE!</v>
      </c>
      <c r="L258" s="2" t="s">
        <v>466</v>
      </c>
      <c r="M258" s="2">
        <v>0</v>
      </c>
      <c r="O258" s="2" t="str">
        <f>'Converted Diagram'!$L$496</f>
        <v>Increase Overall Convenience</v>
      </c>
      <c r="P258" s="2" t="b">
        <v>0</v>
      </c>
    </row>
    <row r="259" spans="1:16" x14ac:dyDescent="0.3">
      <c r="A259" s="2" t="e">
        <f>'Converted Diagram'!$M$499</f>
        <v>#VALUE!</v>
      </c>
      <c r="B259" s="1" t="s">
        <v>219</v>
      </c>
      <c r="C259" s="2">
        <v>0</v>
      </c>
      <c r="I259" s="2" t="e">
        <v>#VALUE!</v>
      </c>
      <c r="J259" s="2">
        <f>'Converted Diagram'!$L$499</f>
        <v>0</v>
      </c>
      <c r="K259" s="2" t="e">
        <f>'Converted Diagram'!$L$498</f>
        <v>#VALUE!</v>
      </c>
      <c r="L259" s="2" t="s">
        <v>467</v>
      </c>
      <c r="M259" s="2">
        <v>0</v>
      </c>
      <c r="P259" s="2" t="b">
        <v>0</v>
      </c>
    </row>
    <row r="260" spans="1:16" x14ac:dyDescent="0.3">
      <c r="A260" s="2" t="e">
        <f>'Converted Diagram'!$H$501</f>
        <v>#VALUE!</v>
      </c>
      <c r="B260" s="1" t="s">
        <v>31</v>
      </c>
      <c r="C260" s="2">
        <v>0</v>
      </c>
      <c r="I260" s="2" t="s">
        <v>217</v>
      </c>
      <c r="J260" s="2">
        <f>'Converted Diagram'!$G$501</f>
        <v>0</v>
      </c>
      <c r="K260" s="2" t="e">
        <f>'Converted Diagram'!$G$500</f>
        <v>#VALUE!</v>
      </c>
      <c r="L260" s="2" t="s">
        <v>468</v>
      </c>
      <c r="M260" s="2">
        <v>0</v>
      </c>
      <c r="O260" s="2" t="str">
        <f>'Converted Diagram'!$H$500</f>
        <v>Wi-Fi &amp; Cable Ready</v>
      </c>
      <c r="P260" s="2" t="b">
        <v>0</v>
      </c>
    </row>
    <row r="261" spans="1:16" x14ac:dyDescent="0.3">
      <c r="A261" s="2" t="e">
        <f>'Converted Diagram'!$J$503</f>
        <v>#VALUE!</v>
      </c>
      <c r="B261" s="1" t="s">
        <v>31</v>
      </c>
      <c r="C261" s="2">
        <v>0</v>
      </c>
      <c r="I261" s="2" t="s">
        <v>217</v>
      </c>
      <c r="J261" s="2">
        <f>'Converted Diagram'!$I$503</f>
        <v>0</v>
      </c>
      <c r="K261" s="2" t="e">
        <f>'Converted Diagram'!$I$502</f>
        <v>#VALUE!</v>
      </c>
      <c r="L261" s="2" t="s">
        <v>469</v>
      </c>
      <c r="M261" s="2">
        <v>0</v>
      </c>
      <c r="O261" s="2" t="str">
        <f>'Converted Diagram'!$J$502</f>
        <v>Reduce Commute Time</v>
      </c>
      <c r="P261" s="2" t="b">
        <v>0</v>
      </c>
    </row>
    <row r="262" spans="1:16" x14ac:dyDescent="0.3">
      <c r="A262" s="2" t="e">
        <f>'Converted Diagram'!$K$505</f>
        <v>#VALUE!</v>
      </c>
      <c r="B262" s="1" t="s">
        <v>219</v>
      </c>
      <c r="C262" s="2">
        <v>0</v>
      </c>
      <c r="I262" s="2" t="s">
        <v>217</v>
      </c>
      <c r="J262" s="2">
        <f>'Converted Diagram'!$J$505</f>
        <v>0</v>
      </c>
      <c r="K262" s="2" t="e">
        <f>'Converted Diagram'!$J$504</f>
        <v>#VALUE!</v>
      </c>
      <c r="L262" s="2" t="s">
        <v>470</v>
      </c>
      <c r="M262" s="2">
        <v>0</v>
      </c>
      <c r="O262" s="2" t="str">
        <f>'Converted Diagram'!$K$504</f>
        <v>Reduce overall rent</v>
      </c>
      <c r="P262" s="2" t="b">
        <v>0</v>
      </c>
    </row>
    <row r="263" spans="1:16" x14ac:dyDescent="0.3">
      <c r="A263" s="2" t="e">
        <f>'Converted Diagram'!$L$507</f>
        <v>#VALUE!</v>
      </c>
      <c r="B263" s="1" t="s">
        <v>219</v>
      </c>
      <c r="C263" s="2">
        <v>0</v>
      </c>
      <c r="I263" s="2" t="s">
        <v>217</v>
      </c>
      <c r="J263" s="2">
        <f>'Converted Diagram'!$K$507</f>
        <v>0</v>
      </c>
      <c r="K263" s="2" t="e">
        <f>'Converted Diagram'!$K$506</f>
        <v>#VALUE!</v>
      </c>
      <c r="L263" s="2" t="s">
        <v>471</v>
      </c>
      <c r="M263" s="2">
        <v>0</v>
      </c>
      <c r="O263" s="2" t="str">
        <f>'Converted Diagram'!$L$506</f>
        <v>Increase Overall Convenience</v>
      </c>
      <c r="P263" s="2" t="b">
        <v>0</v>
      </c>
    </row>
    <row r="264" spans="1:16" x14ac:dyDescent="0.3">
      <c r="A264" s="2" t="e">
        <f>'Converted Diagram'!$M$509</f>
        <v>#VALUE!</v>
      </c>
      <c r="B264" s="1" t="s">
        <v>219</v>
      </c>
      <c r="C264" s="2">
        <v>0</v>
      </c>
      <c r="I264" s="2" t="e">
        <v>#VALUE!</v>
      </c>
      <c r="J264" s="2">
        <f>'Converted Diagram'!$L$509</f>
        <v>0</v>
      </c>
      <c r="K264" s="2" t="e">
        <f>'Converted Diagram'!$L$508</f>
        <v>#VALUE!</v>
      </c>
      <c r="L264" s="2" t="s">
        <v>472</v>
      </c>
      <c r="M264" s="2">
        <v>0</v>
      </c>
      <c r="P264" s="2" t="b">
        <v>0</v>
      </c>
    </row>
    <row r="265" spans="1:16" x14ac:dyDescent="0.3">
      <c r="A265" s="2" t="e">
        <f>'Converted Diagram'!$I$511</f>
        <v>#VALUE!</v>
      </c>
      <c r="B265" s="1" t="s">
        <v>32</v>
      </c>
      <c r="C265" s="2">
        <v>0</v>
      </c>
      <c r="I265" s="2" t="s">
        <v>217</v>
      </c>
      <c r="J265" s="2">
        <f>'Converted Diagram'!$H$511</f>
        <v>0</v>
      </c>
      <c r="K265" s="2" t="e">
        <f>'Converted Diagram'!$H$510</f>
        <v>#VALUE!</v>
      </c>
      <c r="L265" s="2" t="s">
        <v>473</v>
      </c>
      <c r="M265" s="2">
        <v>0</v>
      </c>
      <c r="O265" s="2" t="str">
        <f>'Converted Diagram'!$I$510</f>
        <v>Floor</v>
      </c>
      <c r="P265" s="2" t="b">
        <v>0</v>
      </c>
    </row>
    <row r="266" spans="1:16" x14ac:dyDescent="0.3">
      <c r="A266" s="2" t="e">
        <f>'Converted Diagram'!$J$513</f>
        <v>#VALUE!</v>
      </c>
      <c r="B266" s="1" t="s">
        <v>32</v>
      </c>
      <c r="C266" s="2">
        <v>0</v>
      </c>
      <c r="I266" s="2" t="s">
        <v>217</v>
      </c>
      <c r="J266" s="2">
        <f>'Converted Diagram'!$I$513</f>
        <v>0</v>
      </c>
      <c r="K266" s="2" t="e">
        <f>'Converted Diagram'!$I$512</f>
        <v>#VALUE!</v>
      </c>
      <c r="L266" s="2" t="s">
        <v>474</v>
      </c>
      <c r="M266" s="2">
        <v>0</v>
      </c>
      <c r="O266" s="2" t="str">
        <f>'Converted Diagram'!$J$512</f>
        <v>Reduce Commute Time</v>
      </c>
      <c r="P266" s="2" t="b">
        <v>0</v>
      </c>
    </row>
    <row r="267" spans="1:16" x14ac:dyDescent="0.3">
      <c r="A267" s="2" t="e">
        <f>'Converted Diagram'!$K$515</f>
        <v>#VALUE!</v>
      </c>
      <c r="B267" s="1" t="s">
        <v>219</v>
      </c>
      <c r="C267" s="2">
        <v>0</v>
      </c>
      <c r="I267" s="2" t="s">
        <v>217</v>
      </c>
      <c r="J267" s="2">
        <f>'Converted Diagram'!$J$515</f>
        <v>0</v>
      </c>
      <c r="K267" s="2" t="e">
        <f>'Converted Diagram'!$J$514</f>
        <v>#VALUE!</v>
      </c>
      <c r="L267" s="2" t="s">
        <v>475</v>
      </c>
      <c r="M267" s="2">
        <v>0</v>
      </c>
      <c r="O267" s="2" t="str">
        <f>'Converted Diagram'!$K$514</f>
        <v>Reduce overall rent</v>
      </c>
      <c r="P267" s="2" t="b">
        <v>0</v>
      </c>
    </row>
    <row r="268" spans="1:16" x14ac:dyDescent="0.3">
      <c r="A268" s="2" t="e">
        <f>'Converted Diagram'!$L$517</f>
        <v>#VALUE!</v>
      </c>
      <c r="B268" s="1" t="s">
        <v>219</v>
      </c>
      <c r="C268" s="2">
        <v>0</v>
      </c>
      <c r="I268" s="2" t="s">
        <v>217</v>
      </c>
      <c r="J268" s="2">
        <f>'Converted Diagram'!$K$517</f>
        <v>0</v>
      </c>
      <c r="K268" s="2" t="e">
        <f>'Converted Diagram'!$K$516</f>
        <v>#VALUE!</v>
      </c>
      <c r="L268" s="2" t="s">
        <v>476</v>
      </c>
      <c r="M268" s="2">
        <v>0</v>
      </c>
      <c r="O268" s="2" t="str">
        <f>'Converted Diagram'!$L$516</f>
        <v>Increase Overall Convenience</v>
      </c>
      <c r="P268" s="2" t="b">
        <v>0</v>
      </c>
    </row>
    <row r="269" spans="1:16" x14ac:dyDescent="0.3">
      <c r="A269" s="2" t="e">
        <f>'Converted Diagram'!$M$519</f>
        <v>#VALUE!</v>
      </c>
      <c r="B269" s="1" t="s">
        <v>219</v>
      </c>
      <c r="C269" s="2">
        <v>0</v>
      </c>
      <c r="I269" s="2" t="e">
        <v>#VALUE!</v>
      </c>
      <c r="J269" s="2">
        <f>'Converted Diagram'!$L$519</f>
        <v>0</v>
      </c>
      <c r="K269" s="2" t="e">
        <f>'Converted Diagram'!$L$518</f>
        <v>#VALUE!</v>
      </c>
      <c r="L269" s="2" t="s">
        <v>477</v>
      </c>
      <c r="M269" s="2">
        <v>0</v>
      </c>
      <c r="P269" s="2" t="b">
        <v>0</v>
      </c>
    </row>
    <row r="270" spans="1:16" x14ac:dyDescent="0.3">
      <c r="A270" s="2" t="e">
        <f>'Converted Diagram'!$G$521</f>
        <v>#VALUE!</v>
      </c>
      <c r="B270" s="1" t="s">
        <v>31</v>
      </c>
      <c r="C270" s="2">
        <v>0</v>
      </c>
      <c r="I270" s="2" t="s">
        <v>217</v>
      </c>
      <c r="J270" s="2">
        <f>'Converted Diagram'!$F$521</f>
        <v>0</v>
      </c>
      <c r="K270" s="2" t="e">
        <f>'Converted Diagram'!$F$520</f>
        <v>#VALUE!</v>
      </c>
      <c r="L270" s="2" t="s">
        <v>478</v>
      </c>
      <c r="M270" s="2">
        <v>0</v>
      </c>
      <c r="O270" s="2" t="str">
        <f>'Converted Diagram'!$G$520</f>
        <v>Grocery Store</v>
      </c>
      <c r="P270" s="2" t="b">
        <v>0</v>
      </c>
    </row>
    <row r="271" spans="1:16" x14ac:dyDescent="0.3">
      <c r="A271" s="2" t="e">
        <f>'Converted Diagram'!$J$523</f>
        <v>#VALUE!</v>
      </c>
      <c r="B271" s="1" t="s">
        <v>31</v>
      </c>
      <c r="C271" s="2">
        <v>0</v>
      </c>
      <c r="I271" s="2" t="s">
        <v>217</v>
      </c>
      <c r="J271" s="2">
        <f>'Converted Diagram'!$I$523</f>
        <v>0</v>
      </c>
      <c r="K271" s="2" t="e">
        <f>'Converted Diagram'!$I$522</f>
        <v>#VALUE!</v>
      </c>
      <c r="L271" s="2" t="s">
        <v>479</v>
      </c>
      <c r="M271" s="2">
        <v>0</v>
      </c>
      <c r="O271" s="2" t="str">
        <f>'Converted Diagram'!$J$522</f>
        <v>Reduce Commute Time</v>
      </c>
      <c r="P271" s="2" t="b">
        <v>0</v>
      </c>
    </row>
    <row r="272" spans="1:16" x14ac:dyDescent="0.3">
      <c r="A272" s="2" t="e">
        <f>'Converted Diagram'!$K$525</f>
        <v>#VALUE!</v>
      </c>
      <c r="B272" s="1" t="s">
        <v>219</v>
      </c>
      <c r="C272" s="2">
        <v>0</v>
      </c>
      <c r="I272" s="2" t="s">
        <v>217</v>
      </c>
      <c r="J272" s="2">
        <f>'Converted Diagram'!$J$525</f>
        <v>0</v>
      </c>
      <c r="K272" s="2" t="e">
        <f>'Converted Diagram'!$J$524</f>
        <v>#VALUE!</v>
      </c>
      <c r="L272" s="2" t="s">
        <v>480</v>
      </c>
      <c r="M272" s="2">
        <v>0</v>
      </c>
      <c r="O272" s="2" t="str">
        <f>'Converted Diagram'!$K$524</f>
        <v>Reduce overall rent</v>
      </c>
      <c r="P272" s="2" t="b">
        <v>0</v>
      </c>
    </row>
    <row r="273" spans="1:16" x14ac:dyDescent="0.3">
      <c r="A273" s="2" t="e">
        <f>'Converted Diagram'!$L$527</f>
        <v>#VALUE!</v>
      </c>
      <c r="B273" s="1" t="s">
        <v>219</v>
      </c>
      <c r="C273" s="2">
        <v>0</v>
      </c>
      <c r="I273" s="2" t="s">
        <v>217</v>
      </c>
      <c r="J273" s="2">
        <f>'Converted Diagram'!$K$527</f>
        <v>0</v>
      </c>
      <c r="K273" s="2" t="e">
        <f>'Converted Diagram'!$K$526</f>
        <v>#VALUE!</v>
      </c>
      <c r="L273" s="2" t="s">
        <v>481</v>
      </c>
      <c r="M273" s="2">
        <v>0</v>
      </c>
      <c r="O273" s="2" t="str">
        <f>'Converted Diagram'!$L$526</f>
        <v>Increase Overall Convenience</v>
      </c>
      <c r="P273" s="2" t="b">
        <v>0</v>
      </c>
    </row>
    <row r="274" spans="1:16" x14ac:dyDescent="0.3">
      <c r="A274" s="2" t="e">
        <f>'Converted Diagram'!$M$529</f>
        <v>#VALUE!</v>
      </c>
      <c r="B274" s="1" t="s">
        <v>219</v>
      </c>
      <c r="C274" s="2">
        <v>0</v>
      </c>
      <c r="I274" s="2" t="e">
        <v>#VALUE!</v>
      </c>
      <c r="J274" s="2">
        <f>'Converted Diagram'!$L$529</f>
        <v>0</v>
      </c>
      <c r="K274" s="2" t="e">
        <f>'Converted Diagram'!$L$528</f>
        <v>#VALUE!</v>
      </c>
      <c r="L274" s="2" t="s">
        <v>482</v>
      </c>
      <c r="M274" s="2">
        <v>0</v>
      </c>
      <c r="P274" s="2" t="b">
        <v>0</v>
      </c>
    </row>
    <row r="275" spans="1:16" x14ac:dyDescent="0.3">
      <c r="A275" s="2" t="e">
        <f>'Converted Diagram'!$I$531</f>
        <v>#VALUE!</v>
      </c>
      <c r="B275" s="1" t="s">
        <v>31</v>
      </c>
      <c r="C275" s="2">
        <v>0</v>
      </c>
      <c r="I275" s="2" t="s">
        <v>217</v>
      </c>
      <c r="J275" s="2">
        <f>'Converted Diagram'!$H$531</f>
        <v>0</v>
      </c>
      <c r="K275" s="2" t="e">
        <f>'Converted Diagram'!$H$530</f>
        <v>#VALUE!</v>
      </c>
      <c r="L275" s="2" t="s">
        <v>483</v>
      </c>
      <c r="M275" s="2">
        <v>0</v>
      </c>
      <c r="O275" s="2" t="str">
        <f>'Converted Diagram'!$I$530</f>
        <v>Floor</v>
      </c>
      <c r="P275" s="2" t="b">
        <v>0</v>
      </c>
    </row>
    <row r="276" spans="1:16" x14ac:dyDescent="0.3">
      <c r="A276" s="2" t="e">
        <f>'Converted Diagram'!$J$533</f>
        <v>#VALUE!</v>
      </c>
      <c r="B276" s="1" t="s">
        <v>32</v>
      </c>
      <c r="C276" s="2">
        <v>0</v>
      </c>
      <c r="I276" s="2" t="s">
        <v>217</v>
      </c>
      <c r="J276" s="2">
        <f>'Converted Diagram'!$I$533</f>
        <v>0</v>
      </c>
      <c r="K276" s="2" t="e">
        <f>'Converted Diagram'!$I$532</f>
        <v>#VALUE!</v>
      </c>
      <c r="L276" s="2" t="s">
        <v>484</v>
      </c>
      <c r="M276" s="2">
        <v>0</v>
      </c>
      <c r="O276" s="2" t="str">
        <f>'Converted Diagram'!$J$532</f>
        <v>Reduce Commute Time</v>
      </c>
      <c r="P276" s="2" t="b">
        <v>0</v>
      </c>
    </row>
    <row r="277" spans="1:16" x14ac:dyDescent="0.3">
      <c r="A277" s="2" t="e">
        <f>'Converted Diagram'!$K$535</f>
        <v>#VALUE!</v>
      </c>
      <c r="B277" s="1" t="s">
        <v>219</v>
      </c>
      <c r="C277" s="2">
        <v>0</v>
      </c>
      <c r="I277" s="2" t="s">
        <v>217</v>
      </c>
      <c r="J277" s="2">
        <f>'Converted Diagram'!$J$535</f>
        <v>0</v>
      </c>
      <c r="K277" s="2" t="e">
        <f>'Converted Diagram'!$J$534</f>
        <v>#VALUE!</v>
      </c>
      <c r="L277" s="2" t="s">
        <v>485</v>
      </c>
      <c r="M277" s="2">
        <v>0</v>
      </c>
      <c r="O277" s="2" t="str">
        <f>'Converted Diagram'!$K$534</f>
        <v>Reduce overall rent</v>
      </c>
      <c r="P277" s="2" t="b">
        <v>0</v>
      </c>
    </row>
    <row r="278" spans="1:16" x14ac:dyDescent="0.3">
      <c r="A278" s="2" t="e">
        <f>'Converted Diagram'!$L$537</f>
        <v>#VALUE!</v>
      </c>
      <c r="B278" s="1" t="s">
        <v>219</v>
      </c>
      <c r="C278" s="2">
        <v>0</v>
      </c>
      <c r="I278" s="2" t="s">
        <v>217</v>
      </c>
      <c r="J278" s="2">
        <f>'Converted Diagram'!$K$537</f>
        <v>0</v>
      </c>
      <c r="K278" s="2" t="e">
        <f>'Converted Diagram'!$K$536</f>
        <v>#VALUE!</v>
      </c>
      <c r="L278" s="2" t="s">
        <v>486</v>
      </c>
      <c r="M278" s="2">
        <v>0</v>
      </c>
      <c r="O278" s="2" t="str">
        <f>'Converted Diagram'!$L$536</f>
        <v>Increase Overall Convenience</v>
      </c>
      <c r="P278" s="2" t="b">
        <v>0</v>
      </c>
    </row>
    <row r="279" spans="1:16" x14ac:dyDescent="0.3">
      <c r="A279" s="2" t="e">
        <f>'Converted Diagram'!$M$539</f>
        <v>#VALUE!</v>
      </c>
      <c r="B279" s="1" t="s">
        <v>219</v>
      </c>
      <c r="C279" s="2">
        <v>0</v>
      </c>
      <c r="I279" s="2" t="e">
        <v>#VALUE!</v>
      </c>
      <c r="J279" s="2">
        <f>'Converted Diagram'!$L$539</f>
        <v>0</v>
      </c>
      <c r="K279" s="2" t="e">
        <f>'Converted Diagram'!$L$538</f>
        <v>#VALUE!</v>
      </c>
      <c r="L279" s="2" t="s">
        <v>487</v>
      </c>
      <c r="M279" s="2">
        <v>0</v>
      </c>
      <c r="P279" s="2" t="b">
        <v>0</v>
      </c>
    </row>
    <row r="280" spans="1:16" x14ac:dyDescent="0.3">
      <c r="A280" s="2" t="e">
        <f>'Converted Diagram'!$H$541</f>
        <v>#VALUE!</v>
      </c>
      <c r="B280" s="1" t="s">
        <v>32</v>
      </c>
      <c r="C280" s="2">
        <v>0</v>
      </c>
      <c r="I280" s="2" t="s">
        <v>217</v>
      </c>
      <c r="J280" s="2">
        <f>'Converted Diagram'!$G$541</f>
        <v>0</v>
      </c>
      <c r="K280" s="2" t="e">
        <f>'Converted Diagram'!$G$540</f>
        <v>#VALUE!</v>
      </c>
      <c r="L280" s="2" t="s">
        <v>488</v>
      </c>
      <c r="M280" s="2">
        <v>0</v>
      </c>
      <c r="O280" s="2" t="str">
        <f>'Converted Diagram'!$H$540</f>
        <v>Wi-Fi &amp; Cable Ready</v>
      </c>
      <c r="P280" s="2" t="b">
        <v>0</v>
      </c>
    </row>
    <row r="281" spans="1:16" x14ac:dyDescent="0.3">
      <c r="A281" s="2" t="e">
        <f>'Converted Diagram'!$J$543</f>
        <v>#VALUE!</v>
      </c>
      <c r="B281" s="1" t="s">
        <v>31</v>
      </c>
      <c r="C281" s="2">
        <v>0</v>
      </c>
      <c r="I281" s="2" t="s">
        <v>217</v>
      </c>
      <c r="J281" s="2">
        <f>'Converted Diagram'!$I$543</f>
        <v>0</v>
      </c>
      <c r="K281" s="2" t="e">
        <f>'Converted Diagram'!$I$542</f>
        <v>#VALUE!</v>
      </c>
      <c r="L281" s="2" t="s">
        <v>489</v>
      </c>
      <c r="M281" s="2">
        <v>0</v>
      </c>
      <c r="O281" s="2" t="str">
        <f>'Converted Diagram'!$J$542</f>
        <v>Reduce Commute Time</v>
      </c>
      <c r="P281" s="2" t="b">
        <v>0</v>
      </c>
    </row>
    <row r="282" spans="1:16" x14ac:dyDescent="0.3">
      <c r="A282" s="2" t="e">
        <f>'Converted Diagram'!$K$545</f>
        <v>#VALUE!</v>
      </c>
      <c r="B282" s="1" t="s">
        <v>219</v>
      </c>
      <c r="C282" s="2">
        <v>0</v>
      </c>
      <c r="I282" s="2" t="s">
        <v>217</v>
      </c>
      <c r="J282" s="2">
        <f>'Converted Diagram'!$J$545</f>
        <v>0</v>
      </c>
      <c r="K282" s="2" t="e">
        <f>'Converted Diagram'!$J$544</f>
        <v>#VALUE!</v>
      </c>
      <c r="L282" s="2" t="s">
        <v>490</v>
      </c>
      <c r="M282" s="2">
        <v>0</v>
      </c>
      <c r="O282" s="2" t="str">
        <f>'Converted Diagram'!$K$544</f>
        <v>Reduce overall rent</v>
      </c>
      <c r="P282" s="2" t="b">
        <v>0</v>
      </c>
    </row>
    <row r="283" spans="1:16" x14ac:dyDescent="0.3">
      <c r="A283" s="2" t="e">
        <f>'Converted Diagram'!$L$547</f>
        <v>#VALUE!</v>
      </c>
      <c r="B283" s="1" t="s">
        <v>219</v>
      </c>
      <c r="C283" s="2">
        <v>0</v>
      </c>
      <c r="I283" s="2" t="s">
        <v>217</v>
      </c>
      <c r="J283" s="2">
        <f>'Converted Diagram'!$K$547</f>
        <v>0</v>
      </c>
      <c r="K283" s="2" t="e">
        <f>'Converted Diagram'!$K$546</f>
        <v>#VALUE!</v>
      </c>
      <c r="L283" s="2" t="s">
        <v>491</v>
      </c>
      <c r="M283" s="2">
        <v>0</v>
      </c>
      <c r="O283" s="2" t="str">
        <f>'Converted Diagram'!$L$546</f>
        <v>Increase Overall Convenience</v>
      </c>
      <c r="P283" s="2" t="b">
        <v>0</v>
      </c>
    </row>
    <row r="284" spans="1:16" x14ac:dyDescent="0.3">
      <c r="A284" s="2" t="e">
        <f>'Converted Diagram'!$M$549</f>
        <v>#VALUE!</v>
      </c>
      <c r="B284" s="1" t="s">
        <v>219</v>
      </c>
      <c r="C284" s="2">
        <v>0</v>
      </c>
      <c r="I284" s="2" t="e">
        <v>#VALUE!</v>
      </c>
      <c r="J284" s="2">
        <f>'Converted Diagram'!$L$549</f>
        <v>0</v>
      </c>
      <c r="K284" s="2" t="e">
        <f>'Converted Diagram'!$L$548</f>
        <v>#VALUE!</v>
      </c>
      <c r="L284" s="2" t="s">
        <v>492</v>
      </c>
      <c r="M284" s="2">
        <v>0</v>
      </c>
      <c r="P284" s="2" t="b">
        <v>0</v>
      </c>
    </row>
    <row r="285" spans="1:16" x14ac:dyDescent="0.3">
      <c r="A285" s="2" t="e">
        <f>'Converted Diagram'!$I$551</f>
        <v>#VALUE!</v>
      </c>
      <c r="B285" s="1" t="s">
        <v>32</v>
      </c>
      <c r="C285" s="2">
        <v>0</v>
      </c>
      <c r="I285" s="2" t="s">
        <v>217</v>
      </c>
      <c r="J285" s="2">
        <f>'Converted Diagram'!$H$551</f>
        <v>0</v>
      </c>
      <c r="K285" s="2" t="e">
        <f>'Converted Diagram'!$H$550</f>
        <v>#VALUE!</v>
      </c>
      <c r="L285" s="2" t="s">
        <v>493</v>
      </c>
      <c r="M285" s="2">
        <v>0</v>
      </c>
      <c r="O285" s="2" t="str">
        <f>'Converted Diagram'!$I$550</f>
        <v>Floor</v>
      </c>
      <c r="P285" s="2" t="b">
        <v>0</v>
      </c>
    </row>
    <row r="286" spans="1:16" x14ac:dyDescent="0.3">
      <c r="A286" s="2" t="e">
        <f>'Converted Diagram'!$J$553</f>
        <v>#VALUE!</v>
      </c>
      <c r="B286" s="1" t="s">
        <v>32</v>
      </c>
      <c r="C286" s="2">
        <v>0</v>
      </c>
      <c r="I286" s="2" t="s">
        <v>217</v>
      </c>
      <c r="J286" s="2">
        <f>'Converted Diagram'!$I$553</f>
        <v>0</v>
      </c>
      <c r="K286" s="2" t="e">
        <f>'Converted Diagram'!$I$552</f>
        <v>#VALUE!</v>
      </c>
      <c r="L286" s="2" t="s">
        <v>494</v>
      </c>
      <c r="M286" s="2">
        <v>0</v>
      </c>
      <c r="O286" s="2" t="str">
        <f>'Converted Diagram'!$J$552</f>
        <v>Reduce Commute Time</v>
      </c>
      <c r="P286" s="2" t="b">
        <v>0</v>
      </c>
    </row>
    <row r="287" spans="1:16" x14ac:dyDescent="0.3">
      <c r="A287" s="2" t="e">
        <f>'Converted Diagram'!$K$555</f>
        <v>#VALUE!</v>
      </c>
      <c r="B287" s="1" t="s">
        <v>219</v>
      </c>
      <c r="C287" s="2">
        <v>0</v>
      </c>
      <c r="I287" s="2" t="s">
        <v>217</v>
      </c>
      <c r="J287" s="2">
        <f>'Converted Diagram'!$J$555</f>
        <v>0</v>
      </c>
      <c r="K287" s="2" t="e">
        <f>'Converted Diagram'!$J$554</f>
        <v>#VALUE!</v>
      </c>
      <c r="L287" s="2" t="s">
        <v>495</v>
      </c>
      <c r="M287" s="2">
        <v>0</v>
      </c>
      <c r="O287" s="2" t="str">
        <f>'Converted Diagram'!$K$554</f>
        <v>Reduce overall rent</v>
      </c>
      <c r="P287" s="2" t="b">
        <v>0</v>
      </c>
    </row>
    <row r="288" spans="1:16" x14ac:dyDescent="0.3">
      <c r="A288" s="2" t="e">
        <f>'Converted Diagram'!$L$557</f>
        <v>#VALUE!</v>
      </c>
      <c r="B288" s="1" t="s">
        <v>219</v>
      </c>
      <c r="C288" s="2">
        <v>0</v>
      </c>
      <c r="I288" s="2" t="s">
        <v>217</v>
      </c>
      <c r="J288" s="2">
        <f>'Converted Diagram'!$K$557</f>
        <v>0</v>
      </c>
      <c r="K288" s="2" t="e">
        <f>'Converted Diagram'!$K$556</f>
        <v>#VALUE!</v>
      </c>
      <c r="L288" s="2" t="s">
        <v>496</v>
      </c>
      <c r="M288" s="2">
        <v>0</v>
      </c>
      <c r="O288" s="2" t="str">
        <f>'Converted Diagram'!$L$556</f>
        <v>Increase Overall Convenience</v>
      </c>
      <c r="P288" s="2" t="b">
        <v>0</v>
      </c>
    </row>
    <row r="289" spans="1:16" x14ac:dyDescent="0.3">
      <c r="A289" s="2" t="e">
        <f>'Converted Diagram'!$M$559</f>
        <v>#VALUE!</v>
      </c>
      <c r="B289" s="1" t="s">
        <v>219</v>
      </c>
      <c r="C289" s="2">
        <v>0</v>
      </c>
      <c r="I289" s="2" t="e">
        <v>#VALUE!</v>
      </c>
      <c r="J289" s="2">
        <f>'Converted Diagram'!$L$559</f>
        <v>0</v>
      </c>
      <c r="K289" s="2" t="e">
        <f>'Converted Diagram'!$L$558</f>
        <v>#VALUE!</v>
      </c>
      <c r="L289" s="2" t="s">
        <v>497</v>
      </c>
      <c r="M289" s="2">
        <v>0</v>
      </c>
      <c r="P289" s="2" t="b">
        <v>0</v>
      </c>
    </row>
    <row r="290" spans="1:16" x14ac:dyDescent="0.3">
      <c r="A290" s="2" t="e">
        <f>'Converted Diagram'!$F$561</f>
        <v>#VALUE!</v>
      </c>
      <c r="B290" s="1" t="s">
        <v>32</v>
      </c>
      <c r="C290" s="2">
        <v>0</v>
      </c>
      <c r="I290" s="2" t="s">
        <v>217</v>
      </c>
      <c r="J290" s="2">
        <f>'Converted Diagram'!$E$561</f>
        <v>0</v>
      </c>
      <c r="K290" s="2" t="e">
        <f>'Converted Diagram'!$E$560</f>
        <v>#VALUE!</v>
      </c>
      <c r="L290" s="2" t="s">
        <v>498</v>
      </c>
      <c r="M290" s="2">
        <v>0</v>
      </c>
      <c r="O290" s="2" t="str">
        <f>'Converted Diagram'!$F$560</f>
        <v>Utilities</v>
      </c>
      <c r="P290" s="2" t="b">
        <v>0</v>
      </c>
    </row>
    <row r="291" spans="1:16" x14ac:dyDescent="0.3">
      <c r="A291" s="2" t="e">
        <f>'Converted Diagram'!$J$563</f>
        <v>#VALUE!</v>
      </c>
      <c r="B291" s="1" t="s">
        <v>31</v>
      </c>
      <c r="C291" s="2">
        <v>0</v>
      </c>
      <c r="I291" s="2" t="s">
        <v>217</v>
      </c>
      <c r="J291" s="2">
        <f>'Converted Diagram'!$I$563</f>
        <v>0</v>
      </c>
      <c r="K291" s="2" t="e">
        <f>'Converted Diagram'!$I$562</f>
        <v>#VALUE!</v>
      </c>
      <c r="L291" s="2" t="s">
        <v>499</v>
      </c>
      <c r="M291" s="2">
        <v>0</v>
      </c>
      <c r="O291" s="2" t="str">
        <f>'Converted Diagram'!$J$562</f>
        <v>Reduce Commute Time</v>
      </c>
      <c r="P291" s="2" t="b">
        <v>0</v>
      </c>
    </row>
    <row r="292" spans="1:16" x14ac:dyDescent="0.3">
      <c r="A292" s="2" t="e">
        <f>'Converted Diagram'!$K$565</f>
        <v>#VALUE!</v>
      </c>
      <c r="B292" s="1" t="s">
        <v>219</v>
      </c>
      <c r="C292" s="2">
        <v>0</v>
      </c>
      <c r="I292" s="2" t="s">
        <v>217</v>
      </c>
      <c r="J292" s="2">
        <f>'Converted Diagram'!$J$565</f>
        <v>0</v>
      </c>
      <c r="K292" s="2" t="e">
        <f>'Converted Diagram'!$J$564</f>
        <v>#VALUE!</v>
      </c>
      <c r="L292" s="2" t="s">
        <v>500</v>
      </c>
      <c r="M292" s="2">
        <v>0</v>
      </c>
      <c r="O292" s="2" t="str">
        <f>'Converted Diagram'!$K$564</f>
        <v>Reduce overall rent</v>
      </c>
      <c r="P292" s="2" t="b">
        <v>0</v>
      </c>
    </row>
    <row r="293" spans="1:16" x14ac:dyDescent="0.3">
      <c r="A293" s="2" t="e">
        <f>'Converted Diagram'!$L$567</f>
        <v>#VALUE!</v>
      </c>
      <c r="B293" s="1" t="s">
        <v>219</v>
      </c>
      <c r="C293" s="2">
        <v>0</v>
      </c>
      <c r="I293" s="2" t="s">
        <v>217</v>
      </c>
      <c r="J293" s="2">
        <f>'Converted Diagram'!$K$567</f>
        <v>0</v>
      </c>
      <c r="K293" s="2" t="e">
        <f>'Converted Diagram'!$K$566</f>
        <v>#VALUE!</v>
      </c>
      <c r="L293" s="2" t="s">
        <v>501</v>
      </c>
      <c r="M293" s="2">
        <v>0</v>
      </c>
      <c r="O293" s="2" t="str">
        <f>'Converted Diagram'!$L$566</f>
        <v>Increase Overall Convenience</v>
      </c>
      <c r="P293" s="2" t="b">
        <v>0</v>
      </c>
    </row>
    <row r="294" spans="1:16" x14ac:dyDescent="0.3">
      <c r="A294" s="2" t="e">
        <f>'Converted Diagram'!$M$569</f>
        <v>#VALUE!</v>
      </c>
      <c r="B294" s="1" t="s">
        <v>219</v>
      </c>
      <c r="C294" s="2">
        <v>0</v>
      </c>
      <c r="I294" s="2" t="e">
        <v>#VALUE!</v>
      </c>
      <c r="J294" s="2">
        <f>'Converted Diagram'!$L$569</f>
        <v>0</v>
      </c>
      <c r="K294" s="2" t="e">
        <f>'Converted Diagram'!$L$568</f>
        <v>#VALUE!</v>
      </c>
      <c r="L294" s="2" t="s">
        <v>502</v>
      </c>
      <c r="M294" s="2">
        <v>0</v>
      </c>
      <c r="P294" s="2" t="b">
        <v>0</v>
      </c>
    </row>
    <row r="295" spans="1:16" x14ac:dyDescent="0.3">
      <c r="A295" s="2" t="e">
        <f>'Converted Diagram'!$I$571</f>
        <v>#VALUE!</v>
      </c>
      <c r="B295" s="1" t="s">
        <v>31</v>
      </c>
      <c r="C295" s="2">
        <v>0</v>
      </c>
      <c r="I295" s="2" t="s">
        <v>217</v>
      </c>
      <c r="J295" s="2">
        <f>'Converted Diagram'!$H$571</f>
        <v>0</v>
      </c>
      <c r="K295" s="2" t="e">
        <f>'Converted Diagram'!$H$570</f>
        <v>#VALUE!</v>
      </c>
      <c r="L295" s="2" t="s">
        <v>503</v>
      </c>
      <c r="M295" s="2">
        <v>0</v>
      </c>
      <c r="O295" s="2" t="str">
        <f>'Converted Diagram'!$I$570</f>
        <v>Floor</v>
      </c>
      <c r="P295" s="2" t="b">
        <v>0</v>
      </c>
    </row>
    <row r="296" spans="1:16" x14ac:dyDescent="0.3">
      <c r="A296" s="2" t="e">
        <f>'Converted Diagram'!$J$573</f>
        <v>#VALUE!</v>
      </c>
      <c r="B296" s="1" t="s">
        <v>32</v>
      </c>
      <c r="C296" s="2">
        <v>0</v>
      </c>
      <c r="I296" s="2" t="s">
        <v>217</v>
      </c>
      <c r="J296" s="2">
        <f>'Converted Diagram'!$I$573</f>
        <v>0</v>
      </c>
      <c r="K296" s="2" t="e">
        <f>'Converted Diagram'!$I$572</f>
        <v>#VALUE!</v>
      </c>
      <c r="L296" s="2" t="s">
        <v>504</v>
      </c>
      <c r="M296" s="2">
        <v>0</v>
      </c>
      <c r="O296" s="2" t="str">
        <f>'Converted Diagram'!$J$572</f>
        <v>Reduce Commute Time</v>
      </c>
      <c r="P296" s="2" t="b">
        <v>0</v>
      </c>
    </row>
    <row r="297" spans="1:16" x14ac:dyDescent="0.3">
      <c r="A297" s="2" t="e">
        <f>'Converted Diagram'!$K$575</f>
        <v>#VALUE!</v>
      </c>
      <c r="B297" s="1" t="s">
        <v>219</v>
      </c>
      <c r="C297" s="2">
        <v>0</v>
      </c>
      <c r="I297" s="2" t="s">
        <v>217</v>
      </c>
      <c r="J297" s="2">
        <f>'Converted Diagram'!$J$575</f>
        <v>0</v>
      </c>
      <c r="K297" s="2" t="e">
        <f>'Converted Diagram'!$J$574</f>
        <v>#VALUE!</v>
      </c>
      <c r="L297" s="2" t="s">
        <v>505</v>
      </c>
      <c r="M297" s="2">
        <v>0</v>
      </c>
      <c r="O297" s="2" t="str">
        <f>'Converted Diagram'!$K$574</f>
        <v>Reduce overall rent</v>
      </c>
      <c r="P297" s="2" t="b">
        <v>0</v>
      </c>
    </row>
    <row r="298" spans="1:16" x14ac:dyDescent="0.3">
      <c r="A298" s="2" t="e">
        <f>'Converted Diagram'!$L$577</f>
        <v>#VALUE!</v>
      </c>
      <c r="B298" s="1" t="s">
        <v>219</v>
      </c>
      <c r="C298" s="2">
        <v>0</v>
      </c>
      <c r="I298" s="2" t="s">
        <v>217</v>
      </c>
      <c r="J298" s="2">
        <f>'Converted Diagram'!$K$577</f>
        <v>0</v>
      </c>
      <c r="K298" s="2" t="e">
        <f>'Converted Diagram'!$K$576</f>
        <v>#VALUE!</v>
      </c>
      <c r="L298" s="2" t="s">
        <v>506</v>
      </c>
      <c r="M298" s="2">
        <v>0</v>
      </c>
      <c r="O298" s="2" t="str">
        <f>'Converted Diagram'!$L$576</f>
        <v>Increase Overall Convenience</v>
      </c>
      <c r="P298" s="2" t="b">
        <v>0</v>
      </c>
    </row>
    <row r="299" spans="1:16" x14ac:dyDescent="0.3">
      <c r="A299" s="2" t="e">
        <f>'Converted Diagram'!$M$579</f>
        <v>#VALUE!</v>
      </c>
      <c r="B299" s="1" t="s">
        <v>219</v>
      </c>
      <c r="C299" s="2">
        <v>0</v>
      </c>
      <c r="I299" s="2" t="e">
        <v>#VALUE!</v>
      </c>
      <c r="J299" s="2">
        <f>'Converted Diagram'!$L$579</f>
        <v>0</v>
      </c>
      <c r="K299" s="2" t="e">
        <f>'Converted Diagram'!$L$578</f>
        <v>#VALUE!</v>
      </c>
      <c r="L299" s="2" t="s">
        <v>507</v>
      </c>
      <c r="M299" s="2">
        <v>0</v>
      </c>
      <c r="P299" s="2" t="b">
        <v>0</v>
      </c>
    </row>
    <row r="300" spans="1:16" x14ac:dyDescent="0.3">
      <c r="A300" s="2" t="e">
        <f>'Converted Diagram'!$H$581</f>
        <v>#VALUE!</v>
      </c>
      <c r="B300" s="1" t="s">
        <v>31</v>
      </c>
      <c r="C300" s="2">
        <v>0</v>
      </c>
      <c r="I300" s="2" t="s">
        <v>217</v>
      </c>
      <c r="J300" s="2">
        <f>'Converted Diagram'!$G$581</f>
        <v>0</v>
      </c>
      <c r="K300" s="2" t="e">
        <f>'Converted Diagram'!$G$580</f>
        <v>#VALUE!</v>
      </c>
      <c r="L300" s="2" t="s">
        <v>508</v>
      </c>
      <c r="M300" s="2">
        <v>0</v>
      </c>
      <c r="O300" s="2" t="str">
        <f>'Converted Diagram'!$H$580</f>
        <v>Wi-Fi &amp; Cable Ready</v>
      </c>
      <c r="P300" s="2" t="b">
        <v>0</v>
      </c>
    </row>
    <row r="301" spans="1:16" x14ac:dyDescent="0.3">
      <c r="A301" s="2" t="e">
        <f>'Converted Diagram'!$J$583</f>
        <v>#VALUE!</v>
      </c>
      <c r="B301" s="1" t="s">
        <v>31</v>
      </c>
      <c r="C301" s="2">
        <v>0</v>
      </c>
      <c r="I301" s="2" t="s">
        <v>217</v>
      </c>
      <c r="J301" s="2">
        <f>'Converted Diagram'!$I$583</f>
        <v>0</v>
      </c>
      <c r="K301" s="2" t="e">
        <f>'Converted Diagram'!$I$582</f>
        <v>#VALUE!</v>
      </c>
      <c r="L301" s="2" t="s">
        <v>509</v>
      </c>
      <c r="M301" s="2">
        <v>0</v>
      </c>
      <c r="O301" s="2" t="str">
        <f>'Converted Diagram'!$J$582</f>
        <v>Reduce Commute Time</v>
      </c>
      <c r="P301" s="2" t="b">
        <v>0</v>
      </c>
    </row>
    <row r="302" spans="1:16" x14ac:dyDescent="0.3">
      <c r="A302" s="2" t="e">
        <f>'Converted Diagram'!$K$585</f>
        <v>#VALUE!</v>
      </c>
      <c r="B302" s="1" t="s">
        <v>219</v>
      </c>
      <c r="C302" s="2">
        <v>0</v>
      </c>
      <c r="I302" s="2" t="s">
        <v>217</v>
      </c>
      <c r="J302" s="2">
        <f>'Converted Diagram'!$J$585</f>
        <v>0</v>
      </c>
      <c r="K302" s="2" t="e">
        <f>'Converted Diagram'!$J$584</f>
        <v>#VALUE!</v>
      </c>
      <c r="L302" s="2" t="s">
        <v>510</v>
      </c>
      <c r="M302" s="2">
        <v>0</v>
      </c>
      <c r="O302" s="2" t="str">
        <f>'Converted Diagram'!$K$584</f>
        <v>Reduce overall rent</v>
      </c>
      <c r="P302" s="2" t="b">
        <v>0</v>
      </c>
    </row>
    <row r="303" spans="1:16" x14ac:dyDescent="0.3">
      <c r="A303" s="2" t="e">
        <f>'Converted Diagram'!$L$587</f>
        <v>#VALUE!</v>
      </c>
      <c r="B303" s="1" t="s">
        <v>219</v>
      </c>
      <c r="C303" s="2">
        <v>0</v>
      </c>
      <c r="I303" s="2" t="s">
        <v>217</v>
      </c>
      <c r="J303" s="2">
        <f>'Converted Diagram'!$K$587</f>
        <v>0</v>
      </c>
      <c r="K303" s="2" t="e">
        <f>'Converted Diagram'!$K$586</f>
        <v>#VALUE!</v>
      </c>
      <c r="L303" s="2" t="s">
        <v>511</v>
      </c>
      <c r="M303" s="2">
        <v>0</v>
      </c>
      <c r="O303" s="2" t="str">
        <f>'Converted Diagram'!$L$586</f>
        <v>Increase Overall Convenience</v>
      </c>
      <c r="P303" s="2" t="b">
        <v>0</v>
      </c>
    </row>
    <row r="304" spans="1:16" x14ac:dyDescent="0.3">
      <c r="A304" s="2" t="e">
        <f>'Converted Diagram'!$M$589</f>
        <v>#VALUE!</v>
      </c>
      <c r="B304" s="1" t="s">
        <v>219</v>
      </c>
      <c r="C304" s="2">
        <v>0</v>
      </c>
      <c r="I304" s="2" t="e">
        <v>#VALUE!</v>
      </c>
      <c r="J304" s="2">
        <f>'Converted Diagram'!$L$589</f>
        <v>0</v>
      </c>
      <c r="K304" s="2" t="e">
        <f>'Converted Diagram'!$L$588</f>
        <v>#VALUE!</v>
      </c>
      <c r="L304" s="2" t="s">
        <v>512</v>
      </c>
      <c r="M304" s="2">
        <v>0</v>
      </c>
      <c r="P304" s="2" t="b">
        <v>0</v>
      </c>
    </row>
    <row r="305" spans="1:16" x14ac:dyDescent="0.3">
      <c r="A305" s="2" t="e">
        <f>'Converted Diagram'!$I$591</f>
        <v>#VALUE!</v>
      </c>
      <c r="B305" s="1" t="s">
        <v>32</v>
      </c>
      <c r="C305" s="2">
        <v>0</v>
      </c>
      <c r="I305" s="2" t="s">
        <v>217</v>
      </c>
      <c r="J305" s="2">
        <f>'Converted Diagram'!$H$591</f>
        <v>0</v>
      </c>
      <c r="K305" s="2" t="e">
        <f>'Converted Diagram'!$H$590</f>
        <v>#VALUE!</v>
      </c>
      <c r="L305" s="2" t="s">
        <v>513</v>
      </c>
      <c r="M305" s="2">
        <v>0</v>
      </c>
      <c r="O305" s="2" t="str">
        <f>'Converted Diagram'!$I$590</f>
        <v>Floor</v>
      </c>
      <c r="P305" s="2" t="b">
        <v>0</v>
      </c>
    </row>
    <row r="306" spans="1:16" x14ac:dyDescent="0.3">
      <c r="A306" s="2" t="e">
        <f>'Converted Diagram'!$J$593</f>
        <v>#VALUE!</v>
      </c>
      <c r="B306" s="1" t="s">
        <v>32</v>
      </c>
      <c r="C306" s="2">
        <v>0</v>
      </c>
      <c r="I306" s="2" t="s">
        <v>217</v>
      </c>
      <c r="J306" s="2">
        <f>'Converted Diagram'!$I$593</f>
        <v>0</v>
      </c>
      <c r="K306" s="2" t="e">
        <f>'Converted Diagram'!$I$592</f>
        <v>#VALUE!</v>
      </c>
      <c r="L306" s="2" t="s">
        <v>514</v>
      </c>
      <c r="M306" s="2">
        <v>0</v>
      </c>
      <c r="O306" s="2" t="str">
        <f>'Converted Diagram'!$J$592</f>
        <v>Reduce Commute Time</v>
      </c>
      <c r="P306" s="2" t="b">
        <v>0</v>
      </c>
    </row>
    <row r="307" spans="1:16" x14ac:dyDescent="0.3">
      <c r="A307" s="2" t="e">
        <f>'Converted Diagram'!$K$595</f>
        <v>#VALUE!</v>
      </c>
      <c r="B307" s="1" t="s">
        <v>219</v>
      </c>
      <c r="C307" s="2">
        <v>0</v>
      </c>
      <c r="I307" s="2" t="s">
        <v>217</v>
      </c>
      <c r="J307" s="2">
        <f>'Converted Diagram'!$J$595</f>
        <v>0</v>
      </c>
      <c r="K307" s="2" t="e">
        <f>'Converted Diagram'!$J$594</f>
        <v>#VALUE!</v>
      </c>
      <c r="L307" s="2" t="s">
        <v>515</v>
      </c>
      <c r="M307" s="2">
        <v>0</v>
      </c>
      <c r="O307" s="2" t="str">
        <f>'Converted Diagram'!$K$594</f>
        <v>Reduce overall rent</v>
      </c>
      <c r="P307" s="2" t="b">
        <v>0</v>
      </c>
    </row>
    <row r="308" spans="1:16" x14ac:dyDescent="0.3">
      <c r="A308" s="2" t="e">
        <f>'Converted Diagram'!$L$597</f>
        <v>#VALUE!</v>
      </c>
      <c r="B308" s="1" t="s">
        <v>219</v>
      </c>
      <c r="C308" s="2">
        <v>0</v>
      </c>
      <c r="I308" s="2" t="s">
        <v>217</v>
      </c>
      <c r="J308" s="2">
        <f>'Converted Diagram'!$K$597</f>
        <v>0</v>
      </c>
      <c r="K308" s="2" t="e">
        <f>'Converted Diagram'!$K$596</f>
        <v>#VALUE!</v>
      </c>
      <c r="L308" s="2" t="s">
        <v>516</v>
      </c>
      <c r="M308" s="2">
        <v>0</v>
      </c>
      <c r="O308" s="2" t="str">
        <f>'Converted Diagram'!$L$596</f>
        <v>Increase Overall Convenience</v>
      </c>
      <c r="P308" s="2" t="b">
        <v>0</v>
      </c>
    </row>
    <row r="309" spans="1:16" x14ac:dyDescent="0.3">
      <c r="A309" s="2" t="e">
        <f>'Converted Diagram'!$M$599</f>
        <v>#VALUE!</v>
      </c>
      <c r="B309" s="1" t="s">
        <v>219</v>
      </c>
      <c r="C309" s="2">
        <v>0</v>
      </c>
      <c r="I309" s="2" t="e">
        <v>#VALUE!</v>
      </c>
      <c r="J309" s="2">
        <f>'Converted Diagram'!$L$599</f>
        <v>0</v>
      </c>
      <c r="K309" s="2" t="e">
        <f>'Converted Diagram'!$L$598</f>
        <v>#VALUE!</v>
      </c>
      <c r="L309" s="2" t="s">
        <v>517</v>
      </c>
      <c r="M309" s="2">
        <v>0</v>
      </c>
      <c r="P309" s="2" t="b">
        <v>0</v>
      </c>
    </row>
    <row r="310" spans="1:16" x14ac:dyDescent="0.3">
      <c r="A310" s="2" t="e">
        <f>'Converted Diagram'!$G$601</f>
        <v>#VALUE!</v>
      </c>
      <c r="B310" s="1" t="s">
        <v>32</v>
      </c>
      <c r="C310" s="2">
        <v>0</v>
      </c>
      <c r="I310" s="2" t="s">
        <v>217</v>
      </c>
      <c r="J310" s="2">
        <f>'Converted Diagram'!$F$601</f>
        <v>0</v>
      </c>
      <c r="K310" s="2" t="e">
        <f>'Converted Diagram'!$F$600</f>
        <v>#VALUE!</v>
      </c>
      <c r="L310" s="2" t="s">
        <v>518</v>
      </c>
      <c r="M310" s="2">
        <v>0</v>
      </c>
      <c r="O310" s="2" t="str">
        <f>'Converted Diagram'!$G$600</f>
        <v>Grocery Store</v>
      </c>
      <c r="P310" s="2" t="b">
        <v>0</v>
      </c>
    </row>
    <row r="311" spans="1:16" x14ac:dyDescent="0.3">
      <c r="A311" s="2" t="e">
        <f>'Converted Diagram'!$J$603</f>
        <v>#VALUE!</v>
      </c>
      <c r="B311" s="1" t="s">
        <v>31</v>
      </c>
      <c r="C311" s="2">
        <v>0</v>
      </c>
      <c r="I311" s="2" t="s">
        <v>217</v>
      </c>
      <c r="J311" s="2">
        <f>'Converted Diagram'!$I$603</f>
        <v>0</v>
      </c>
      <c r="K311" s="2" t="e">
        <f>'Converted Diagram'!$I$602</f>
        <v>#VALUE!</v>
      </c>
      <c r="L311" s="2" t="s">
        <v>519</v>
      </c>
      <c r="M311" s="2">
        <v>0</v>
      </c>
      <c r="O311" s="2" t="str">
        <f>'Converted Diagram'!$J$602</f>
        <v>Reduce Commute Time</v>
      </c>
      <c r="P311" s="2" t="b">
        <v>0</v>
      </c>
    </row>
    <row r="312" spans="1:16" x14ac:dyDescent="0.3">
      <c r="A312" s="2" t="e">
        <f>'Converted Diagram'!$K$605</f>
        <v>#VALUE!</v>
      </c>
      <c r="B312" s="1" t="s">
        <v>219</v>
      </c>
      <c r="C312" s="2">
        <v>0</v>
      </c>
      <c r="I312" s="2" t="s">
        <v>217</v>
      </c>
      <c r="J312" s="2">
        <f>'Converted Diagram'!$J$605</f>
        <v>0</v>
      </c>
      <c r="K312" s="2" t="e">
        <f>'Converted Diagram'!$J$604</f>
        <v>#VALUE!</v>
      </c>
      <c r="L312" s="2" t="s">
        <v>520</v>
      </c>
      <c r="M312" s="2">
        <v>0</v>
      </c>
      <c r="O312" s="2" t="str">
        <f>'Converted Diagram'!$K$604</f>
        <v>Reduce overall rent</v>
      </c>
      <c r="P312" s="2" t="b">
        <v>0</v>
      </c>
    </row>
    <row r="313" spans="1:16" x14ac:dyDescent="0.3">
      <c r="A313" s="2" t="e">
        <f>'Converted Diagram'!$L$607</f>
        <v>#VALUE!</v>
      </c>
      <c r="B313" s="1" t="s">
        <v>219</v>
      </c>
      <c r="C313" s="2">
        <v>0</v>
      </c>
      <c r="I313" s="2" t="s">
        <v>217</v>
      </c>
      <c r="J313" s="2">
        <f>'Converted Diagram'!$K$607</f>
        <v>0</v>
      </c>
      <c r="K313" s="2" t="e">
        <f>'Converted Diagram'!$K$606</f>
        <v>#VALUE!</v>
      </c>
      <c r="L313" s="2" t="s">
        <v>521</v>
      </c>
      <c r="M313" s="2">
        <v>0</v>
      </c>
      <c r="O313" s="2" t="str">
        <f>'Converted Diagram'!$L$606</f>
        <v>Increase Overall Convenience</v>
      </c>
      <c r="P313" s="2" t="b">
        <v>0</v>
      </c>
    </row>
    <row r="314" spans="1:16" x14ac:dyDescent="0.3">
      <c r="A314" s="2" t="e">
        <f>'Converted Diagram'!$M$609</f>
        <v>#VALUE!</v>
      </c>
      <c r="B314" s="1" t="s">
        <v>219</v>
      </c>
      <c r="C314" s="2">
        <v>0</v>
      </c>
      <c r="I314" s="2" t="e">
        <v>#VALUE!</v>
      </c>
      <c r="J314" s="2">
        <f>'Converted Diagram'!$L$609</f>
        <v>0</v>
      </c>
      <c r="K314" s="2" t="e">
        <f>'Converted Diagram'!$L$608</f>
        <v>#VALUE!</v>
      </c>
      <c r="L314" s="2" t="s">
        <v>522</v>
      </c>
      <c r="M314" s="2">
        <v>0</v>
      </c>
      <c r="P314" s="2" t="b">
        <v>0</v>
      </c>
    </row>
    <row r="315" spans="1:16" x14ac:dyDescent="0.3">
      <c r="A315" s="2" t="e">
        <f>'Converted Diagram'!$I$611</f>
        <v>#VALUE!</v>
      </c>
      <c r="B315" s="1" t="s">
        <v>31</v>
      </c>
      <c r="C315" s="2">
        <v>0</v>
      </c>
      <c r="I315" s="2" t="s">
        <v>217</v>
      </c>
      <c r="J315" s="2">
        <f>'Converted Diagram'!$H$611</f>
        <v>0</v>
      </c>
      <c r="K315" s="2" t="e">
        <f>'Converted Diagram'!$H$610</f>
        <v>#VALUE!</v>
      </c>
      <c r="L315" s="2" t="s">
        <v>523</v>
      </c>
      <c r="M315" s="2">
        <v>0</v>
      </c>
      <c r="O315" s="2" t="str">
        <f>'Converted Diagram'!$I$610</f>
        <v>Floor</v>
      </c>
      <c r="P315" s="2" t="b">
        <v>0</v>
      </c>
    </row>
    <row r="316" spans="1:16" x14ac:dyDescent="0.3">
      <c r="A316" s="2" t="e">
        <f>'Converted Diagram'!$J$613</f>
        <v>#VALUE!</v>
      </c>
      <c r="B316" s="1" t="s">
        <v>32</v>
      </c>
      <c r="C316" s="2">
        <v>0</v>
      </c>
      <c r="I316" s="2" t="s">
        <v>217</v>
      </c>
      <c r="J316" s="2">
        <f>'Converted Diagram'!$I$613</f>
        <v>0</v>
      </c>
      <c r="K316" s="2" t="e">
        <f>'Converted Diagram'!$I$612</f>
        <v>#VALUE!</v>
      </c>
      <c r="L316" s="2" t="s">
        <v>524</v>
      </c>
      <c r="M316" s="2">
        <v>0</v>
      </c>
      <c r="O316" s="2" t="str">
        <f>'Converted Diagram'!$J$612</f>
        <v>Reduce Commute Time</v>
      </c>
      <c r="P316" s="2" t="b">
        <v>0</v>
      </c>
    </row>
    <row r="317" spans="1:16" x14ac:dyDescent="0.3">
      <c r="A317" s="2" t="e">
        <f>'Converted Diagram'!$K$615</f>
        <v>#VALUE!</v>
      </c>
      <c r="B317" s="1" t="s">
        <v>219</v>
      </c>
      <c r="C317" s="2">
        <v>0</v>
      </c>
      <c r="I317" s="2" t="s">
        <v>217</v>
      </c>
      <c r="J317" s="2">
        <f>'Converted Diagram'!$J$615</f>
        <v>0</v>
      </c>
      <c r="K317" s="2" t="e">
        <f>'Converted Diagram'!$J$614</f>
        <v>#VALUE!</v>
      </c>
      <c r="L317" s="2" t="s">
        <v>525</v>
      </c>
      <c r="M317" s="2">
        <v>0</v>
      </c>
      <c r="O317" s="2" t="str">
        <f>'Converted Diagram'!$K$614</f>
        <v>Reduce overall rent</v>
      </c>
      <c r="P317" s="2" t="b">
        <v>0</v>
      </c>
    </row>
    <row r="318" spans="1:16" x14ac:dyDescent="0.3">
      <c r="A318" s="2" t="e">
        <f>'Converted Diagram'!$L$617</f>
        <v>#VALUE!</v>
      </c>
      <c r="B318" s="1" t="s">
        <v>219</v>
      </c>
      <c r="C318" s="2">
        <v>0</v>
      </c>
      <c r="I318" s="2" t="s">
        <v>217</v>
      </c>
      <c r="J318" s="2">
        <f>'Converted Diagram'!$K$617</f>
        <v>0</v>
      </c>
      <c r="K318" s="2" t="e">
        <f>'Converted Diagram'!$K$616</f>
        <v>#VALUE!</v>
      </c>
      <c r="L318" s="2" t="s">
        <v>526</v>
      </c>
      <c r="M318" s="2">
        <v>0</v>
      </c>
      <c r="O318" s="2" t="str">
        <f>'Converted Diagram'!$L$616</f>
        <v>Increase Overall Convenience</v>
      </c>
      <c r="P318" s="2" t="b">
        <v>0</v>
      </c>
    </row>
    <row r="319" spans="1:16" x14ac:dyDescent="0.3">
      <c r="A319" s="2" t="e">
        <f>'Converted Diagram'!$M$619</f>
        <v>#VALUE!</v>
      </c>
      <c r="B319" s="1" t="s">
        <v>219</v>
      </c>
      <c r="C319" s="2">
        <v>0</v>
      </c>
      <c r="I319" s="2" t="e">
        <v>#VALUE!</v>
      </c>
      <c r="J319" s="2">
        <f>'Converted Diagram'!$L$619</f>
        <v>0</v>
      </c>
      <c r="K319" s="2" t="e">
        <f>'Converted Diagram'!$L$618</f>
        <v>#VALUE!</v>
      </c>
      <c r="L319" s="2" t="s">
        <v>527</v>
      </c>
      <c r="M319" s="2">
        <v>0</v>
      </c>
      <c r="P319" s="2" t="b">
        <v>0</v>
      </c>
    </row>
    <row r="320" spans="1:16" x14ac:dyDescent="0.3">
      <c r="A320" s="2" t="e">
        <f>'Converted Diagram'!$H$621</f>
        <v>#VALUE!</v>
      </c>
      <c r="B320" s="1" t="s">
        <v>32</v>
      </c>
      <c r="C320" s="2">
        <v>0</v>
      </c>
      <c r="I320" s="2" t="s">
        <v>217</v>
      </c>
      <c r="J320" s="2">
        <f>'Converted Diagram'!$G$621</f>
        <v>0</v>
      </c>
      <c r="K320" s="2" t="e">
        <f>'Converted Diagram'!$G$620</f>
        <v>#VALUE!</v>
      </c>
      <c r="L320" s="2" t="s">
        <v>528</v>
      </c>
      <c r="M320" s="2">
        <v>0</v>
      </c>
      <c r="O320" s="2" t="str">
        <f>'Converted Diagram'!$H$620</f>
        <v>Wi-Fi &amp; Cable Ready</v>
      </c>
      <c r="P320" s="2" t="b">
        <v>0</v>
      </c>
    </row>
    <row r="321" spans="1:16" x14ac:dyDescent="0.3">
      <c r="A321" s="2" t="e">
        <f>'Converted Diagram'!$J$623</f>
        <v>#VALUE!</v>
      </c>
      <c r="B321" s="1" t="s">
        <v>31</v>
      </c>
      <c r="C321" s="2">
        <v>0</v>
      </c>
      <c r="I321" s="2" t="s">
        <v>217</v>
      </c>
      <c r="J321" s="2">
        <f>'Converted Diagram'!$I$623</f>
        <v>0</v>
      </c>
      <c r="K321" s="2" t="e">
        <f>'Converted Diagram'!$I$622</f>
        <v>#VALUE!</v>
      </c>
      <c r="L321" s="2" t="s">
        <v>529</v>
      </c>
      <c r="M321" s="2">
        <v>0</v>
      </c>
      <c r="O321" s="2" t="str">
        <f>'Converted Diagram'!$J$622</f>
        <v>Reduce Commute Time</v>
      </c>
      <c r="P321" s="2" t="b">
        <v>0</v>
      </c>
    </row>
    <row r="322" spans="1:16" x14ac:dyDescent="0.3">
      <c r="A322" s="2" t="e">
        <f>'Converted Diagram'!$K$625</f>
        <v>#VALUE!</v>
      </c>
      <c r="B322" s="1" t="s">
        <v>219</v>
      </c>
      <c r="C322" s="2">
        <v>0</v>
      </c>
      <c r="I322" s="2" t="s">
        <v>217</v>
      </c>
      <c r="J322" s="2">
        <f>'Converted Diagram'!$J$625</f>
        <v>0</v>
      </c>
      <c r="K322" s="2" t="e">
        <f>'Converted Diagram'!$J$624</f>
        <v>#VALUE!</v>
      </c>
      <c r="L322" s="2" t="s">
        <v>530</v>
      </c>
      <c r="M322" s="2">
        <v>0</v>
      </c>
      <c r="O322" s="2" t="str">
        <f>'Converted Diagram'!$K$624</f>
        <v>Reduce overall rent</v>
      </c>
      <c r="P322" s="2" t="b">
        <v>0</v>
      </c>
    </row>
    <row r="323" spans="1:16" x14ac:dyDescent="0.3">
      <c r="A323" s="2" t="e">
        <f>'Converted Diagram'!$L$627</f>
        <v>#VALUE!</v>
      </c>
      <c r="B323" s="1" t="s">
        <v>219</v>
      </c>
      <c r="C323" s="2">
        <v>0</v>
      </c>
      <c r="I323" s="2" t="s">
        <v>217</v>
      </c>
      <c r="J323" s="2">
        <f>'Converted Diagram'!$K$627</f>
        <v>0</v>
      </c>
      <c r="K323" s="2" t="e">
        <f>'Converted Diagram'!$K$626</f>
        <v>#VALUE!</v>
      </c>
      <c r="L323" s="2" t="s">
        <v>531</v>
      </c>
      <c r="M323" s="2">
        <v>0</v>
      </c>
      <c r="O323" s="2" t="str">
        <f>'Converted Diagram'!$L$626</f>
        <v>Increase Overall Convenience</v>
      </c>
      <c r="P323" s="2" t="b">
        <v>0</v>
      </c>
    </row>
    <row r="324" spans="1:16" x14ac:dyDescent="0.3">
      <c r="A324" s="2" t="e">
        <f>'Converted Diagram'!$M$629</f>
        <v>#VALUE!</v>
      </c>
      <c r="B324" s="1" t="s">
        <v>219</v>
      </c>
      <c r="C324" s="2">
        <v>0</v>
      </c>
      <c r="I324" s="2" t="e">
        <v>#VALUE!</v>
      </c>
      <c r="J324" s="2">
        <f>'Converted Diagram'!$L$629</f>
        <v>0</v>
      </c>
      <c r="K324" s="2" t="e">
        <f>'Converted Diagram'!$L$628</f>
        <v>#VALUE!</v>
      </c>
      <c r="L324" s="2" t="s">
        <v>532</v>
      </c>
      <c r="M324" s="2">
        <v>0</v>
      </c>
      <c r="P324" s="2" t="b">
        <v>0</v>
      </c>
    </row>
    <row r="325" spans="1:16" x14ac:dyDescent="0.3">
      <c r="A325" s="2" t="e">
        <f>'Converted Diagram'!$I$631</f>
        <v>#VALUE!</v>
      </c>
      <c r="B325" s="1" t="s">
        <v>32</v>
      </c>
      <c r="C325" s="2">
        <v>0</v>
      </c>
      <c r="I325" s="2" t="s">
        <v>217</v>
      </c>
      <c r="J325" s="2">
        <f>'Converted Diagram'!$H$631</f>
        <v>0</v>
      </c>
      <c r="K325" s="2" t="e">
        <f>'Converted Diagram'!$H$630</f>
        <v>#VALUE!</v>
      </c>
      <c r="L325" s="2" t="s">
        <v>533</v>
      </c>
      <c r="M325" s="2">
        <v>0</v>
      </c>
      <c r="O325" s="2" t="str">
        <f>'Converted Diagram'!$I$630</f>
        <v>Floor</v>
      </c>
      <c r="P325" s="2" t="b">
        <v>0</v>
      </c>
    </row>
    <row r="326" spans="1:16" x14ac:dyDescent="0.3">
      <c r="A326" s="2" t="e">
        <f>'Converted Diagram'!$J$633</f>
        <v>#VALUE!</v>
      </c>
      <c r="B326" s="1" t="s">
        <v>32</v>
      </c>
      <c r="C326" s="2">
        <v>0</v>
      </c>
      <c r="I326" s="2" t="s">
        <v>217</v>
      </c>
      <c r="J326" s="2">
        <f>'Converted Diagram'!$I$633</f>
        <v>0</v>
      </c>
      <c r="K326" s="2" t="e">
        <f>'Converted Diagram'!$I$632</f>
        <v>#VALUE!</v>
      </c>
      <c r="L326" s="2" t="s">
        <v>534</v>
      </c>
      <c r="M326" s="2">
        <v>0</v>
      </c>
      <c r="O326" s="2" t="str">
        <f>'Converted Diagram'!$J$632</f>
        <v>Reduce Commute Time</v>
      </c>
      <c r="P326" s="2" t="b">
        <v>0</v>
      </c>
    </row>
    <row r="327" spans="1:16" x14ac:dyDescent="0.3">
      <c r="A327" s="2" t="e">
        <f>'Converted Diagram'!$K$635</f>
        <v>#VALUE!</v>
      </c>
      <c r="B327" s="1" t="s">
        <v>219</v>
      </c>
      <c r="C327" s="2">
        <v>0</v>
      </c>
      <c r="I327" s="2" t="s">
        <v>217</v>
      </c>
      <c r="J327" s="2">
        <f>'Converted Diagram'!$J$635</f>
        <v>0</v>
      </c>
      <c r="K327" s="2" t="e">
        <f>'Converted Diagram'!$J$634</f>
        <v>#VALUE!</v>
      </c>
      <c r="L327" s="2" t="s">
        <v>535</v>
      </c>
      <c r="M327" s="2">
        <v>0</v>
      </c>
      <c r="O327" s="2" t="str">
        <f>'Converted Diagram'!$K$634</f>
        <v>Reduce overall rent</v>
      </c>
      <c r="P327" s="2" t="b">
        <v>0</v>
      </c>
    </row>
    <row r="328" spans="1:16" x14ac:dyDescent="0.3">
      <c r="A328" s="2" t="e">
        <f>'Converted Diagram'!$L$637</f>
        <v>#VALUE!</v>
      </c>
      <c r="B328" s="1" t="s">
        <v>219</v>
      </c>
      <c r="C328" s="2">
        <v>0</v>
      </c>
      <c r="I328" s="2" t="s">
        <v>217</v>
      </c>
      <c r="J328" s="2">
        <f>'Converted Diagram'!$K$637</f>
        <v>0</v>
      </c>
      <c r="K328" s="2" t="e">
        <f>'Converted Diagram'!$K$636</f>
        <v>#VALUE!</v>
      </c>
      <c r="L328" s="2" t="s">
        <v>536</v>
      </c>
      <c r="M328" s="2">
        <v>0</v>
      </c>
      <c r="O328" s="2" t="str">
        <f>'Converted Diagram'!$L$636</f>
        <v>Increase Overall Convenience</v>
      </c>
      <c r="P328" s="2" t="b">
        <v>0</v>
      </c>
    </row>
    <row r="329" spans="1:16" x14ac:dyDescent="0.3">
      <c r="A329" s="2" t="e">
        <f>'Converted Diagram'!$M$639</f>
        <v>#VALUE!</v>
      </c>
      <c r="B329" s="1" t="s">
        <v>219</v>
      </c>
      <c r="C329" s="2">
        <v>0</v>
      </c>
      <c r="I329" s="2" t="e">
        <v>#VALUE!</v>
      </c>
      <c r="J329" s="2">
        <f>'Converted Diagram'!$L$639</f>
        <v>0</v>
      </c>
      <c r="K329" s="2" t="e">
        <f>'Converted Diagram'!$L$638</f>
        <v>#VALUE!</v>
      </c>
      <c r="L329" s="2" t="s">
        <v>537</v>
      </c>
      <c r="M329" s="2">
        <v>0</v>
      </c>
      <c r="P329" s="2" t="b">
        <v>0</v>
      </c>
    </row>
    <row r="330" spans="1:16" x14ac:dyDescent="0.3">
      <c r="A330" s="2" t="e">
        <f>'Converted Diagram'!$C$641</f>
        <v>#VALUE!</v>
      </c>
      <c r="B330" s="1" t="s">
        <v>31</v>
      </c>
      <c r="C330" s="2">
        <v>0</v>
      </c>
      <c r="I330" s="2" t="s">
        <v>217</v>
      </c>
      <c r="J330" s="2">
        <f>'Converted Diagram'!$B$641</f>
        <v>0</v>
      </c>
      <c r="L330" s="2" t="s">
        <v>538</v>
      </c>
      <c r="M330" s="2">
        <v>0</v>
      </c>
      <c r="O330" s="2" t="str">
        <f>'Converted Diagram'!$C$640</f>
        <v>Number of Roomates</v>
      </c>
      <c r="P330" s="2" t="b">
        <v>0</v>
      </c>
    </row>
    <row r="331" spans="1:16" x14ac:dyDescent="0.3">
      <c r="A331" s="2" t="e">
        <f>'Converted Diagram'!$J$643</f>
        <v>#VALUE!</v>
      </c>
      <c r="B331" s="1" t="s">
        <v>31</v>
      </c>
      <c r="C331" s="2">
        <v>0</v>
      </c>
      <c r="I331" s="2" t="s">
        <v>217</v>
      </c>
      <c r="J331" s="2">
        <f>'Converted Diagram'!$I$643</f>
        <v>0</v>
      </c>
      <c r="K331" s="2" t="e">
        <f>'Converted Diagram'!$I$642</f>
        <v>#VALUE!</v>
      </c>
      <c r="L331" s="2" t="s">
        <v>539</v>
      </c>
      <c r="M331" s="2">
        <v>0</v>
      </c>
      <c r="O331" s="2" t="str">
        <f>'Converted Diagram'!$J$642</f>
        <v>Reduce Commute Time</v>
      </c>
      <c r="P331" s="2" t="b">
        <v>0</v>
      </c>
    </row>
    <row r="332" spans="1:16" x14ac:dyDescent="0.3">
      <c r="A332" s="2" t="e">
        <f>'Converted Diagram'!$K$645</f>
        <v>#VALUE!</v>
      </c>
      <c r="B332" s="1" t="s">
        <v>219</v>
      </c>
      <c r="C332" s="2">
        <v>0</v>
      </c>
      <c r="I332" s="2" t="s">
        <v>217</v>
      </c>
      <c r="J332" s="2">
        <f>'Converted Diagram'!$J$645</f>
        <v>0</v>
      </c>
      <c r="K332" s="2" t="e">
        <f>'Converted Diagram'!$J$644</f>
        <v>#VALUE!</v>
      </c>
      <c r="L332" s="2" t="s">
        <v>540</v>
      </c>
      <c r="M332" s="2">
        <v>0</v>
      </c>
      <c r="O332" s="2" t="str">
        <f>'Converted Diagram'!$K$644</f>
        <v>Reduce overall rent</v>
      </c>
      <c r="P332" s="2" t="b">
        <v>0</v>
      </c>
    </row>
    <row r="333" spans="1:16" x14ac:dyDescent="0.3">
      <c r="A333" s="2" t="e">
        <f>'Converted Diagram'!$L$647</f>
        <v>#VALUE!</v>
      </c>
      <c r="B333" s="1" t="s">
        <v>219</v>
      </c>
      <c r="C333" s="2">
        <v>0</v>
      </c>
      <c r="I333" s="2" t="s">
        <v>217</v>
      </c>
      <c r="J333" s="2">
        <f>'Converted Diagram'!$K$647</f>
        <v>0</v>
      </c>
      <c r="K333" s="2" t="e">
        <f>'Converted Diagram'!$K$646</f>
        <v>#VALUE!</v>
      </c>
      <c r="L333" s="2" t="s">
        <v>541</v>
      </c>
      <c r="M333" s="2">
        <v>0</v>
      </c>
      <c r="O333" s="2" t="str">
        <f>'Converted Diagram'!$L$646</f>
        <v>Increase Overall Convenience</v>
      </c>
      <c r="P333" s="2" t="b">
        <v>0</v>
      </c>
    </row>
    <row r="334" spans="1:16" x14ac:dyDescent="0.3">
      <c r="A334" s="2" t="e">
        <f>'Converted Diagram'!$M$649</f>
        <v>#VALUE!</v>
      </c>
      <c r="B334" s="1" t="s">
        <v>219</v>
      </c>
      <c r="C334" s="2">
        <v>0</v>
      </c>
      <c r="I334" s="2" t="e">
        <v>#VALUE!</v>
      </c>
      <c r="J334" s="2">
        <f>'Converted Diagram'!$L$649</f>
        <v>0</v>
      </c>
      <c r="K334" s="2" t="e">
        <f>'Converted Diagram'!$L$648</f>
        <v>#VALUE!</v>
      </c>
      <c r="L334" s="2" t="s">
        <v>542</v>
      </c>
      <c r="M334" s="2">
        <v>0</v>
      </c>
      <c r="P334" s="2" t="b">
        <v>0</v>
      </c>
    </row>
    <row r="335" spans="1:16" x14ac:dyDescent="0.3">
      <c r="A335" s="2" t="e">
        <f>'Converted Diagram'!$I$651</f>
        <v>#VALUE!</v>
      </c>
      <c r="B335" s="1" t="s">
        <v>31</v>
      </c>
      <c r="C335" s="2">
        <v>0</v>
      </c>
      <c r="I335" s="2" t="s">
        <v>217</v>
      </c>
      <c r="J335" s="2">
        <f>'Converted Diagram'!$H$651</f>
        <v>0</v>
      </c>
      <c r="K335" s="2" t="e">
        <f>'Converted Diagram'!$H$650</f>
        <v>#VALUE!</v>
      </c>
      <c r="L335" s="2" t="s">
        <v>543</v>
      </c>
      <c r="M335" s="2">
        <v>0</v>
      </c>
      <c r="O335" s="2" t="str">
        <f>'Converted Diagram'!$I$650</f>
        <v>Floor</v>
      </c>
      <c r="P335" s="2" t="b">
        <v>0</v>
      </c>
    </row>
    <row r="336" spans="1:16" x14ac:dyDescent="0.3">
      <c r="A336" s="2" t="e">
        <f>'Converted Diagram'!$J$653</f>
        <v>#VALUE!</v>
      </c>
      <c r="B336" s="1" t="s">
        <v>32</v>
      </c>
      <c r="C336" s="2">
        <v>0</v>
      </c>
      <c r="I336" s="2" t="s">
        <v>217</v>
      </c>
      <c r="J336" s="2">
        <f>'Converted Diagram'!$I$653</f>
        <v>0</v>
      </c>
      <c r="K336" s="2" t="e">
        <f>'Converted Diagram'!$I$652</f>
        <v>#VALUE!</v>
      </c>
      <c r="L336" s="2" t="s">
        <v>544</v>
      </c>
      <c r="M336" s="2">
        <v>0</v>
      </c>
      <c r="O336" s="2" t="str">
        <f>'Converted Diagram'!$J$652</f>
        <v>Reduce Commute Time</v>
      </c>
      <c r="P336" s="2" t="b">
        <v>0</v>
      </c>
    </row>
    <row r="337" spans="1:16" x14ac:dyDescent="0.3">
      <c r="A337" s="2" t="e">
        <f>'Converted Diagram'!$K$655</f>
        <v>#VALUE!</v>
      </c>
      <c r="B337" s="1" t="s">
        <v>219</v>
      </c>
      <c r="C337" s="2">
        <v>0</v>
      </c>
      <c r="I337" s="2" t="s">
        <v>217</v>
      </c>
      <c r="J337" s="2">
        <f>'Converted Diagram'!$J$655</f>
        <v>0</v>
      </c>
      <c r="K337" s="2" t="e">
        <f>'Converted Diagram'!$J$654</f>
        <v>#VALUE!</v>
      </c>
      <c r="L337" s="2" t="s">
        <v>545</v>
      </c>
      <c r="M337" s="2">
        <v>0</v>
      </c>
      <c r="O337" s="2" t="str">
        <f>'Converted Diagram'!$K$654</f>
        <v>Reduce overall rent</v>
      </c>
      <c r="P337" s="2" t="b">
        <v>0</v>
      </c>
    </row>
    <row r="338" spans="1:16" x14ac:dyDescent="0.3">
      <c r="A338" s="2" t="e">
        <f>'Converted Diagram'!$L$657</f>
        <v>#VALUE!</v>
      </c>
      <c r="B338" s="1" t="s">
        <v>219</v>
      </c>
      <c r="C338" s="2">
        <v>0</v>
      </c>
      <c r="I338" s="2" t="s">
        <v>217</v>
      </c>
      <c r="J338" s="2">
        <f>'Converted Diagram'!$K$657</f>
        <v>0</v>
      </c>
      <c r="K338" s="2" t="e">
        <f>'Converted Diagram'!$K$656</f>
        <v>#VALUE!</v>
      </c>
      <c r="L338" s="2" t="s">
        <v>546</v>
      </c>
      <c r="M338" s="2">
        <v>0</v>
      </c>
      <c r="O338" s="2" t="str">
        <f>'Converted Diagram'!$L$656</f>
        <v>Increase Overall Convenience</v>
      </c>
      <c r="P338" s="2" t="b">
        <v>0</v>
      </c>
    </row>
    <row r="339" spans="1:16" x14ac:dyDescent="0.3">
      <c r="A339" s="2" t="e">
        <f>'Converted Diagram'!$M$659</f>
        <v>#VALUE!</v>
      </c>
      <c r="B339" s="1" t="s">
        <v>219</v>
      </c>
      <c r="C339" s="2">
        <v>0</v>
      </c>
      <c r="I339" s="2" t="e">
        <v>#VALUE!</v>
      </c>
      <c r="J339" s="2">
        <f>'Converted Diagram'!$L$659</f>
        <v>0</v>
      </c>
      <c r="K339" s="2" t="e">
        <f>'Converted Diagram'!$L$658</f>
        <v>#VALUE!</v>
      </c>
      <c r="L339" s="2" t="s">
        <v>547</v>
      </c>
      <c r="M339" s="2">
        <v>0</v>
      </c>
      <c r="P339" s="2" t="b">
        <v>0</v>
      </c>
    </row>
    <row r="340" spans="1:16" x14ac:dyDescent="0.3">
      <c r="A340" s="2" t="e">
        <f>'Converted Diagram'!$H$661</f>
        <v>#VALUE!</v>
      </c>
      <c r="B340" s="1" t="s">
        <v>31</v>
      </c>
      <c r="C340" s="2">
        <v>0</v>
      </c>
      <c r="I340" s="2" t="s">
        <v>217</v>
      </c>
      <c r="J340" s="2">
        <f>'Converted Diagram'!$G$661</f>
        <v>0</v>
      </c>
      <c r="K340" s="2" t="e">
        <f>'Converted Diagram'!$G$660</f>
        <v>#VALUE!</v>
      </c>
      <c r="L340" s="2" t="s">
        <v>548</v>
      </c>
      <c r="M340" s="2">
        <v>0</v>
      </c>
      <c r="O340" s="2" t="str">
        <f>'Converted Diagram'!$H$660</f>
        <v>Wi-Fi &amp; Cable Ready</v>
      </c>
      <c r="P340" s="2" t="b">
        <v>0</v>
      </c>
    </row>
    <row r="341" spans="1:16" x14ac:dyDescent="0.3">
      <c r="A341" s="2" t="e">
        <f>'Converted Diagram'!$J$663</f>
        <v>#VALUE!</v>
      </c>
      <c r="B341" s="1" t="s">
        <v>31</v>
      </c>
      <c r="C341" s="2">
        <v>0</v>
      </c>
      <c r="I341" s="2" t="s">
        <v>217</v>
      </c>
      <c r="J341" s="2">
        <f>'Converted Diagram'!$I$663</f>
        <v>0</v>
      </c>
      <c r="K341" s="2" t="e">
        <f>'Converted Diagram'!$I$662</f>
        <v>#VALUE!</v>
      </c>
      <c r="L341" s="2" t="s">
        <v>549</v>
      </c>
      <c r="M341" s="2">
        <v>0</v>
      </c>
      <c r="O341" s="2" t="str">
        <f>'Converted Diagram'!$J$662</f>
        <v>Reduce Commute Time</v>
      </c>
      <c r="P341" s="2" t="b">
        <v>0</v>
      </c>
    </row>
    <row r="342" spans="1:16" x14ac:dyDescent="0.3">
      <c r="A342" s="2" t="e">
        <f>'Converted Diagram'!$K$665</f>
        <v>#VALUE!</v>
      </c>
      <c r="B342" s="1" t="s">
        <v>219</v>
      </c>
      <c r="C342" s="2">
        <v>0</v>
      </c>
      <c r="I342" s="2" t="s">
        <v>217</v>
      </c>
      <c r="J342" s="2">
        <f>'Converted Diagram'!$J$665</f>
        <v>0</v>
      </c>
      <c r="K342" s="2" t="e">
        <f>'Converted Diagram'!$J$664</f>
        <v>#VALUE!</v>
      </c>
      <c r="L342" s="2" t="s">
        <v>550</v>
      </c>
      <c r="M342" s="2">
        <v>0</v>
      </c>
      <c r="O342" s="2" t="str">
        <f>'Converted Diagram'!$K$664</f>
        <v>Reduce overall rent</v>
      </c>
      <c r="P342" s="2" t="b">
        <v>0</v>
      </c>
    </row>
    <row r="343" spans="1:16" x14ac:dyDescent="0.3">
      <c r="A343" s="2" t="e">
        <f>'Converted Diagram'!$L$667</f>
        <v>#VALUE!</v>
      </c>
      <c r="B343" s="1" t="s">
        <v>219</v>
      </c>
      <c r="C343" s="2">
        <v>0</v>
      </c>
      <c r="I343" s="2" t="s">
        <v>217</v>
      </c>
      <c r="J343" s="2">
        <f>'Converted Diagram'!$K$667</f>
        <v>0</v>
      </c>
      <c r="K343" s="2" t="e">
        <f>'Converted Diagram'!$K$666</f>
        <v>#VALUE!</v>
      </c>
      <c r="L343" s="2" t="s">
        <v>551</v>
      </c>
      <c r="M343" s="2">
        <v>0</v>
      </c>
      <c r="O343" s="2" t="str">
        <f>'Converted Diagram'!$L$666</f>
        <v>Increase Overall Convenience</v>
      </c>
      <c r="P343" s="2" t="b">
        <v>0</v>
      </c>
    </row>
    <row r="344" spans="1:16" x14ac:dyDescent="0.3">
      <c r="A344" s="2" t="e">
        <f>'Converted Diagram'!$M$669</f>
        <v>#VALUE!</v>
      </c>
      <c r="B344" s="1" t="s">
        <v>219</v>
      </c>
      <c r="C344" s="2">
        <v>0</v>
      </c>
      <c r="I344" s="2" t="e">
        <v>#VALUE!</v>
      </c>
      <c r="J344" s="2">
        <f>'Converted Diagram'!$L$669</f>
        <v>0</v>
      </c>
      <c r="K344" s="2" t="e">
        <f>'Converted Diagram'!$L$668</f>
        <v>#VALUE!</v>
      </c>
      <c r="L344" s="2" t="s">
        <v>552</v>
      </c>
      <c r="M344" s="2">
        <v>0</v>
      </c>
      <c r="P344" s="2" t="b">
        <v>0</v>
      </c>
    </row>
    <row r="345" spans="1:16" x14ac:dyDescent="0.3">
      <c r="A345" s="2" t="e">
        <f>'Converted Diagram'!$I$671</f>
        <v>#VALUE!</v>
      </c>
      <c r="B345" s="1" t="s">
        <v>32</v>
      </c>
      <c r="C345" s="2">
        <v>0</v>
      </c>
      <c r="I345" s="2" t="s">
        <v>217</v>
      </c>
      <c r="J345" s="2">
        <f>'Converted Diagram'!$H$671</f>
        <v>0</v>
      </c>
      <c r="K345" s="2" t="e">
        <f>'Converted Diagram'!$H$670</f>
        <v>#VALUE!</v>
      </c>
      <c r="L345" s="2" t="s">
        <v>553</v>
      </c>
      <c r="M345" s="2">
        <v>0</v>
      </c>
      <c r="O345" s="2" t="str">
        <f>'Converted Diagram'!$I$670</f>
        <v>Floor</v>
      </c>
      <c r="P345" s="2" t="b">
        <v>0</v>
      </c>
    </row>
    <row r="346" spans="1:16" x14ac:dyDescent="0.3">
      <c r="A346" s="2" t="e">
        <f>'Converted Diagram'!$J$673</f>
        <v>#VALUE!</v>
      </c>
      <c r="B346" s="1" t="s">
        <v>32</v>
      </c>
      <c r="C346" s="2">
        <v>0</v>
      </c>
      <c r="I346" s="2" t="s">
        <v>217</v>
      </c>
      <c r="J346" s="2">
        <f>'Converted Diagram'!$I$673</f>
        <v>0</v>
      </c>
      <c r="K346" s="2" t="e">
        <f>'Converted Diagram'!$I$672</f>
        <v>#VALUE!</v>
      </c>
      <c r="L346" s="2" t="s">
        <v>554</v>
      </c>
      <c r="M346" s="2">
        <v>0</v>
      </c>
      <c r="O346" s="2" t="str">
        <f>'Converted Diagram'!$J$672</f>
        <v>Reduce Commute Time</v>
      </c>
      <c r="P346" s="2" t="b">
        <v>0</v>
      </c>
    </row>
    <row r="347" spans="1:16" x14ac:dyDescent="0.3">
      <c r="A347" s="2" t="e">
        <f>'Converted Diagram'!$K$675</f>
        <v>#VALUE!</v>
      </c>
      <c r="B347" s="1" t="s">
        <v>219</v>
      </c>
      <c r="C347" s="2">
        <v>0</v>
      </c>
      <c r="I347" s="2" t="s">
        <v>217</v>
      </c>
      <c r="J347" s="2">
        <f>'Converted Diagram'!$J$675</f>
        <v>0</v>
      </c>
      <c r="K347" s="2" t="e">
        <f>'Converted Diagram'!$J$674</f>
        <v>#VALUE!</v>
      </c>
      <c r="L347" s="2" t="s">
        <v>555</v>
      </c>
      <c r="M347" s="2">
        <v>0</v>
      </c>
      <c r="O347" s="2" t="str">
        <f>'Converted Diagram'!$K$674</f>
        <v>Reduce overall rent</v>
      </c>
      <c r="P347" s="2" t="b">
        <v>0</v>
      </c>
    </row>
    <row r="348" spans="1:16" x14ac:dyDescent="0.3">
      <c r="A348" s="2" t="e">
        <f>'Converted Diagram'!$L$677</f>
        <v>#VALUE!</v>
      </c>
      <c r="B348" s="1" t="s">
        <v>219</v>
      </c>
      <c r="C348" s="2">
        <v>0</v>
      </c>
      <c r="I348" s="2" t="s">
        <v>217</v>
      </c>
      <c r="J348" s="2">
        <f>'Converted Diagram'!$K$677</f>
        <v>0</v>
      </c>
      <c r="K348" s="2" t="e">
        <f>'Converted Diagram'!$K$676</f>
        <v>#VALUE!</v>
      </c>
      <c r="L348" s="2" t="s">
        <v>556</v>
      </c>
      <c r="M348" s="2">
        <v>0</v>
      </c>
      <c r="O348" s="2" t="str">
        <f>'Converted Diagram'!$L$676</f>
        <v>Increase Overall Convenience</v>
      </c>
      <c r="P348" s="2" t="b">
        <v>0</v>
      </c>
    </row>
    <row r="349" spans="1:16" x14ac:dyDescent="0.3">
      <c r="A349" s="2" t="e">
        <f>'Converted Diagram'!$M$679</f>
        <v>#VALUE!</v>
      </c>
      <c r="B349" s="1" t="s">
        <v>219</v>
      </c>
      <c r="C349" s="2">
        <v>0</v>
      </c>
      <c r="I349" s="2" t="e">
        <v>#VALUE!</v>
      </c>
      <c r="J349" s="2">
        <f>'Converted Diagram'!$L$679</f>
        <v>0</v>
      </c>
      <c r="K349" s="2" t="e">
        <f>'Converted Diagram'!$L$678</f>
        <v>#VALUE!</v>
      </c>
      <c r="L349" s="2" t="s">
        <v>557</v>
      </c>
      <c r="M349" s="2">
        <v>0</v>
      </c>
      <c r="P349" s="2" t="b">
        <v>0</v>
      </c>
    </row>
    <row r="350" spans="1:16" x14ac:dyDescent="0.3">
      <c r="A350" s="2" t="e">
        <f>'Converted Diagram'!$G$681</f>
        <v>#VALUE!</v>
      </c>
      <c r="B350" s="1" t="s">
        <v>31</v>
      </c>
      <c r="C350" s="2">
        <v>0</v>
      </c>
      <c r="I350" s="2" t="s">
        <v>217</v>
      </c>
      <c r="J350" s="2">
        <f>'Converted Diagram'!$F$681</f>
        <v>0</v>
      </c>
      <c r="K350" s="2" t="e">
        <f>'Converted Diagram'!$F$680</f>
        <v>#VALUE!</v>
      </c>
      <c r="L350" s="2" t="s">
        <v>558</v>
      </c>
      <c r="M350" s="2">
        <v>0</v>
      </c>
      <c r="O350" s="2" t="str">
        <f>'Converted Diagram'!$G$680</f>
        <v>Grocery Store</v>
      </c>
      <c r="P350" s="2" t="b">
        <v>0</v>
      </c>
    </row>
    <row r="351" spans="1:16" x14ac:dyDescent="0.3">
      <c r="A351" s="2" t="e">
        <f>'Converted Diagram'!$J$683</f>
        <v>#VALUE!</v>
      </c>
      <c r="B351" s="1" t="s">
        <v>31</v>
      </c>
      <c r="C351" s="2">
        <v>0</v>
      </c>
      <c r="I351" s="2" t="s">
        <v>217</v>
      </c>
      <c r="J351" s="2">
        <f>'Converted Diagram'!$I$683</f>
        <v>0</v>
      </c>
      <c r="K351" s="2" t="e">
        <f>'Converted Diagram'!$I$682</f>
        <v>#VALUE!</v>
      </c>
      <c r="L351" s="2" t="s">
        <v>559</v>
      </c>
      <c r="M351" s="2">
        <v>0</v>
      </c>
      <c r="O351" s="2" t="str">
        <f>'Converted Diagram'!$J$682</f>
        <v>Reduce Commute Time</v>
      </c>
      <c r="P351" s="2" t="b">
        <v>0</v>
      </c>
    </row>
    <row r="352" spans="1:16" x14ac:dyDescent="0.3">
      <c r="A352" s="2" t="e">
        <f>'Converted Diagram'!$K$685</f>
        <v>#VALUE!</v>
      </c>
      <c r="B352" s="1" t="s">
        <v>219</v>
      </c>
      <c r="C352" s="2">
        <v>0</v>
      </c>
      <c r="I352" s="2" t="s">
        <v>217</v>
      </c>
      <c r="J352" s="2">
        <f>'Converted Diagram'!$J$685</f>
        <v>0</v>
      </c>
      <c r="K352" s="2" t="e">
        <f>'Converted Diagram'!$J$684</f>
        <v>#VALUE!</v>
      </c>
      <c r="L352" s="2" t="s">
        <v>560</v>
      </c>
      <c r="M352" s="2">
        <v>0</v>
      </c>
      <c r="O352" s="2" t="str">
        <f>'Converted Diagram'!$K$684</f>
        <v>Reduce overall rent</v>
      </c>
      <c r="P352" s="2" t="b">
        <v>0</v>
      </c>
    </row>
    <row r="353" spans="1:16" x14ac:dyDescent="0.3">
      <c r="A353" s="2" t="e">
        <f>'Converted Diagram'!$L$687</f>
        <v>#VALUE!</v>
      </c>
      <c r="B353" s="1" t="s">
        <v>219</v>
      </c>
      <c r="C353" s="2">
        <v>0</v>
      </c>
      <c r="I353" s="2" t="s">
        <v>217</v>
      </c>
      <c r="J353" s="2">
        <f>'Converted Diagram'!$K$687</f>
        <v>0</v>
      </c>
      <c r="K353" s="2" t="e">
        <f>'Converted Diagram'!$K$686</f>
        <v>#VALUE!</v>
      </c>
      <c r="L353" s="2" t="s">
        <v>561</v>
      </c>
      <c r="M353" s="2">
        <v>0</v>
      </c>
      <c r="O353" s="2" t="str">
        <f>'Converted Diagram'!$L$686</f>
        <v>Increase Overall Convenience</v>
      </c>
      <c r="P353" s="2" t="b">
        <v>0</v>
      </c>
    </row>
    <row r="354" spans="1:16" x14ac:dyDescent="0.3">
      <c r="A354" s="2" t="e">
        <f>'Converted Diagram'!$M$689</f>
        <v>#VALUE!</v>
      </c>
      <c r="B354" s="1" t="s">
        <v>219</v>
      </c>
      <c r="C354" s="2">
        <v>0</v>
      </c>
      <c r="I354" s="2" t="e">
        <v>#VALUE!</v>
      </c>
      <c r="J354" s="2">
        <f>'Converted Diagram'!$L$689</f>
        <v>0</v>
      </c>
      <c r="K354" s="2" t="e">
        <f>'Converted Diagram'!$L$688</f>
        <v>#VALUE!</v>
      </c>
      <c r="L354" s="2" t="s">
        <v>562</v>
      </c>
      <c r="M354" s="2">
        <v>0</v>
      </c>
      <c r="P354" s="2" t="b">
        <v>0</v>
      </c>
    </row>
    <row r="355" spans="1:16" x14ac:dyDescent="0.3">
      <c r="A355" s="2" t="e">
        <f>'Converted Diagram'!$I$691</f>
        <v>#VALUE!</v>
      </c>
      <c r="B355" s="1" t="s">
        <v>31</v>
      </c>
      <c r="C355" s="2">
        <v>0</v>
      </c>
      <c r="I355" s="2" t="s">
        <v>217</v>
      </c>
      <c r="J355" s="2">
        <f>'Converted Diagram'!$H$691</f>
        <v>0</v>
      </c>
      <c r="K355" s="2" t="e">
        <f>'Converted Diagram'!$H$690</f>
        <v>#VALUE!</v>
      </c>
      <c r="L355" s="2" t="s">
        <v>563</v>
      </c>
      <c r="M355" s="2">
        <v>0</v>
      </c>
      <c r="O355" s="2" t="str">
        <f>'Converted Diagram'!$I$690</f>
        <v>Floor</v>
      </c>
      <c r="P355" s="2" t="b">
        <v>0</v>
      </c>
    </row>
    <row r="356" spans="1:16" x14ac:dyDescent="0.3">
      <c r="A356" s="2" t="e">
        <f>'Converted Diagram'!$J$693</f>
        <v>#VALUE!</v>
      </c>
      <c r="B356" s="1" t="s">
        <v>32</v>
      </c>
      <c r="C356" s="2">
        <v>0</v>
      </c>
      <c r="I356" s="2" t="s">
        <v>217</v>
      </c>
      <c r="J356" s="2">
        <f>'Converted Diagram'!$I$693</f>
        <v>0</v>
      </c>
      <c r="K356" s="2" t="e">
        <f>'Converted Diagram'!$I$692</f>
        <v>#VALUE!</v>
      </c>
      <c r="L356" s="2" t="s">
        <v>564</v>
      </c>
      <c r="M356" s="2">
        <v>0</v>
      </c>
      <c r="O356" s="2" t="str">
        <f>'Converted Diagram'!$J$692</f>
        <v>Reduce Commute Time</v>
      </c>
      <c r="P356" s="2" t="b">
        <v>0</v>
      </c>
    </row>
    <row r="357" spans="1:16" x14ac:dyDescent="0.3">
      <c r="A357" s="2" t="e">
        <f>'Converted Diagram'!$K$695</f>
        <v>#VALUE!</v>
      </c>
      <c r="B357" s="1" t="s">
        <v>219</v>
      </c>
      <c r="C357" s="2">
        <v>0</v>
      </c>
      <c r="I357" s="2" t="s">
        <v>217</v>
      </c>
      <c r="J357" s="2">
        <f>'Converted Diagram'!$J$695</f>
        <v>0</v>
      </c>
      <c r="K357" s="2" t="e">
        <f>'Converted Diagram'!$J$694</f>
        <v>#VALUE!</v>
      </c>
      <c r="L357" s="2" t="s">
        <v>565</v>
      </c>
      <c r="M357" s="2">
        <v>0</v>
      </c>
      <c r="O357" s="2" t="str">
        <f>'Converted Diagram'!$K$694</f>
        <v>Reduce overall rent</v>
      </c>
      <c r="P357" s="2" t="b">
        <v>0</v>
      </c>
    </row>
    <row r="358" spans="1:16" x14ac:dyDescent="0.3">
      <c r="A358" s="2" t="e">
        <f>'Converted Diagram'!$L$697</f>
        <v>#VALUE!</v>
      </c>
      <c r="B358" s="1" t="s">
        <v>219</v>
      </c>
      <c r="C358" s="2">
        <v>0</v>
      </c>
      <c r="I358" s="2" t="s">
        <v>217</v>
      </c>
      <c r="J358" s="2">
        <f>'Converted Diagram'!$K$697</f>
        <v>0</v>
      </c>
      <c r="K358" s="2" t="e">
        <f>'Converted Diagram'!$K$696</f>
        <v>#VALUE!</v>
      </c>
      <c r="L358" s="2" t="s">
        <v>566</v>
      </c>
      <c r="M358" s="2">
        <v>0</v>
      </c>
      <c r="O358" s="2" t="str">
        <f>'Converted Diagram'!$L$696</f>
        <v>Increase Overall Convenience</v>
      </c>
      <c r="P358" s="2" t="b">
        <v>0</v>
      </c>
    </row>
    <row r="359" spans="1:16" x14ac:dyDescent="0.3">
      <c r="A359" s="2" t="e">
        <f>'Converted Diagram'!$M$699</f>
        <v>#VALUE!</v>
      </c>
      <c r="B359" s="1" t="s">
        <v>219</v>
      </c>
      <c r="C359" s="2">
        <v>0</v>
      </c>
      <c r="I359" s="2" t="e">
        <v>#VALUE!</v>
      </c>
      <c r="J359" s="2">
        <f>'Converted Diagram'!$L$699</f>
        <v>0</v>
      </c>
      <c r="K359" s="2" t="e">
        <f>'Converted Diagram'!$L$698</f>
        <v>#VALUE!</v>
      </c>
      <c r="L359" s="2" t="s">
        <v>567</v>
      </c>
      <c r="M359" s="2">
        <v>0</v>
      </c>
      <c r="P359" s="2" t="b">
        <v>0</v>
      </c>
    </row>
    <row r="360" spans="1:16" x14ac:dyDescent="0.3">
      <c r="A360" s="2" t="e">
        <f>'Converted Diagram'!$H$701</f>
        <v>#VALUE!</v>
      </c>
      <c r="B360" s="1" t="s">
        <v>32</v>
      </c>
      <c r="C360" s="2">
        <v>0</v>
      </c>
      <c r="I360" s="2" t="s">
        <v>217</v>
      </c>
      <c r="J360" s="2">
        <f>'Converted Diagram'!$G$701</f>
        <v>0</v>
      </c>
      <c r="K360" s="2" t="e">
        <f>'Converted Diagram'!$G$700</f>
        <v>#VALUE!</v>
      </c>
      <c r="L360" s="2" t="s">
        <v>568</v>
      </c>
      <c r="M360" s="2">
        <v>0</v>
      </c>
      <c r="O360" s="2" t="str">
        <f>'Converted Diagram'!$H$700</f>
        <v>Wi-Fi &amp; Cable Ready</v>
      </c>
      <c r="P360" s="2" t="b">
        <v>0</v>
      </c>
    </row>
    <row r="361" spans="1:16" x14ac:dyDescent="0.3">
      <c r="A361" s="2" t="e">
        <f>'Converted Diagram'!$J$703</f>
        <v>#VALUE!</v>
      </c>
      <c r="B361" s="1" t="s">
        <v>31</v>
      </c>
      <c r="C361" s="2">
        <v>0</v>
      </c>
      <c r="I361" s="2" t="s">
        <v>217</v>
      </c>
      <c r="J361" s="2">
        <f>'Converted Diagram'!$I$703</f>
        <v>0</v>
      </c>
      <c r="K361" s="2" t="e">
        <f>'Converted Diagram'!$I$702</f>
        <v>#VALUE!</v>
      </c>
      <c r="L361" s="2" t="s">
        <v>569</v>
      </c>
      <c r="M361" s="2">
        <v>0</v>
      </c>
      <c r="O361" s="2" t="str">
        <f>'Converted Diagram'!$J$702</f>
        <v>Reduce Commute Time</v>
      </c>
      <c r="P361" s="2" t="b">
        <v>0</v>
      </c>
    </row>
    <row r="362" spans="1:16" x14ac:dyDescent="0.3">
      <c r="A362" s="2" t="e">
        <f>'Converted Diagram'!$K$705</f>
        <v>#VALUE!</v>
      </c>
      <c r="B362" s="1" t="s">
        <v>219</v>
      </c>
      <c r="C362" s="2">
        <v>0</v>
      </c>
      <c r="I362" s="2" t="s">
        <v>217</v>
      </c>
      <c r="J362" s="2">
        <f>'Converted Diagram'!$J$705</f>
        <v>0</v>
      </c>
      <c r="K362" s="2" t="e">
        <f>'Converted Diagram'!$J$704</f>
        <v>#VALUE!</v>
      </c>
      <c r="L362" s="2" t="s">
        <v>570</v>
      </c>
      <c r="M362" s="2">
        <v>0</v>
      </c>
      <c r="O362" s="2" t="str">
        <f>'Converted Diagram'!$K$704</f>
        <v>Reduce overall rent</v>
      </c>
      <c r="P362" s="2" t="b">
        <v>0</v>
      </c>
    </row>
    <row r="363" spans="1:16" x14ac:dyDescent="0.3">
      <c r="A363" s="2" t="e">
        <f>'Converted Diagram'!$L$707</f>
        <v>#VALUE!</v>
      </c>
      <c r="B363" s="1" t="s">
        <v>219</v>
      </c>
      <c r="C363" s="2">
        <v>0</v>
      </c>
      <c r="I363" s="2" t="s">
        <v>217</v>
      </c>
      <c r="J363" s="2">
        <f>'Converted Diagram'!$K$707</f>
        <v>0</v>
      </c>
      <c r="K363" s="2" t="e">
        <f>'Converted Diagram'!$K$706</f>
        <v>#VALUE!</v>
      </c>
      <c r="L363" s="2" t="s">
        <v>571</v>
      </c>
      <c r="M363" s="2">
        <v>0</v>
      </c>
      <c r="O363" s="2" t="str">
        <f>'Converted Diagram'!$L$706</f>
        <v>Increase Overall Convenience</v>
      </c>
      <c r="P363" s="2" t="b">
        <v>0</v>
      </c>
    </row>
    <row r="364" spans="1:16" x14ac:dyDescent="0.3">
      <c r="A364" s="2" t="e">
        <f>'Converted Diagram'!$M$709</f>
        <v>#VALUE!</v>
      </c>
      <c r="B364" s="1" t="s">
        <v>219</v>
      </c>
      <c r="C364" s="2">
        <v>0</v>
      </c>
      <c r="I364" s="2" t="e">
        <v>#VALUE!</v>
      </c>
      <c r="J364" s="2">
        <f>'Converted Diagram'!$L$709</f>
        <v>0</v>
      </c>
      <c r="K364" s="2" t="e">
        <f>'Converted Diagram'!$L$708</f>
        <v>#VALUE!</v>
      </c>
      <c r="L364" s="2" t="s">
        <v>572</v>
      </c>
      <c r="M364" s="2">
        <v>0</v>
      </c>
      <c r="P364" s="2" t="b">
        <v>0</v>
      </c>
    </row>
    <row r="365" spans="1:16" x14ac:dyDescent="0.3">
      <c r="A365" s="2" t="e">
        <f>'Converted Diagram'!$I$711</f>
        <v>#VALUE!</v>
      </c>
      <c r="B365" s="1" t="s">
        <v>32</v>
      </c>
      <c r="C365" s="2">
        <v>0</v>
      </c>
      <c r="I365" s="2" t="s">
        <v>217</v>
      </c>
      <c r="J365" s="2">
        <f>'Converted Diagram'!$H$711</f>
        <v>0</v>
      </c>
      <c r="K365" s="2" t="e">
        <f>'Converted Diagram'!$H$710</f>
        <v>#VALUE!</v>
      </c>
      <c r="L365" s="2" t="s">
        <v>573</v>
      </c>
      <c r="M365" s="2">
        <v>0</v>
      </c>
      <c r="O365" s="2" t="str">
        <f>'Converted Diagram'!$I$710</f>
        <v>Floor</v>
      </c>
      <c r="P365" s="2" t="b">
        <v>0</v>
      </c>
    </row>
    <row r="366" spans="1:16" x14ac:dyDescent="0.3">
      <c r="A366" s="2" t="e">
        <f>'Converted Diagram'!$J$713</f>
        <v>#VALUE!</v>
      </c>
      <c r="B366" s="1" t="s">
        <v>32</v>
      </c>
      <c r="C366" s="2">
        <v>0</v>
      </c>
      <c r="I366" s="2" t="s">
        <v>217</v>
      </c>
      <c r="J366" s="2">
        <f>'Converted Diagram'!$I$713</f>
        <v>0</v>
      </c>
      <c r="K366" s="2" t="e">
        <f>'Converted Diagram'!$I$712</f>
        <v>#VALUE!</v>
      </c>
      <c r="L366" s="2" t="s">
        <v>574</v>
      </c>
      <c r="M366" s="2">
        <v>0</v>
      </c>
      <c r="O366" s="2" t="str">
        <f>'Converted Diagram'!$J$712</f>
        <v>Reduce Commute Time</v>
      </c>
      <c r="P366" s="2" t="b">
        <v>0</v>
      </c>
    </row>
    <row r="367" spans="1:16" x14ac:dyDescent="0.3">
      <c r="A367" s="2" t="e">
        <f>'Converted Diagram'!$K$715</f>
        <v>#VALUE!</v>
      </c>
      <c r="B367" s="1" t="s">
        <v>219</v>
      </c>
      <c r="C367" s="2">
        <v>0</v>
      </c>
      <c r="I367" s="2" t="s">
        <v>217</v>
      </c>
      <c r="J367" s="2">
        <f>'Converted Diagram'!$J$715</f>
        <v>0</v>
      </c>
      <c r="K367" s="2" t="e">
        <f>'Converted Diagram'!$J$714</f>
        <v>#VALUE!</v>
      </c>
      <c r="L367" s="2" t="s">
        <v>575</v>
      </c>
      <c r="M367" s="2">
        <v>0</v>
      </c>
      <c r="O367" s="2" t="str">
        <f>'Converted Diagram'!$K$714</f>
        <v>Reduce overall rent</v>
      </c>
      <c r="P367" s="2" t="b">
        <v>0</v>
      </c>
    </row>
    <row r="368" spans="1:16" x14ac:dyDescent="0.3">
      <c r="A368" s="2" t="e">
        <f>'Converted Diagram'!$L$717</f>
        <v>#VALUE!</v>
      </c>
      <c r="B368" s="1" t="s">
        <v>219</v>
      </c>
      <c r="C368" s="2">
        <v>0</v>
      </c>
      <c r="I368" s="2" t="s">
        <v>217</v>
      </c>
      <c r="J368" s="2">
        <f>'Converted Diagram'!$K$717</f>
        <v>0</v>
      </c>
      <c r="K368" s="2" t="e">
        <f>'Converted Diagram'!$K$716</f>
        <v>#VALUE!</v>
      </c>
      <c r="L368" s="2" t="s">
        <v>576</v>
      </c>
      <c r="M368" s="2">
        <v>0</v>
      </c>
      <c r="O368" s="2" t="str">
        <f>'Converted Diagram'!$L$716</f>
        <v>Increase Overall Convenience</v>
      </c>
      <c r="P368" s="2" t="b">
        <v>0</v>
      </c>
    </row>
    <row r="369" spans="1:16" x14ac:dyDescent="0.3">
      <c r="A369" s="2" t="e">
        <f>'Converted Diagram'!$M$719</f>
        <v>#VALUE!</v>
      </c>
      <c r="B369" s="1" t="s">
        <v>219</v>
      </c>
      <c r="C369" s="2">
        <v>0</v>
      </c>
      <c r="I369" s="2" t="e">
        <v>#VALUE!</v>
      </c>
      <c r="J369" s="2">
        <f>'Converted Diagram'!$L$719</f>
        <v>0</v>
      </c>
      <c r="K369" s="2" t="e">
        <f>'Converted Diagram'!$L$718</f>
        <v>#VALUE!</v>
      </c>
      <c r="L369" s="2" t="s">
        <v>577</v>
      </c>
      <c r="M369" s="2">
        <v>0</v>
      </c>
      <c r="P369" s="2" t="b">
        <v>0</v>
      </c>
    </row>
    <row r="370" spans="1:16" x14ac:dyDescent="0.3">
      <c r="A370" s="2" t="e">
        <f>'Converted Diagram'!$F$721</f>
        <v>#VALUE!</v>
      </c>
      <c r="B370" s="1" t="s">
        <v>31</v>
      </c>
      <c r="C370" s="2">
        <v>0</v>
      </c>
      <c r="I370" s="2" t="s">
        <v>217</v>
      </c>
      <c r="J370" s="2">
        <f>'Converted Diagram'!$E$721</f>
        <v>0</v>
      </c>
      <c r="K370" s="2" t="e">
        <f>'Converted Diagram'!$E$720</f>
        <v>#VALUE!</v>
      </c>
      <c r="L370" s="2" t="s">
        <v>578</v>
      </c>
      <c r="M370" s="2">
        <v>0</v>
      </c>
      <c r="O370" s="2" t="str">
        <f>'Converted Diagram'!$F$720</f>
        <v>Utilities</v>
      </c>
      <c r="P370" s="2" t="b">
        <v>0</v>
      </c>
    </row>
    <row r="371" spans="1:16" x14ac:dyDescent="0.3">
      <c r="A371" s="2" t="e">
        <f>'Converted Diagram'!$J$723</f>
        <v>#VALUE!</v>
      </c>
      <c r="B371" s="1" t="s">
        <v>31</v>
      </c>
      <c r="C371" s="2">
        <v>0</v>
      </c>
      <c r="I371" s="2" t="s">
        <v>217</v>
      </c>
      <c r="J371" s="2">
        <f>'Converted Diagram'!$I$723</f>
        <v>0</v>
      </c>
      <c r="K371" s="2" t="e">
        <f>'Converted Diagram'!$I$722</f>
        <v>#VALUE!</v>
      </c>
      <c r="L371" s="2" t="s">
        <v>579</v>
      </c>
      <c r="M371" s="2">
        <v>0</v>
      </c>
      <c r="O371" s="2" t="str">
        <f>'Converted Diagram'!$J$722</f>
        <v>Reduce Commute Time</v>
      </c>
      <c r="P371" s="2" t="b">
        <v>0</v>
      </c>
    </row>
    <row r="372" spans="1:16" x14ac:dyDescent="0.3">
      <c r="A372" s="2" t="e">
        <f>'Converted Diagram'!$K$725</f>
        <v>#VALUE!</v>
      </c>
      <c r="B372" s="1" t="s">
        <v>219</v>
      </c>
      <c r="C372" s="2">
        <v>0</v>
      </c>
      <c r="I372" s="2" t="s">
        <v>217</v>
      </c>
      <c r="J372" s="2">
        <f>'Converted Diagram'!$J$725</f>
        <v>0</v>
      </c>
      <c r="K372" s="2" t="e">
        <f>'Converted Diagram'!$J$724</f>
        <v>#VALUE!</v>
      </c>
      <c r="L372" s="2" t="s">
        <v>580</v>
      </c>
      <c r="M372" s="2">
        <v>0</v>
      </c>
      <c r="O372" s="2" t="str">
        <f>'Converted Diagram'!$K$724</f>
        <v>Reduce overall rent</v>
      </c>
      <c r="P372" s="2" t="b">
        <v>0</v>
      </c>
    </row>
    <row r="373" spans="1:16" x14ac:dyDescent="0.3">
      <c r="A373" s="2" t="e">
        <f>'Converted Diagram'!$L$727</f>
        <v>#VALUE!</v>
      </c>
      <c r="B373" s="1" t="s">
        <v>219</v>
      </c>
      <c r="C373" s="2">
        <v>0</v>
      </c>
      <c r="I373" s="2" t="s">
        <v>217</v>
      </c>
      <c r="J373" s="2">
        <f>'Converted Diagram'!$K$727</f>
        <v>0</v>
      </c>
      <c r="K373" s="2" t="e">
        <f>'Converted Diagram'!$K$726</f>
        <v>#VALUE!</v>
      </c>
      <c r="L373" s="2" t="s">
        <v>581</v>
      </c>
      <c r="M373" s="2">
        <v>0</v>
      </c>
      <c r="O373" s="2" t="str">
        <f>'Converted Diagram'!$L$726</f>
        <v>Increase Overall Convenience</v>
      </c>
      <c r="P373" s="2" t="b">
        <v>0</v>
      </c>
    </row>
    <row r="374" spans="1:16" x14ac:dyDescent="0.3">
      <c r="A374" s="2" t="e">
        <f>'Converted Diagram'!$M$729</f>
        <v>#VALUE!</v>
      </c>
      <c r="B374" s="1" t="s">
        <v>219</v>
      </c>
      <c r="C374" s="2">
        <v>0</v>
      </c>
      <c r="I374" s="2" t="e">
        <v>#VALUE!</v>
      </c>
      <c r="J374" s="2">
        <f>'Converted Diagram'!$L$729</f>
        <v>0</v>
      </c>
      <c r="K374" s="2" t="e">
        <f>'Converted Diagram'!$L$728</f>
        <v>#VALUE!</v>
      </c>
      <c r="L374" s="2" t="s">
        <v>582</v>
      </c>
      <c r="M374" s="2">
        <v>0</v>
      </c>
      <c r="P374" s="2" t="b">
        <v>0</v>
      </c>
    </row>
    <row r="375" spans="1:16" x14ac:dyDescent="0.3">
      <c r="A375" s="2" t="e">
        <f>'Converted Diagram'!$I$731</f>
        <v>#VALUE!</v>
      </c>
      <c r="B375" s="1" t="s">
        <v>31</v>
      </c>
      <c r="C375" s="2">
        <v>0</v>
      </c>
      <c r="I375" s="2" t="s">
        <v>217</v>
      </c>
      <c r="J375" s="2">
        <f>'Converted Diagram'!$H$731</f>
        <v>0</v>
      </c>
      <c r="K375" s="2" t="e">
        <f>'Converted Diagram'!$H$730</f>
        <v>#VALUE!</v>
      </c>
      <c r="L375" s="2" t="s">
        <v>583</v>
      </c>
      <c r="M375" s="2">
        <v>0</v>
      </c>
      <c r="O375" s="2" t="str">
        <f>'Converted Diagram'!$I$730</f>
        <v>Floor</v>
      </c>
      <c r="P375" s="2" t="b">
        <v>0</v>
      </c>
    </row>
    <row r="376" spans="1:16" x14ac:dyDescent="0.3">
      <c r="A376" s="2" t="e">
        <f>'Converted Diagram'!$J$733</f>
        <v>#VALUE!</v>
      </c>
      <c r="B376" s="1" t="s">
        <v>32</v>
      </c>
      <c r="C376" s="2">
        <v>0</v>
      </c>
      <c r="I376" s="2" t="s">
        <v>217</v>
      </c>
      <c r="J376" s="2">
        <f>'Converted Diagram'!$I$733</f>
        <v>0</v>
      </c>
      <c r="K376" s="2" t="e">
        <f>'Converted Diagram'!$I$732</f>
        <v>#VALUE!</v>
      </c>
      <c r="L376" s="2" t="s">
        <v>584</v>
      </c>
      <c r="M376" s="2">
        <v>0</v>
      </c>
      <c r="O376" s="2" t="str">
        <f>'Converted Diagram'!$J$732</f>
        <v>Reduce Commute Time</v>
      </c>
      <c r="P376" s="2" t="b">
        <v>0</v>
      </c>
    </row>
    <row r="377" spans="1:16" x14ac:dyDescent="0.3">
      <c r="A377" s="2" t="e">
        <f>'Converted Diagram'!$K$735</f>
        <v>#VALUE!</v>
      </c>
      <c r="B377" s="1" t="s">
        <v>219</v>
      </c>
      <c r="C377" s="2">
        <v>0</v>
      </c>
      <c r="I377" s="2" t="s">
        <v>217</v>
      </c>
      <c r="J377" s="2">
        <f>'Converted Diagram'!$J$735</f>
        <v>0</v>
      </c>
      <c r="K377" s="2" t="e">
        <f>'Converted Diagram'!$J$734</f>
        <v>#VALUE!</v>
      </c>
      <c r="L377" s="2" t="s">
        <v>585</v>
      </c>
      <c r="M377" s="2">
        <v>0</v>
      </c>
      <c r="O377" s="2" t="str">
        <f>'Converted Diagram'!$K$734</f>
        <v>Reduce overall rent</v>
      </c>
      <c r="P377" s="2" t="b">
        <v>0</v>
      </c>
    </row>
    <row r="378" spans="1:16" x14ac:dyDescent="0.3">
      <c r="A378" s="2" t="e">
        <f>'Converted Diagram'!$L$737</f>
        <v>#VALUE!</v>
      </c>
      <c r="B378" s="1" t="s">
        <v>219</v>
      </c>
      <c r="C378" s="2">
        <v>0</v>
      </c>
      <c r="I378" s="2" t="s">
        <v>217</v>
      </c>
      <c r="J378" s="2">
        <f>'Converted Diagram'!$K$737</f>
        <v>0</v>
      </c>
      <c r="K378" s="2" t="e">
        <f>'Converted Diagram'!$K$736</f>
        <v>#VALUE!</v>
      </c>
      <c r="L378" s="2" t="s">
        <v>586</v>
      </c>
      <c r="M378" s="2">
        <v>0</v>
      </c>
      <c r="O378" s="2" t="str">
        <f>'Converted Diagram'!$L$736</f>
        <v>Increase Overall Convenience</v>
      </c>
      <c r="P378" s="2" t="b">
        <v>0</v>
      </c>
    </row>
    <row r="379" spans="1:16" x14ac:dyDescent="0.3">
      <c r="A379" s="2" t="e">
        <f>'Converted Diagram'!$M$739</f>
        <v>#VALUE!</v>
      </c>
      <c r="B379" s="1" t="s">
        <v>219</v>
      </c>
      <c r="C379" s="2">
        <v>0</v>
      </c>
      <c r="I379" s="2" t="e">
        <v>#VALUE!</v>
      </c>
      <c r="J379" s="2">
        <f>'Converted Diagram'!$L$739</f>
        <v>0</v>
      </c>
      <c r="K379" s="2" t="e">
        <f>'Converted Diagram'!$L$738</f>
        <v>#VALUE!</v>
      </c>
      <c r="L379" s="2" t="s">
        <v>587</v>
      </c>
      <c r="M379" s="2">
        <v>0</v>
      </c>
      <c r="P379" s="2" t="b">
        <v>0</v>
      </c>
    </row>
    <row r="380" spans="1:16" x14ac:dyDescent="0.3">
      <c r="A380" s="2" t="e">
        <f>'Converted Diagram'!$H$741</f>
        <v>#VALUE!</v>
      </c>
      <c r="B380" s="1" t="s">
        <v>31</v>
      </c>
      <c r="C380" s="2">
        <v>0</v>
      </c>
      <c r="I380" s="2" t="s">
        <v>217</v>
      </c>
      <c r="J380" s="2">
        <f>'Converted Diagram'!$G$741</f>
        <v>0</v>
      </c>
      <c r="K380" s="2" t="e">
        <f>'Converted Diagram'!$G$740</f>
        <v>#VALUE!</v>
      </c>
      <c r="L380" s="2" t="s">
        <v>588</v>
      </c>
      <c r="M380" s="2">
        <v>0</v>
      </c>
      <c r="O380" s="2" t="str">
        <f>'Converted Diagram'!$H$740</f>
        <v>Wi-Fi &amp; Cable Ready</v>
      </c>
      <c r="P380" s="2" t="b">
        <v>0</v>
      </c>
    </row>
    <row r="381" spans="1:16" x14ac:dyDescent="0.3">
      <c r="A381" s="2" t="e">
        <f>'Converted Diagram'!$J$743</f>
        <v>#VALUE!</v>
      </c>
      <c r="B381" s="1" t="s">
        <v>31</v>
      </c>
      <c r="C381" s="2">
        <v>0</v>
      </c>
      <c r="I381" s="2" t="s">
        <v>217</v>
      </c>
      <c r="J381" s="2">
        <f>'Converted Diagram'!$I$743</f>
        <v>0</v>
      </c>
      <c r="K381" s="2" t="e">
        <f>'Converted Diagram'!$I$742</f>
        <v>#VALUE!</v>
      </c>
      <c r="L381" s="2" t="s">
        <v>589</v>
      </c>
      <c r="M381" s="2">
        <v>0</v>
      </c>
      <c r="O381" s="2" t="str">
        <f>'Converted Diagram'!$J$742</f>
        <v>Reduce Commute Time</v>
      </c>
      <c r="P381" s="2" t="b">
        <v>0</v>
      </c>
    </row>
    <row r="382" spans="1:16" x14ac:dyDescent="0.3">
      <c r="A382" s="2" t="e">
        <f>'Converted Diagram'!$K$745</f>
        <v>#VALUE!</v>
      </c>
      <c r="B382" s="1" t="s">
        <v>219</v>
      </c>
      <c r="C382" s="2">
        <v>0</v>
      </c>
      <c r="I382" s="2" t="s">
        <v>217</v>
      </c>
      <c r="J382" s="2">
        <f>'Converted Diagram'!$J$745</f>
        <v>0</v>
      </c>
      <c r="K382" s="2" t="e">
        <f>'Converted Diagram'!$J$744</f>
        <v>#VALUE!</v>
      </c>
      <c r="L382" s="2" t="s">
        <v>590</v>
      </c>
      <c r="M382" s="2">
        <v>0</v>
      </c>
      <c r="O382" s="2" t="str">
        <f>'Converted Diagram'!$K$744</f>
        <v>Reduce overall rent</v>
      </c>
      <c r="P382" s="2" t="b">
        <v>0</v>
      </c>
    </row>
    <row r="383" spans="1:16" x14ac:dyDescent="0.3">
      <c r="A383" s="2" t="e">
        <f>'Converted Diagram'!$L$747</f>
        <v>#VALUE!</v>
      </c>
      <c r="B383" s="1" t="s">
        <v>219</v>
      </c>
      <c r="C383" s="2">
        <v>0</v>
      </c>
      <c r="I383" s="2" t="s">
        <v>217</v>
      </c>
      <c r="J383" s="2">
        <f>'Converted Diagram'!$K$747</f>
        <v>0</v>
      </c>
      <c r="K383" s="2" t="e">
        <f>'Converted Diagram'!$K$746</f>
        <v>#VALUE!</v>
      </c>
      <c r="L383" s="2" t="s">
        <v>591</v>
      </c>
      <c r="M383" s="2">
        <v>0</v>
      </c>
      <c r="O383" s="2" t="str">
        <f>'Converted Diagram'!$L$746</f>
        <v>Increase Overall Convenience</v>
      </c>
      <c r="P383" s="2" t="b">
        <v>0</v>
      </c>
    </row>
    <row r="384" spans="1:16" x14ac:dyDescent="0.3">
      <c r="A384" s="2" t="e">
        <f>'Converted Diagram'!$M$749</f>
        <v>#VALUE!</v>
      </c>
      <c r="B384" s="1" t="s">
        <v>219</v>
      </c>
      <c r="C384" s="2">
        <v>0</v>
      </c>
      <c r="I384" s="2" t="e">
        <v>#VALUE!</v>
      </c>
      <c r="J384" s="2">
        <f>'Converted Diagram'!$L$749</f>
        <v>0</v>
      </c>
      <c r="K384" s="2" t="e">
        <f>'Converted Diagram'!$L$748</f>
        <v>#VALUE!</v>
      </c>
      <c r="L384" s="2" t="s">
        <v>592</v>
      </c>
      <c r="M384" s="2">
        <v>0</v>
      </c>
      <c r="P384" s="2" t="b">
        <v>0</v>
      </c>
    </row>
    <row r="385" spans="1:16" x14ac:dyDescent="0.3">
      <c r="A385" s="2" t="e">
        <f>'Converted Diagram'!$I$751</f>
        <v>#VALUE!</v>
      </c>
      <c r="B385" s="1" t="s">
        <v>32</v>
      </c>
      <c r="C385" s="2">
        <v>0</v>
      </c>
      <c r="I385" s="2" t="s">
        <v>217</v>
      </c>
      <c r="J385" s="2">
        <f>'Converted Diagram'!$H$751</f>
        <v>0</v>
      </c>
      <c r="K385" s="2" t="e">
        <f>'Converted Diagram'!$H$750</f>
        <v>#VALUE!</v>
      </c>
      <c r="L385" s="2" t="s">
        <v>593</v>
      </c>
      <c r="M385" s="2">
        <v>0</v>
      </c>
      <c r="O385" s="2" t="str">
        <f>'Converted Diagram'!$I$750</f>
        <v>Floor</v>
      </c>
      <c r="P385" s="2" t="b">
        <v>0</v>
      </c>
    </row>
    <row r="386" spans="1:16" x14ac:dyDescent="0.3">
      <c r="A386" s="2" t="e">
        <f>'Converted Diagram'!$J$753</f>
        <v>#VALUE!</v>
      </c>
      <c r="B386" s="1" t="s">
        <v>32</v>
      </c>
      <c r="C386" s="2">
        <v>0</v>
      </c>
      <c r="I386" s="2" t="s">
        <v>217</v>
      </c>
      <c r="J386" s="2">
        <f>'Converted Diagram'!$I$753</f>
        <v>0</v>
      </c>
      <c r="K386" s="2" t="e">
        <f>'Converted Diagram'!$I$752</f>
        <v>#VALUE!</v>
      </c>
      <c r="L386" s="2" t="s">
        <v>594</v>
      </c>
      <c r="M386" s="2">
        <v>0</v>
      </c>
      <c r="O386" s="2" t="str">
        <f>'Converted Diagram'!$J$752</f>
        <v>Reduce Commute Time</v>
      </c>
      <c r="P386" s="2" t="b">
        <v>0</v>
      </c>
    </row>
    <row r="387" spans="1:16" x14ac:dyDescent="0.3">
      <c r="A387" s="2" t="e">
        <f>'Converted Diagram'!$K$755</f>
        <v>#VALUE!</v>
      </c>
      <c r="B387" s="1" t="s">
        <v>219</v>
      </c>
      <c r="C387" s="2">
        <v>0</v>
      </c>
      <c r="I387" s="2" t="s">
        <v>217</v>
      </c>
      <c r="J387" s="2">
        <f>'Converted Diagram'!$J$755</f>
        <v>0</v>
      </c>
      <c r="K387" s="2" t="e">
        <f>'Converted Diagram'!$J$754</f>
        <v>#VALUE!</v>
      </c>
      <c r="L387" s="2" t="s">
        <v>595</v>
      </c>
      <c r="M387" s="2">
        <v>0</v>
      </c>
      <c r="O387" s="2" t="str">
        <f>'Converted Diagram'!$K$754</f>
        <v>Reduce overall rent</v>
      </c>
      <c r="P387" s="2" t="b">
        <v>0</v>
      </c>
    </row>
    <row r="388" spans="1:16" x14ac:dyDescent="0.3">
      <c r="A388" s="2" t="e">
        <f>'Converted Diagram'!$L$757</f>
        <v>#VALUE!</v>
      </c>
      <c r="B388" s="1" t="s">
        <v>219</v>
      </c>
      <c r="C388" s="2">
        <v>0</v>
      </c>
      <c r="I388" s="2" t="s">
        <v>217</v>
      </c>
      <c r="J388" s="2">
        <f>'Converted Diagram'!$K$757</f>
        <v>0</v>
      </c>
      <c r="K388" s="2" t="e">
        <f>'Converted Diagram'!$K$756</f>
        <v>#VALUE!</v>
      </c>
      <c r="L388" s="2" t="s">
        <v>596</v>
      </c>
      <c r="M388" s="2">
        <v>0</v>
      </c>
      <c r="O388" s="2" t="str">
        <f>'Converted Diagram'!$L$756</f>
        <v>Increase Overall Convenience</v>
      </c>
      <c r="P388" s="2" t="b">
        <v>0</v>
      </c>
    </row>
    <row r="389" spans="1:16" x14ac:dyDescent="0.3">
      <c r="A389" s="2" t="e">
        <f>'Converted Diagram'!$M$759</f>
        <v>#VALUE!</v>
      </c>
      <c r="B389" s="1" t="s">
        <v>219</v>
      </c>
      <c r="C389" s="2">
        <v>0</v>
      </c>
      <c r="I389" s="2" t="e">
        <v>#VALUE!</v>
      </c>
      <c r="J389" s="2">
        <f>'Converted Diagram'!$L$759</f>
        <v>0</v>
      </c>
      <c r="K389" s="2" t="e">
        <f>'Converted Diagram'!$L$758</f>
        <v>#VALUE!</v>
      </c>
      <c r="L389" s="2" t="s">
        <v>597</v>
      </c>
      <c r="M389" s="2">
        <v>0</v>
      </c>
      <c r="P389" s="2" t="b">
        <v>0</v>
      </c>
    </row>
    <row r="390" spans="1:16" x14ac:dyDescent="0.3">
      <c r="A390" s="2" t="e">
        <f>'Converted Diagram'!$G$761</f>
        <v>#VALUE!</v>
      </c>
      <c r="B390" s="1" t="s">
        <v>32</v>
      </c>
      <c r="C390" s="2">
        <v>0</v>
      </c>
      <c r="I390" s="2" t="s">
        <v>217</v>
      </c>
      <c r="J390" s="2">
        <f>'Converted Diagram'!$F$761</f>
        <v>0</v>
      </c>
      <c r="K390" s="2" t="e">
        <f>'Converted Diagram'!$F$760</f>
        <v>#VALUE!</v>
      </c>
      <c r="L390" s="2" t="s">
        <v>598</v>
      </c>
      <c r="M390" s="2">
        <v>0</v>
      </c>
      <c r="O390" s="2" t="str">
        <f>'Converted Diagram'!$G$760</f>
        <v>Grocery Store</v>
      </c>
      <c r="P390" s="2" t="b">
        <v>0</v>
      </c>
    </row>
    <row r="391" spans="1:16" x14ac:dyDescent="0.3">
      <c r="A391" s="2" t="e">
        <f>'Converted Diagram'!$J$763</f>
        <v>#VALUE!</v>
      </c>
      <c r="B391" s="1" t="s">
        <v>31</v>
      </c>
      <c r="C391" s="2">
        <v>0</v>
      </c>
      <c r="I391" s="2" t="s">
        <v>217</v>
      </c>
      <c r="J391" s="2">
        <f>'Converted Diagram'!$I$763</f>
        <v>0</v>
      </c>
      <c r="K391" s="2" t="e">
        <f>'Converted Diagram'!$I$762</f>
        <v>#VALUE!</v>
      </c>
      <c r="L391" s="2" t="s">
        <v>599</v>
      </c>
      <c r="M391" s="2">
        <v>0</v>
      </c>
      <c r="O391" s="2" t="str">
        <f>'Converted Diagram'!$J$762</f>
        <v>Reduce Commute Time</v>
      </c>
      <c r="P391" s="2" t="b">
        <v>0</v>
      </c>
    </row>
    <row r="392" spans="1:16" x14ac:dyDescent="0.3">
      <c r="A392" s="2" t="e">
        <f>'Converted Diagram'!$K$765</f>
        <v>#VALUE!</v>
      </c>
      <c r="B392" s="1" t="s">
        <v>219</v>
      </c>
      <c r="C392" s="2">
        <v>0</v>
      </c>
      <c r="I392" s="2" t="s">
        <v>217</v>
      </c>
      <c r="J392" s="2">
        <f>'Converted Diagram'!$J$765</f>
        <v>0</v>
      </c>
      <c r="K392" s="2" t="e">
        <f>'Converted Diagram'!$J$764</f>
        <v>#VALUE!</v>
      </c>
      <c r="L392" s="2" t="s">
        <v>600</v>
      </c>
      <c r="M392" s="2">
        <v>0</v>
      </c>
      <c r="O392" s="2" t="str">
        <f>'Converted Diagram'!$K$764</f>
        <v>Reduce overall rent</v>
      </c>
      <c r="P392" s="2" t="b">
        <v>0</v>
      </c>
    </row>
    <row r="393" spans="1:16" x14ac:dyDescent="0.3">
      <c r="A393" s="2" t="e">
        <f>'Converted Diagram'!$L$767</f>
        <v>#VALUE!</v>
      </c>
      <c r="B393" s="1" t="s">
        <v>219</v>
      </c>
      <c r="C393" s="2">
        <v>0</v>
      </c>
      <c r="I393" s="2" t="s">
        <v>217</v>
      </c>
      <c r="J393" s="2">
        <f>'Converted Diagram'!$K$767</f>
        <v>0</v>
      </c>
      <c r="K393" s="2" t="e">
        <f>'Converted Diagram'!$K$766</f>
        <v>#VALUE!</v>
      </c>
      <c r="L393" s="2" t="s">
        <v>601</v>
      </c>
      <c r="M393" s="2">
        <v>0</v>
      </c>
      <c r="O393" s="2" t="str">
        <f>'Converted Diagram'!$L$766</f>
        <v>Increase Overall Convenience</v>
      </c>
      <c r="P393" s="2" t="b">
        <v>0</v>
      </c>
    </row>
    <row r="394" spans="1:16" x14ac:dyDescent="0.3">
      <c r="A394" s="2" t="e">
        <f>'Converted Diagram'!$M$769</f>
        <v>#VALUE!</v>
      </c>
      <c r="B394" s="1" t="s">
        <v>219</v>
      </c>
      <c r="C394" s="2">
        <v>0</v>
      </c>
      <c r="I394" s="2" t="e">
        <v>#VALUE!</v>
      </c>
      <c r="J394" s="2">
        <f>'Converted Diagram'!$L$769</f>
        <v>0</v>
      </c>
      <c r="K394" s="2" t="e">
        <f>'Converted Diagram'!$L$768</f>
        <v>#VALUE!</v>
      </c>
      <c r="L394" s="2" t="s">
        <v>602</v>
      </c>
      <c r="M394" s="2">
        <v>0</v>
      </c>
      <c r="P394" s="2" t="b">
        <v>0</v>
      </c>
    </row>
    <row r="395" spans="1:16" x14ac:dyDescent="0.3">
      <c r="A395" s="2" t="e">
        <f>'Converted Diagram'!$I$771</f>
        <v>#VALUE!</v>
      </c>
      <c r="B395" s="1" t="s">
        <v>31</v>
      </c>
      <c r="C395" s="2">
        <v>0</v>
      </c>
      <c r="I395" s="2" t="s">
        <v>217</v>
      </c>
      <c r="J395" s="2">
        <f>'Converted Diagram'!$H$771</f>
        <v>0</v>
      </c>
      <c r="K395" s="2" t="e">
        <f>'Converted Diagram'!$H$770</f>
        <v>#VALUE!</v>
      </c>
      <c r="L395" s="2" t="s">
        <v>603</v>
      </c>
      <c r="M395" s="2">
        <v>0</v>
      </c>
      <c r="O395" s="2" t="str">
        <f>'Converted Diagram'!$I$770</f>
        <v>Floor</v>
      </c>
      <c r="P395" s="2" t="b">
        <v>0</v>
      </c>
    </row>
    <row r="396" spans="1:16" x14ac:dyDescent="0.3">
      <c r="A396" s="2" t="e">
        <f>'Converted Diagram'!$J$773</f>
        <v>#VALUE!</v>
      </c>
      <c r="B396" s="1" t="s">
        <v>32</v>
      </c>
      <c r="C396" s="2">
        <v>0</v>
      </c>
      <c r="I396" s="2" t="s">
        <v>217</v>
      </c>
      <c r="J396" s="2">
        <f>'Converted Diagram'!$I$773</f>
        <v>0</v>
      </c>
      <c r="K396" s="2" t="e">
        <f>'Converted Diagram'!$I$772</f>
        <v>#VALUE!</v>
      </c>
      <c r="L396" s="2" t="s">
        <v>604</v>
      </c>
      <c r="M396" s="2">
        <v>0</v>
      </c>
      <c r="O396" s="2" t="str">
        <f>'Converted Diagram'!$J$772</f>
        <v>Reduce Commute Time</v>
      </c>
      <c r="P396" s="2" t="b">
        <v>0</v>
      </c>
    </row>
    <row r="397" spans="1:16" x14ac:dyDescent="0.3">
      <c r="A397" s="2" t="e">
        <f>'Converted Diagram'!$K$775</f>
        <v>#VALUE!</v>
      </c>
      <c r="B397" s="1" t="s">
        <v>219</v>
      </c>
      <c r="C397" s="2">
        <v>0</v>
      </c>
      <c r="I397" s="2" t="s">
        <v>217</v>
      </c>
      <c r="J397" s="2">
        <f>'Converted Diagram'!$J$775</f>
        <v>0</v>
      </c>
      <c r="K397" s="2" t="e">
        <f>'Converted Diagram'!$J$774</f>
        <v>#VALUE!</v>
      </c>
      <c r="L397" s="2" t="s">
        <v>605</v>
      </c>
      <c r="M397" s="2">
        <v>0</v>
      </c>
      <c r="O397" s="2" t="str">
        <f>'Converted Diagram'!$K$774</f>
        <v>Reduce overall rent</v>
      </c>
      <c r="P397" s="2" t="b">
        <v>0</v>
      </c>
    </row>
    <row r="398" spans="1:16" x14ac:dyDescent="0.3">
      <c r="A398" s="2" t="e">
        <f>'Converted Diagram'!$L$777</f>
        <v>#VALUE!</v>
      </c>
      <c r="B398" s="1" t="s">
        <v>219</v>
      </c>
      <c r="C398" s="2">
        <v>0</v>
      </c>
      <c r="I398" s="2" t="s">
        <v>217</v>
      </c>
      <c r="J398" s="2">
        <f>'Converted Diagram'!$K$777</f>
        <v>0</v>
      </c>
      <c r="K398" s="2" t="e">
        <f>'Converted Diagram'!$K$776</f>
        <v>#VALUE!</v>
      </c>
      <c r="L398" s="2" t="s">
        <v>606</v>
      </c>
      <c r="M398" s="2">
        <v>0</v>
      </c>
      <c r="O398" s="2" t="str">
        <f>'Converted Diagram'!$L$776</f>
        <v>Increase Overall Convenience</v>
      </c>
      <c r="P398" s="2" t="b">
        <v>0</v>
      </c>
    </row>
    <row r="399" spans="1:16" x14ac:dyDescent="0.3">
      <c r="A399" s="2" t="e">
        <f>'Converted Diagram'!$M$779</f>
        <v>#VALUE!</v>
      </c>
      <c r="B399" s="1" t="s">
        <v>219</v>
      </c>
      <c r="C399" s="2">
        <v>0</v>
      </c>
      <c r="I399" s="2" t="e">
        <v>#VALUE!</v>
      </c>
      <c r="J399" s="2">
        <f>'Converted Diagram'!$L$779</f>
        <v>0</v>
      </c>
      <c r="K399" s="2" t="e">
        <f>'Converted Diagram'!$L$778</f>
        <v>#VALUE!</v>
      </c>
      <c r="L399" s="2" t="s">
        <v>607</v>
      </c>
      <c r="M399" s="2">
        <v>0</v>
      </c>
      <c r="P399" s="2" t="b">
        <v>0</v>
      </c>
    </row>
    <row r="400" spans="1:16" x14ac:dyDescent="0.3">
      <c r="A400" s="2" t="e">
        <f>'Converted Diagram'!$H$781</f>
        <v>#VALUE!</v>
      </c>
      <c r="B400" s="1" t="s">
        <v>32</v>
      </c>
      <c r="C400" s="2">
        <v>0</v>
      </c>
      <c r="I400" s="2" t="s">
        <v>217</v>
      </c>
      <c r="J400" s="2">
        <f>'Converted Diagram'!$G$781</f>
        <v>0</v>
      </c>
      <c r="K400" s="2" t="e">
        <f>'Converted Diagram'!$G$780</f>
        <v>#VALUE!</v>
      </c>
      <c r="L400" s="2" t="s">
        <v>608</v>
      </c>
      <c r="M400" s="2">
        <v>0</v>
      </c>
      <c r="O400" s="2" t="str">
        <f>'Converted Diagram'!$H$780</f>
        <v>Wi-Fi &amp; Cable Ready</v>
      </c>
      <c r="P400" s="2" t="b">
        <v>0</v>
      </c>
    </row>
    <row r="401" spans="1:16" x14ac:dyDescent="0.3">
      <c r="A401" s="2" t="e">
        <f>'Converted Diagram'!$J$783</f>
        <v>#VALUE!</v>
      </c>
      <c r="B401" s="1" t="s">
        <v>31</v>
      </c>
      <c r="C401" s="2">
        <v>0</v>
      </c>
      <c r="I401" s="2" t="s">
        <v>217</v>
      </c>
      <c r="J401" s="2">
        <f>'Converted Diagram'!$I$783</f>
        <v>0</v>
      </c>
      <c r="K401" s="2" t="e">
        <f>'Converted Diagram'!$I$782</f>
        <v>#VALUE!</v>
      </c>
      <c r="L401" s="2" t="s">
        <v>609</v>
      </c>
      <c r="M401" s="2">
        <v>0</v>
      </c>
      <c r="O401" s="2" t="str">
        <f>'Converted Diagram'!$J$782</f>
        <v>Reduce Commute Time</v>
      </c>
      <c r="P401" s="2" t="b">
        <v>0</v>
      </c>
    </row>
    <row r="402" spans="1:16" x14ac:dyDescent="0.3">
      <c r="A402" s="2" t="e">
        <f>'Converted Diagram'!$K$785</f>
        <v>#VALUE!</v>
      </c>
      <c r="B402" s="1" t="s">
        <v>219</v>
      </c>
      <c r="C402" s="2">
        <v>0</v>
      </c>
      <c r="I402" s="2" t="s">
        <v>217</v>
      </c>
      <c r="J402" s="2">
        <f>'Converted Diagram'!$J$785</f>
        <v>0</v>
      </c>
      <c r="K402" s="2" t="e">
        <f>'Converted Diagram'!$J$784</f>
        <v>#VALUE!</v>
      </c>
      <c r="L402" s="2" t="s">
        <v>610</v>
      </c>
      <c r="M402" s="2">
        <v>0</v>
      </c>
      <c r="O402" s="2" t="str">
        <f>'Converted Diagram'!$K$784</f>
        <v>Reduce overall rent</v>
      </c>
      <c r="P402" s="2" t="b">
        <v>0</v>
      </c>
    </row>
    <row r="403" spans="1:16" x14ac:dyDescent="0.3">
      <c r="A403" s="2" t="e">
        <f>'Converted Diagram'!$L$787</f>
        <v>#VALUE!</v>
      </c>
      <c r="B403" s="1" t="s">
        <v>219</v>
      </c>
      <c r="C403" s="2">
        <v>0</v>
      </c>
      <c r="I403" s="2" t="s">
        <v>217</v>
      </c>
      <c r="J403" s="2">
        <f>'Converted Diagram'!$K$787</f>
        <v>0</v>
      </c>
      <c r="K403" s="2" t="e">
        <f>'Converted Diagram'!$K$786</f>
        <v>#VALUE!</v>
      </c>
      <c r="L403" s="2" t="s">
        <v>611</v>
      </c>
      <c r="M403" s="2">
        <v>0</v>
      </c>
      <c r="O403" s="2" t="str">
        <f>'Converted Diagram'!$L$786</f>
        <v>Increase Overall Convenience</v>
      </c>
      <c r="P403" s="2" t="b">
        <v>0</v>
      </c>
    </row>
    <row r="404" spans="1:16" x14ac:dyDescent="0.3">
      <c r="A404" s="2" t="e">
        <f>'Converted Diagram'!$M$789</f>
        <v>#VALUE!</v>
      </c>
      <c r="B404" s="1" t="s">
        <v>219</v>
      </c>
      <c r="C404" s="2">
        <v>0</v>
      </c>
      <c r="I404" s="2" t="e">
        <v>#VALUE!</v>
      </c>
      <c r="J404" s="2">
        <f>'Converted Diagram'!$L$789</f>
        <v>0</v>
      </c>
      <c r="K404" s="2" t="e">
        <f>'Converted Diagram'!$L$788</f>
        <v>#VALUE!</v>
      </c>
      <c r="L404" s="2" t="s">
        <v>612</v>
      </c>
      <c r="M404" s="2">
        <v>0</v>
      </c>
      <c r="P404" s="2" t="b">
        <v>0</v>
      </c>
    </row>
    <row r="405" spans="1:16" x14ac:dyDescent="0.3">
      <c r="A405" s="2" t="e">
        <f>'Converted Diagram'!$I$791</f>
        <v>#VALUE!</v>
      </c>
      <c r="B405" s="1" t="s">
        <v>32</v>
      </c>
      <c r="C405" s="2">
        <v>0</v>
      </c>
      <c r="I405" s="2" t="s">
        <v>217</v>
      </c>
      <c r="J405" s="2">
        <f>'Converted Diagram'!$H$791</f>
        <v>0</v>
      </c>
      <c r="K405" s="2" t="e">
        <f>'Converted Diagram'!$H$790</f>
        <v>#VALUE!</v>
      </c>
      <c r="L405" s="2" t="s">
        <v>613</v>
      </c>
      <c r="M405" s="2">
        <v>0</v>
      </c>
      <c r="O405" s="2" t="str">
        <f>'Converted Diagram'!$I$790</f>
        <v>Floor</v>
      </c>
      <c r="P405" s="2" t="b">
        <v>0</v>
      </c>
    </row>
    <row r="406" spans="1:16" x14ac:dyDescent="0.3">
      <c r="A406" s="2" t="e">
        <f>'Converted Diagram'!$J$793</f>
        <v>#VALUE!</v>
      </c>
      <c r="B406" s="1" t="s">
        <v>32</v>
      </c>
      <c r="C406" s="2">
        <v>0</v>
      </c>
      <c r="I406" s="2" t="s">
        <v>217</v>
      </c>
      <c r="J406" s="2">
        <f>'Converted Diagram'!$I$793</f>
        <v>0</v>
      </c>
      <c r="K406" s="2" t="e">
        <f>'Converted Diagram'!$I$792</f>
        <v>#VALUE!</v>
      </c>
      <c r="L406" s="2" t="s">
        <v>614</v>
      </c>
      <c r="M406" s="2">
        <v>0</v>
      </c>
      <c r="O406" s="2" t="str">
        <f>'Converted Diagram'!$J$792</f>
        <v>Reduce Commute Time</v>
      </c>
      <c r="P406" s="2" t="b">
        <v>0</v>
      </c>
    </row>
    <row r="407" spans="1:16" x14ac:dyDescent="0.3">
      <c r="A407" s="2" t="e">
        <f>'Converted Diagram'!$K$795</f>
        <v>#VALUE!</v>
      </c>
      <c r="B407" s="1" t="s">
        <v>219</v>
      </c>
      <c r="C407" s="2">
        <v>0</v>
      </c>
      <c r="I407" s="2" t="s">
        <v>217</v>
      </c>
      <c r="J407" s="2">
        <f>'Converted Diagram'!$J$795</f>
        <v>0</v>
      </c>
      <c r="K407" s="2" t="e">
        <f>'Converted Diagram'!$J$794</f>
        <v>#VALUE!</v>
      </c>
      <c r="L407" s="2" t="s">
        <v>615</v>
      </c>
      <c r="M407" s="2">
        <v>0</v>
      </c>
      <c r="O407" s="2" t="str">
        <f>'Converted Diagram'!$K$794</f>
        <v>Reduce overall rent</v>
      </c>
      <c r="P407" s="2" t="b">
        <v>0</v>
      </c>
    </row>
    <row r="408" spans="1:16" x14ac:dyDescent="0.3">
      <c r="A408" s="2" t="e">
        <f>'Converted Diagram'!$L$797</f>
        <v>#VALUE!</v>
      </c>
      <c r="B408" s="1" t="s">
        <v>219</v>
      </c>
      <c r="C408" s="2">
        <v>0</v>
      </c>
      <c r="I408" s="2" t="s">
        <v>217</v>
      </c>
      <c r="J408" s="2">
        <f>'Converted Diagram'!$K$797</f>
        <v>0</v>
      </c>
      <c r="K408" s="2" t="e">
        <f>'Converted Diagram'!$K$796</f>
        <v>#VALUE!</v>
      </c>
      <c r="L408" s="2" t="s">
        <v>616</v>
      </c>
      <c r="M408" s="2">
        <v>0</v>
      </c>
      <c r="O408" s="2" t="str">
        <f>'Converted Diagram'!$L$796</f>
        <v>Increase Overall Convenience</v>
      </c>
      <c r="P408" s="2" t="b">
        <v>0</v>
      </c>
    </row>
    <row r="409" spans="1:16" x14ac:dyDescent="0.3">
      <c r="A409" s="2" t="e">
        <f>'Converted Diagram'!$M$799</f>
        <v>#VALUE!</v>
      </c>
      <c r="B409" s="1" t="s">
        <v>219</v>
      </c>
      <c r="C409" s="2">
        <v>0</v>
      </c>
      <c r="I409" s="2" t="e">
        <v>#VALUE!</v>
      </c>
      <c r="J409" s="2">
        <f>'Converted Diagram'!$L$799</f>
        <v>0</v>
      </c>
      <c r="K409" s="2" t="e">
        <f>'Converted Diagram'!$L$798</f>
        <v>#VALUE!</v>
      </c>
      <c r="L409" s="2" t="s">
        <v>617</v>
      </c>
      <c r="M409" s="2">
        <v>0</v>
      </c>
      <c r="P409" s="2" t="b">
        <v>0</v>
      </c>
    </row>
    <row r="410" spans="1:16" x14ac:dyDescent="0.3">
      <c r="A410" s="2" t="e">
        <f>'Converted Diagram'!$E$801</f>
        <v>#VALUE!</v>
      </c>
      <c r="B410" s="1" t="s">
        <v>31</v>
      </c>
      <c r="C410" s="2">
        <v>0</v>
      </c>
      <c r="I410" s="2" t="s">
        <v>217</v>
      </c>
      <c r="J410" s="2">
        <f>'Converted Diagram'!$D$801</f>
        <v>0</v>
      </c>
      <c r="L410" s="2" t="s">
        <v>618</v>
      </c>
      <c r="M410" s="2">
        <v>0</v>
      </c>
      <c r="O410" s="2" t="str">
        <f>'Converted Diagram'!$E$800</f>
        <v>Nearest Transportation Station</v>
      </c>
      <c r="P410" s="2" t="b">
        <v>0</v>
      </c>
    </row>
    <row r="411" spans="1:16" x14ac:dyDescent="0.3">
      <c r="A411" s="2" t="e">
        <f>'Converted Diagram'!$J$803</f>
        <v>#VALUE!</v>
      </c>
      <c r="B411" s="1" t="s">
        <v>31</v>
      </c>
      <c r="C411" s="2">
        <v>0</v>
      </c>
      <c r="I411" s="2" t="s">
        <v>217</v>
      </c>
      <c r="J411" s="2">
        <f>'Converted Diagram'!$I$803</f>
        <v>0</v>
      </c>
      <c r="K411" s="2" t="e">
        <f>'Converted Diagram'!$I$802</f>
        <v>#VALUE!</v>
      </c>
      <c r="L411" s="2" t="s">
        <v>619</v>
      </c>
      <c r="M411" s="2">
        <v>0</v>
      </c>
      <c r="O411" s="2" t="str">
        <f>'Converted Diagram'!$J$802</f>
        <v>Reduce Commute Time</v>
      </c>
      <c r="P411" s="2" t="b">
        <v>0</v>
      </c>
    </row>
    <row r="412" spans="1:16" x14ac:dyDescent="0.3">
      <c r="A412" s="2" t="e">
        <f>'Converted Diagram'!$K$805</f>
        <v>#VALUE!</v>
      </c>
      <c r="B412" s="1" t="s">
        <v>219</v>
      </c>
      <c r="C412" s="2">
        <v>0</v>
      </c>
      <c r="I412" s="2" t="s">
        <v>217</v>
      </c>
      <c r="J412" s="2">
        <f>'Converted Diagram'!$J$805</f>
        <v>0</v>
      </c>
      <c r="K412" s="2" t="e">
        <f>'Converted Diagram'!$J$804</f>
        <v>#VALUE!</v>
      </c>
      <c r="L412" s="2" t="s">
        <v>620</v>
      </c>
      <c r="M412" s="2">
        <v>0</v>
      </c>
      <c r="O412" s="2" t="str">
        <f>'Converted Diagram'!$K$804</f>
        <v>Reduce overall rent</v>
      </c>
      <c r="P412" s="2" t="b">
        <v>0</v>
      </c>
    </row>
    <row r="413" spans="1:16" x14ac:dyDescent="0.3">
      <c r="A413" s="2" t="e">
        <f>'Converted Diagram'!$L$807</f>
        <v>#VALUE!</v>
      </c>
      <c r="B413" s="1" t="s">
        <v>219</v>
      </c>
      <c r="C413" s="2">
        <v>0</v>
      </c>
      <c r="I413" s="2" t="s">
        <v>217</v>
      </c>
      <c r="J413" s="2">
        <f>'Converted Diagram'!$K$807</f>
        <v>0</v>
      </c>
      <c r="K413" s="2" t="e">
        <f>'Converted Diagram'!$K$806</f>
        <v>#VALUE!</v>
      </c>
      <c r="L413" s="2" t="s">
        <v>621</v>
      </c>
      <c r="M413" s="2">
        <v>0</v>
      </c>
      <c r="O413" s="2" t="str">
        <f>'Converted Diagram'!$L$806</f>
        <v>Increase Overall Convenience</v>
      </c>
      <c r="P413" s="2" t="b">
        <v>0</v>
      </c>
    </row>
    <row r="414" spans="1:16" x14ac:dyDescent="0.3">
      <c r="A414" s="2" t="e">
        <f>'Converted Diagram'!$M$809</f>
        <v>#VALUE!</v>
      </c>
      <c r="B414" s="1" t="s">
        <v>219</v>
      </c>
      <c r="C414" s="2">
        <v>0</v>
      </c>
      <c r="I414" s="2" t="e">
        <v>#VALUE!</v>
      </c>
      <c r="J414" s="2">
        <f>'Converted Diagram'!$L$809</f>
        <v>0</v>
      </c>
      <c r="K414" s="2" t="e">
        <f>'Converted Diagram'!$L$808</f>
        <v>#VALUE!</v>
      </c>
      <c r="L414" s="2" t="s">
        <v>622</v>
      </c>
      <c r="M414" s="2">
        <v>0</v>
      </c>
      <c r="P414" s="2" t="b">
        <v>0</v>
      </c>
    </row>
    <row r="415" spans="1:16" x14ac:dyDescent="0.3">
      <c r="A415" s="2" t="e">
        <f>'Converted Diagram'!$I$811</f>
        <v>#VALUE!</v>
      </c>
      <c r="B415" s="1" t="s">
        <v>31</v>
      </c>
      <c r="C415" s="2">
        <v>0</v>
      </c>
      <c r="I415" s="2" t="s">
        <v>217</v>
      </c>
      <c r="J415" s="2">
        <f>'Converted Diagram'!$H$811</f>
        <v>0</v>
      </c>
      <c r="K415" s="2" t="e">
        <f>'Converted Diagram'!$H$810</f>
        <v>#VALUE!</v>
      </c>
      <c r="L415" s="2" t="s">
        <v>623</v>
      </c>
      <c r="M415" s="2">
        <v>0</v>
      </c>
      <c r="O415" s="2" t="str">
        <f>'Converted Diagram'!$I$810</f>
        <v>Floor</v>
      </c>
      <c r="P415" s="2" t="b">
        <v>0</v>
      </c>
    </row>
    <row r="416" spans="1:16" x14ac:dyDescent="0.3">
      <c r="A416" s="2" t="e">
        <f>'Converted Diagram'!$J$813</f>
        <v>#VALUE!</v>
      </c>
      <c r="B416" s="1" t="s">
        <v>32</v>
      </c>
      <c r="C416" s="2">
        <v>0</v>
      </c>
      <c r="I416" s="2" t="s">
        <v>217</v>
      </c>
      <c r="J416" s="2">
        <f>'Converted Diagram'!$I$813</f>
        <v>0</v>
      </c>
      <c r="K416" s="2" t="e">
        <f>'Converted Diagram'!$I$812</f>
        <v>#VALUE!</v>
      </c>
      <c r="L416" s="2" t="s">
        <v>624</v>
      </c>
      <c r="M416" s="2">
        <v>0</v>
      </c>
      <c r="O416" s="2" t="str">
        <f>'Converted Diagram'!$J$812</f>
        <v>Reduce Commute Time</v>
      </c>
      <c r="P416" s="2" t="b">
        <v>0</v>
      </c>
    </row>
    <row r="417" spans="1:16" x14ac:dyDescent="0.3">
      <c r="A417" s="2" t="e">
        <f>'Converted Diagram'!$K$815</f>
        <v>#VALUE!</v>
      </c>
      <c r="B417" s="1" t="s">
        <v>219</v>
      </c>
      <c r="C417" s="2">
        <v>0</v>
      </c>
      <c r="I417" s="2" t="s">
        <v>217</v>
      </c>
      <c r="J417" s="2">
        <f>'Converted Diagram'!$J$815</f>
        <v>0</v>
      </c>
      <c r="K417" s="2" t="e">
        <f>'Converted Diagram'!$J$814</f>
        <v>#VALUE!</v>
      </c>
      <c r="L417" s="2" t="s">
        <v>625</v>
      </c>
      <c r="M417" s="2">
        <v>0</v>
      </c>
      <c r="O417" s="2" t="str">
        <f>'Converted Diagram'!$K$814</f>
        <v>Reduce overall rent</v>
      </c>
      <c r="P417" s="2" t="b">
        <v>0</v>
      </c>
    </row>
    <row r="418" spans="1:16" x14ac:dyDescent="0.3">
      <c r="A418" s="2" t="e">
        <f>'Converted Diagram'!$L$817</f>
        <v>#VALUE!</v>
      </c>
      <c r="B418" s="1" t="s">
        <v>219</v>
      </c>
      <c r="C418" s="2">
        <v>0</v>
      </c>
      <c r="I418" s="2" t="s">
        <v>217</v>
      </c>
      <c r="J418" s="2">
        <f>'Converted Diagram'!$K$817</f>
        <v>0</v>
      </c>
      <c r="K418" s="2" t="e">
        <f>'Converted Diagram'!$K$816</f>
        <v>#VALUE!</v>
      </c>
      <c r="L418" s="2" t="s">
        <v>626</v>
      </c>
      <c r="M418" s="2">
        <v>0</v>
      </c>
      <c r="O418" s="2" t="str">
        <f>'Converted Diagram'!$L$816</f>
        <v>Increase Overall Convenience</v>
      </c>
      <c r="P418" s="2" t="b">
        <v>0</v>
      </c>
    </row>
    <row r="419" spans="1:16" x14ac:dyDescent="0.3">
      <c r="A419" s="2" t="e">
        <f>'Converted Diagram'!$M$819</f>
        <v>#VALUE!</v>
      </c>
      <c r="B419" s="1" t="s">
        <v>219</v>
      </c>
      <c r="C419" s="2">
        <v>0</v>
      </c>
      <c r="I419" s="2" t="e">
        <v>#VALUE!</v>
      </c>
      <c r="J419" s="2">
        <f>'Converted Diagram'!$L$819</f>
        <v>0</v>
      </c>
      <c r="K419" s="2" t="e">
        <f>'Converted Diagram'!$L$818</f>
        <v>#VALUE!</v>
      </c>
      <c r="L419" s="2" t="s">
        <v>627</v>
      </c>
      <c r="M419" s="2">
        <v>0</v>
      </c>
      <c r="P419" s="2" t="b">
        <v>0</v>
      </c>
    </row>
    <row r="420" spans="1:16" x14ac:dyDescent="0.3">
      <c r="A420" s="2" t="e">
        <f>'Converted Diagram'!$H$821</f>
        <v>#VALUE!</v>
      </c>
      <c r="B420" s="1" t="s">
        <v>31</v>
      </c>
      <c r="C420" s="2">
        <v>0</v>
      </c>
      <c r="I420" s="2" t="s">
        <v>217</v>
      </c>
      <c r="J420" s="2">
        <f>'Converted Diagram'!$G$821</f>
        <v>0</v>
      </c>
      <c r="K420" s="2" t="e">
        <f>'Converted Diagram'!$G$820</f>
        <v>#VALUE!</v>
      </c>
      <c r="L420" s="2" t="s">
        <v>628</v>
      </c>
      <c r="M420" s="2">
        <v>0</v>
      </c>
      <c r="O420" s="2" t="str">
        <f>'Converted Diagram'!$H$820</f>
        <v>Wi-Fi &amp; Cable Ready</v>
      </c>
      <c r="P420" s="2" t="b">
        <v>0</v>
      </c>
    </row>
    <row r="421" spans="1:16" x14ac:dyDescent="0.3">
      <c r="A421" s="2" t="e">
        <f>'Converted Diagram'!$J$823</f>
        <v>#VALUE!</v>
      </c>
      <c r="B421" s="1" t="s">
        <v>31</v>
      </c>
      <c r="C421" s="2">
        <v>0</v>
      </c>
      <c r="I421" s="2" t="s">
        <v>217</v>
      </c>
      <c r="J421" s="2">
        <f>'Converted Diagram'!$I$823</f>
        <v>0</v>
      </c>
      <c r="K421" s="2" t="e">
        <f>'Converted Diagram'!$I$822</f>
        <v>#VALUE!</v>
      </c>
      <c r="L421" s="2" t="s">
        <v>629</v>
      </c>
      <c r="M421" s="2">
        <v>0</v>
      </c>
      <c r="O421" s="2" t="str">
        <f>'Converted Diagram'!$J$822</f>
        <v>Reduce Commute Time</v>
      </c>
      <c r="P421" s="2" t="b">
        <v>0</v>
      </c>
    </row>
    <row r="422" spans="1:16" x14ac:dyDescent="0.3">
      <c r="A422" s="2" t="e">
        <f>'Converted Diagram'!$K$825</f>
        <v>#VALUE!</v>
      </c>
      <c r="B422" s="1" t="s">
        <v>219</v>
      </c>
      <c r="C422" s="2">
        <v>0</v>
      </c>
      <c r="I422" s="2" t="s">
        <v>217</v>
      </c>
      <c r="J422" s="2">
        <f>'Converted Diagram'!$J$825</f>
        <v>0</v>
      </c>
      <c r="K422" s="2" t="e">
        <f>'Converted Diagram'!$J$824</f>
        <v>#VALUE!</v>
      </c>
      <c r="L422" s="2" t="s">
        <v>630</v>
      </c>
      <c r="M422" s="2">
        <v>0</v>
      </c>
      <c r="O422" s="2" t="str">
        <f>'Converted Diagram'!$K$824</f>
        <v>Reduce overall rent</v>
      </c>
      <c r="P422" s="2" t="b">
        <v>0</v>
      </c>
    </row>
    <row r="423" spans="1:16" x14ac:dyDescent="0.3">
      <c r="A423" s="2" t="e">
        <f>'Converted Diagram'!$L$827</f>
        <v>#VALUE!</v>
      </c>
      <c r="B423" s="1" t="s">
        <v>219</v>
      </c>
      <c r="C423" s="2">
        <v>0</v>
      </c>
      <c r="I423" s="2" t="s">
        <v>217</v>
      </c>
      <c r="J423" s="2">
        <f>'Converted Diagram'!$K$827</f>
        <v>0</v>
      </c>
      <c r="K423" s="2" t="e">
        <f>'Converted Diagram'!$K$826</f>
        <v>#VALUE!</v>
      </c>
      <c r="L423" s="2" t="s">
        <v>631</v>
      </c>
      <c r="M423" s="2">
        <v>0</v>
      </c>
      <c r="O423" s="2" t="str">
        <f>'Converted Diagram'!$L$826</f>
        <v>Increase Overall Convenience</v>
      </c>
      <c r="P423" s="2" t="b">
        <v>0</v>
      </c>
    </row>
    <row r="424" spans="1:16" x14ac:dyDescent="0.3">
      <c r="A424" s="2" t="e">
        <f>'Converted Diagram'!$M$829</f>
        <v>#VALUE!</v>
      </c>
      <c r="B424" s="1" t="s">
        <v>219</v>
      </c>
      <c r="C424" s="2">
        <v>0</v>
      </c>
      <c r="I424" s="2" t="e">
        <v>#VALUE!</v>
      </c>
      <c r="J424" s="2">
        <f>'Converted Diagram'!$L$829</f>
        <v>0</v>
      </c>
      <c r="K424" s="2" t="e">
        <f>'Converted Diagram'!$L$828</f>
        <v>#VALUE!</v>
      </c>
      <c r="L424" s="2" t="s">
        <v>632</v>
      </c>
      <c r="M424" s="2">
        <v>0</v>
      </c>
      <c r="P424" s="2" t="b">
        <v>0</v>
      </c>
    </row>
    <row r="425" spans="1:16" x14ac:dyDescent="0.3">
      <c r="A425" s="2" t="e">
        <f>'Converted Diagram'!$I$831</f>
        <v>#VALUE!</v>
      </c>
      <c r="B425" s="1" t="s">
        <v>32</v>
      </c>
      <c r="C425" s="2">
        <v>0</v>
      </c>
      <c r="I425" s="2" t="s">
        <v>217</v>
      </c>
      <c r="J425" s="2">
        <f>'Converted Diagram'!$H$831</f>
        <v>0</v>
      </c>
      <c r="K425" s="2" t="e">
        <f>'Converted Diagram'!$H$830</f>
        <v>#VALUE!</v>
      </c>
      <c r="L425" s="2" t="s">
        <v>633</v>
      </c>
      <c r="M425" s="2">
        <v>0</v>
      </c>
      <c r="O425" s="2" t="str">
        <f>'Converted Diagram'!$I$830</f>
        <v>Floor</v>
      </c>
      <c r="P425" s="2" t="b">
        <v>0</v>
      </c>
    </row>
    <row r="426" spans="1:16" x14ac:dyDescent="0.3">
      <c r="A426" s="2" t="e">
        <f>'Converted Diagram'!$J$833</f>
        <v>#VALUE!</v>
      </c>
      <c r="B426" s="1" t="s">
        <v>32</v>
      </c>
      <c r="C426" s="2">
        <v>0</v>
      </c>
      <c r="I426" s="2" t="s">
        <v>217</v>
      </c>
      <c r="J426" s="2">
        <f>'Converted Diagram'!$I$833</f>
        <v>0</v>
      </c>
      <c r="K426" s="2" t="e">
        <f>'Converted Diagram'!$I$832</f>
        <v>#VALUE!</v>
      </c>
      <c r="L426" s="2" t="s">
        <v>634</v>
      </c>
      <c r="M426" s="2">
        <v>0</v>
      </c>
      <c r="O426" s="2" t="str">
        <f>'Converted Diagram'!$J$832</f>
        <v>Reduce Commute Time</v>
      </c>
      <c r="P426" s="2" t="b">
        <v>0</v>
      </c>
    </row>
    <row r="427" spans="1:16" x14ac:dyDescent="0.3">
      <c r="A427" s="2" t="e">
        <f>'Converted Diagram'!$K$835</f>
        <v>#VALUE!</v>
      </c>
      <c r="B427" s="1" t="s">
        <v>219</v>
      </c>
      <c r="C427" s="2">
        <v>0</v>
      </c>
      <c r="I427" s="2" t="s">
        <v>217</v>
      </c>
      <c r="J427" s="2">
        <f>'Converted Diagram'!$J$835</f>
        <v>0</v>
      </c>
      <c r="K427" s="2" t="e">
        <f>'Converted Diagram'!$J$834</f>
        <v>#VALUE!</v>
      </c>
      <c r="L427" s="2" t="s">
        <v>635</v>
      </c>
      <c r="M427" s="2">
        <v>0</v>
      </c>
      <c r="O427" s="2" t="str">
        <f>'Converted Diagram'!$K$834</f>
        <v>Reduce overall rent</v>
      </c>
      <c r="P427" s="2" t="b">
        <v>0</v>
      </c>
    </row>
    <row r="428" spans="1:16" x14ac:dyDescent="0.3">
      <c r="A428" s="2" t="e">
        <f>'Converted Diagram'!$L$837</f>
        <v>#VALUE!</v>
      </c>
      <c r="B428" s="1" t="s">
        <v>219</v>
      </c>
      <c r="C428" s="2">
        <v>0</v>
      </c>
      <c r="I428" s="2" t="s">
        <v>217</v>
      </c>
      <c r="J428" s="2">
        <f>'Converted Diagram'!$K$837</f>
        <v>0</v>
      </c>
      <c r="K428" s="2" t="e">
        <f>'Converted Diagram'!$K$836</f>
        <v>#VALUE!</v>
      </c>
      <c r="L428" s="2" t="s">
        <v>636</v>
      </c>
      <c r="M428" s="2">
        <v>0</v>
      </c>
      <c r="O428" s="2" t="str">
        <f>'Converted Diagram'!$L$836</f>
        <v>Increase Overall Convenience</v>
      </c>
      <c r="P428" s="2" t="b">
        <v>0</v>
      </c>
    </row>
    <row r="429" spans="1:16" x14ac:dyDescent="0.3">
      <c r="A429" s="2" t="e">
        <f>'Converted Diagram'!$M$839</f>
        <v>#VALUE!</v>
      </c>
      <c r="B429" s="1" t="s">
        <v>219</v>
      </c>
      <c r="C429" s="2">
        <v>0</v>
      </c>
      <c r="I429" s="2" t="e">
        <v>#VALUE!</v>
      </c>
      <c r="J429" s="2">
        <f>'Converted Diagram'!$L$839</f>
        <v>0</v>
      </c>
      <c r="K429" s="2" t="e">
        <f>'Converted Diagram'!$L$838</f>
        <v>#VALUE!</v>
      </c>
      <c r="L429" s="2" t="s">
        <v>637</v>
      </c>
      <c r="M429" s="2">
        <v>0</v>
      </c>
      <c r="P429" s="2" t="b">
        <v>0</v>
      </c>
    </row>
    <row r="430" spans="1:16" x14ac:dyDescent="0.3">
      <c r="A430" s="2" t="e">
        <f>'Converted Diagram'!$G$841</f>
        <v>#VALUE!</v>
      </c>
      <c r="B430" s="1" t="s">
        <v>31</v>
      </c>
      <c r="C430" s="2">
        <v>0</v>
      </c>
      <c r="I430" s="2" t="s">
        <v>217</v>
      </c>
      <c r="J430" s="2">
        <f>'Converted Diagram'!$F$841</f>
        <v>0</v>
      </c>
      <c r="K430" s="2" t="e">
        <f>'Converted Diagram'!$F$840</f>
        <v>#VALUE!</v>
      </c>
      <c r="L430" s="2" t="s">
        <v>638</v>
      </c>
      <c r="M430" s="2">
        <v>0</v>
      </c>
      <c r="O430" s="2" t="str">
        <f>'Converted Diagram'!$G$840</f>
        <v>Grocery Store</v>
      </c>
      <c r="P430" s="2" t="b">
        <v>0</v>
      </c>
    </row>
    <row r="431" spans="1:16" x14ac:dyDescent="0.3">
      <c r="A431" s="2" t="e">
        <f>'Converted Diagram'!$J$843</f>
        <v>#VALUE!</v>
      </c>
      <c r="B431" s="1" t="s">
        <v>31</v>
      </c>
      <c r="C431" s="2">
        <v>0</v>
      </c>
      <c r="I431" s="2" t="s">
        <v>217</v>
      </c>
      <c r="J431" s="2">
        <f>'Converted Diagram'!$I$843</f>
        <v>0</v>
      </c>
      <c r="K431" s="2" t="e">
        <f>'Converted Diagram'!$I$842</f>
        <v>#VALUE!</v>
      </c>
      <c r="L431" s="2" t="s">
        <v>639</v>
      </c>
      <c r="M431" s="2">
        <v>0</v>
      </c>
      <c r="O431" s="2" t="str">
        <f>'Converted Diagram'!$J$842</f>
        <v>Reduce Commute Time</v>
      </c>
      <c r="P431" s="2" t="b">
        <v>0</v>
      </c>
    </row>
    <row r="432" spans="1:16" x14ac:dyDescent="0.3">
      <c r="A432" s="2" t="e">
        <f>'Converted Diagram'!$K$845</f>
        <v>#VALUE!</v>
      </c>
      <c r="B432" s="1" t="s">
        <v>219</v>
      </c>
      <c r="C432" s="2">
        <v>0</v>
      </c>
      <c r="I432" s="2" t="s">
        <v>217</v>
      </c>
      <c r="J432" s="2">
        <f>'Converted Diagram'!$J$845</f>
        <v>0</v>
      </c>
      <c r="K432" s="2" t="e">
        <f>'Converted Diagram'!$J$844</f>
        <v>#VALUE!</v>
      </c>
      <c r="L432" s="2" t="s">
        <v>640</v>
      </c>
      <c r="M432" s="2">
        <v>0</v>
      </c>
      <c r="O432" s="2" t="str">
        <f>'Converted Diagram'!$K$844</f>
        <v>Reduce overall rent</v>
      </c>
      <c r="P432" s="2" t="b">
        <v>0</v>
      </c>
    </row>
    <row r="433" spans="1:16" x14ac:dyDescent="0.3">
      <c r="A433" s="2" t="e">
        <f>'Converted Diagram'!$L$847</f>
        <v>#VALUE!</v>
      </c>
      <c r="B433" s="1" t="s">
        <v>219</v>
      </c>
      <c r="C433" s="2">
        <v>0</v>
      </c>
      <c r="I433" s="2" t="s">
        <v>217</v>
      </c>
      <c r="J433" s="2">
        <f>'Converted Diagram'!$K$847</f>
        <v>0</v>
      </c>
      <c r="K433" s="2" t="e">
        <f>'Converted Diagram'!$K$846</f>
        <v>#VALUE!</v>
      </c>
      <c r="L433" s="2" t="s">
        <v>641</v>
      </c>
      <c r="M433" s="2">
        <v>0</v>
      </c>
      <c r="O433" s="2" t="str">
        <f>'Converted Diagram'!$L$846</f>
        <v>Increase Overall Convenience</v>
      </c>
      <c r="P433" s="2" t="b">
        <v>0</v>
      </c>
    </row>
    <row r="434" spans="1:16" x14ac:dyDescent="0.3">
      <c r="A434" s="2" t="e">
        <f>'Converted Diagram'!$M$849</f>
        <v>#VALUE!</v>
      </c>
      <c r="B434" s="1" t="s">
        <v>219</v>
      </c>
      <c r="C434" s="2">
        <v>0</v>
      </c>
      <c r="I434" s="2" t="e">
        <v>#VALUE!</v>
      </c>
      <c r="J434" s="2">
        <f>'Converted Diagram'!$L$849</f>
        <v>0</v>
      </c>
      <c r="K434" s="2" t="e">
        <f>'Converted Diagram'!$L$848</f>
        <v>#VALUE!</v>
      </c>
      <c r="L434" s="2" t="s">
        <v>642</v>
      </c>
      <c r="M434" s="2">
        <v>0</v>
      </c>
      <c r="P434" s="2" t="b">
        <v>0</v>
      </c>
    </row>
    <row r="435" spans="1:16" x14ac:dyDescent="0.3">
      <c r="A435" s="2" t="e">
        <f>'Converted Diagram'!$I$851</f>
        <v>#VALUE!</v>
      </c>
      <c r="B435" s="1" t="s">
        <v>31</v>
      </c>
      <c r="C435" s="2">
        <v>0</v>
      </c>
      <c r="I435" s="2" t="s">
        <v>217</v>
      </c>
      <c r="J435" s="2">
        <f>'Converted Diagram'!$H$851</f>
        <v>0</v>
      </c>
      <c r="K435" s="2" t="e">
        <f>'Converted Diagram'!$H$850</f>
        <v>#VALUE!</v>
      </c>
      <c r="L435" s="2" t="s">
        <v>643</v>
      </c>
      <c r="M435" s="2">
        <v>0</v>
      </c>
      <c r="O435" s="2" t="str">
        <f>'Converted Diagram'!$I$850</f>
        <v>Floor</v>
      </c>
      <c r="P435" s="2" t="b">
        <v>0</v>
      </c>
    </row>
    <row r="436" spans="1:16" x14ac:dyDescent="0.3">
      <c r="A436" s="2" t="e">
        <f>'Converted Diagram'!$J$853</f>
        <v>#VALUE!</v>
      </c>
      <c r="B436" s="1" t="s">
        <v>32</v>
      </c>
      <c r="C436" s="2">
        <v>0</v>
      </c>
      <c r="I436" s="2" t="s">
        <v>217</v>
      </c>
      <c r="J436" s="2">
        <f>'Converted Diagram'!$I$853</f>
        <v>0</v>
      </c>
      <c r="K436" s="2" t="e">
        <f>'Converted Diagram'!$I$852</f>
        <v>#VALUE!</v>
      </c>
      <c r="L436" s="2" t="s">
        <v>644</v>
      </c>
      <c r="M436" s="2">
        <v>0</v>
      </c>
      <c r="O436" s="2" t="str">
        <f>'Converted Diagram'!$J$852</f>
        <v>Reduce Commute Time</v>
      </c>
      <c r="P436" s="2" t="b">
        <v>0</v>
      </c>
    </row>
    <row r="437" spans="1:16" x14ac:dyDescent="0.3">
      <c r="A437" s="2" t="e">
        <f>'Converted Diagram'!$K$855</f>
        <v>#VALUE!</v>
      </c>
      <c r="B437" s="1" t="s">
        <v>219</v>
      </c>
      <c r="C437" s="2">
        <v>0</v>
      </c>
      <c r="I437" s="2" t="s">
        <v>217</v>
      </c>
      <c r="J437" s="2">
        <f>'Converted Diagram'!$J$855</f>
        <v>0</v>
      </c>
      <c r="K437" s="2" t="e">
        <f>'Converted Diagram'!$J$854</f>
        <v>#VALUE!</v>
      </c>
      <c r="L437" s="2" t="s">
        <v>645</v>
      </c>
      <c r="M437" s="2">
        <v>0</v>
      </c>
      <c r="O437" s="2" t="str">
        <f>'Converted Diagram'!$K$854</f>
        <v>Reduce overall rent</v>
      </c>
      <c r="P437" s="2" t="b">
        <v>0</v>
      </c>
    </row>
    <row r="438" spans="1:16" x14ac:dyDescent="0.3">
      <c r="A438" s="2" t="e">
        <f>'Converted Diagram'!$L$857</f>
        <v>#VALUE!</v>
      </c>
      <c r="B438" s="1" t="s">
        <v>219</v>
      </c>
      <c r="C438" s="2">
        <v>0</v>
      </c>
      <c r="I438" s="2" t="s">
        <v>217</v>
      </c>
      <c r="J438" s="2">
        <f>'Converted Diagram'!$K$857</f>
        <v>0</v>
      </c>
      <c r="K438" s="2" t="e">
        <f>'Converted Diagram'!$K$856</f>
        <v>#VALUE!</v>
      </c>
      <c r="L438" s="2" t="s">
        <v>646</v>
      </c>
      <c r="M438" s="2">
        <v>0</v>
      </c>
      <c r="O438" s="2" t="str">
        <f>'Converted Diagram'!$L$856</f>
        <v>Increase Overall Convenience</v>
      </c>
      <c r="P438" s="2" t="b">
        <v>0</v>
      </c>
    </row>
    <row r="439" spans="1:16" x14ac:dyDescent="0.3">
      <c r="A439" s="2" t="e">
        <f>'Converted Diagram'!$M$859</f>
        <v>#VALUE!</v>
      </c>
      <c r="B439" s="1" t="s">
        <v>219</v>
      </c>
      <c r="C439" s="2">
        <v>0</v>
      </c>
      <c r="I439" s="2" t="e">
        <v>#VALUE!</v>
      </c>
      <c r="J439" s="2">
        <f>'Converted Diagram'!$L$859</f>
        <v>0</v>
      </c>
      <c r="K439" s="2" t="e">
        <f>'Converted Diagram'!$L$858</f>
        <v>#VALUE!</v>
      </c>
      <c r="L439" s="2" t="s">
        <v>647</v>
      </c>
      <c r="M439" s="2">
        <v>0</v>
      </c>
      <c r="P439" s="2" t="b">
        <v>0</v>
      </c>
    </row>
    <row r="440" spans="1:16" x14ac:dyDescent="0.3">
      <c r="A440" s="2" t="e">
        <f>'Converted Diagram'!$H$861</f>
        <v>#VALUE!</v>
      </c>
      <c r="B440" s="1" t="s">
        <v>32</v>
      </c>
      <c r="C440" s="2">
        <v>0</v>
      </c>
      <c r="I440" s="2" t="s">
        <v>217</v>
      </c>
      <c r="J440" s="2">
        <f>'Converted Diagram'!$G$861</f>
        <v>0</v>
      </c>
      <c r="K440" s="2" t="e">
        <f>'Converted Diagram'!$G$860</f>
        <v>#VALUE!</v>
      </c>
      <c r="L440" s="2" t="s">
        <v>648</v>
      </c>
      <c r="M440" s="2">
        <v>0</v>
      </c>
      <c r="O440" s="2" t="str">
        <f>'Converted Diagram'!$H$860</f>
        <v>Wi-Fi &amp; Cable Ready</v>
      </c>
      <c r="P440" s="2" t="b">
        <v>0</v>
      </c>
    </row>
    <row r="441" spans="1:16" x14ac:dyDescent="0.3">
      <c r="A441" s="2" t="e">
        <f>'Converted Diagram'!$J$863</f>
        <v>#VALUE!</v>
      </c>
      <c r="B441" s="1" t="s">
        <v>31</v>
      </c>
      <c r="C441" s="2">
        <v>0</v>
      </c>
      <c r="I441" s="2" t="s">
        <v>217</v>
      </c>
      <c r="J441" s="2">
        <f>'Converted Diagram'!$I$863</f>
        <v>0</v>
      </c>
      <c r="K441" s="2" t="e">
        <f>'Converted Diagram'!$I$862</f>
        <v>#VALUE!</v>
      </c>
      <c r="L441" s="2" t="s">
        <v>649</v>
      </c>
      <c r="M441" s="2">
        <v>0</v>
      </c>
      <c r="O441" s="2" t="str">
        <f>'Converted Diagram'!$J$862</f>
        <v>Reduce Commute Time</v>
      </c>
      <c r="P441" s="2" t="b">
        <v>0</v>
      </c>
    </row>
    <row r="442" spans="1:16" x14ac:dyDescent="0.3">
      <c r="A442" s="2" t="e">
        <f>'Converted Diagram'!$K$865</f>
        <v>#VALUE!</v>
      </c>
      <c r="B442" s="1" t="s">
        <v>219</v>
      </c>
      <c r="C442" s="2">
        <v>0</v>
      </c>
      <c r="I442" s="2" t="s">
        <v>217</v>
      </c>
      <c r="J442" s="2">
        <f>'Converted Diagram'!$J$865</f>
        <v>0</v>
      </c>
      <c r="K442" s="2" t="e">
        <f>'Converted Diagram'!$J$864</f>
        <v>#VALUE!</v>
      </c>
      <c r="L442" s="2" t="s">
        <v>650</v>
      </c>
      <c r="M442" s="2">
        <v>0</v>
      </c>
      <c r="O442" s="2" t="str">
        <f>'Converted Diagram'!$K$864</f>
        <v>Reduce overall rent</v>
      </c>
      <c r="P442" s="2" t="b">
        <v>0</v>
      </c>
    </row>
    <row r="443" spans="1:16" x14ac:dyDescent="0.3">
      <c r="A443" s="2" t="e">
        <f>'Converted Diagram'!$L$867</f>
        <v>#VALUE!</v>
      </c>
      <c r="B443" s="1" t="s">
        <v>219</v>
      </c>
      <c r="C443" s="2">
        <v>0</v>
      </c>
      <c r="I443" s="2" t="s">
        <v>217</v>
      </c>
      <c r="J443" s="2">
        <f>'Converted Diagram'!$K$867</f>
        <v>0</v>
      </c>
      <c r="K443" s="2" t="e">
        <f>'Converted Diagram'!$K$866</f>
        <v>#VALUE!</v>
      </c>
      <c r="L443" s="2" t="s">
        <v>651</v>
      </c>
      <c r="M443" s="2">
        <v>0</v>
      </c>
      <c r="O443" s="2" t="str">
        <f>'Converted Diagram'!$L$866</f>
        <v>Increase Overall Convenience</v>
      </c>
      <c r="P443" s="2" t="b">
        <v>0</v>
      </c>
    </row>
    <row r="444" spans="1:16" x14ac:dyDescent="0.3">
      <c r="A444" s="2" t="e">
        <f>'Converted Diagram'!$M$869</f>
        <v>#VALUE!</v>
      </c>
      <c r="B444" s="1" t="s">
        <v>219</v>
      </c>
      <c r="C444" s="2">
        <v>0</v>
      </c>
      <c r="I444" s="2" t="e">
        <v>#VALUE!</v>
      </c>
      <c r="J444" s="2">
        <f>'Converted Diagram'!$L$869</f>
        <v>0</v>
      </c>
      <c r="K444" s="2" t="e">
        <f>'Converted Diagram'!$L$868</f>
        <v>#VALUE!</v>
      </c>
      <c r="L444" s="2" t="s">
        <v>652</v>
      </c>
      <c r="M444" s="2">
        <v>0</v>
      </c>
      <c r="P444" s="2" t="b">
        <v>0</v>
      </c>
    </row>
    <row r="445" spans="1:16" x14ac:dyDescent="0.3">
      <c r="A445" s="2" t="e">
        <f>'Converted Diagram'!$I$871</f>
        <v>#VALUE!</v>
      </c>
      <c r="B445" s="1" t="s">
        <v>32</v>
      </c>
      <c r="C445" s="2">
        <v>0</v>
      </c>
      <c r="I445" s="2" t="s">
        <v>217</v>
      </c>
      <c r="J445" s="2">
        <f>'Converted Diagram'!$H$871</f>
        <v>0</v>
      </c>
      <c r="K445" s="2" t="e">
        <f>'Converted Diagram'!$H$870</f>
        <v>#VALUE!</v>
      </c>
      <c r="L445" s="2" t="s">
        <v>653</v>
      </c>
      <c r="M445" s="2">
        <v>0</v>
      </c>
      <c r="O445" s="2" t="str">
        <f>'Converted Diagram'!$I$870</f>
        <v>Floor</v>
      </c>
      <c r="P445" s="2" t="b">
        <v>0</v>
      </c>
    </row>
    <row r="446" spans="1:16" x14ac:dyDescent="0.3">
      <c r="A446" s="2" t="e">
        <f>'Converted Diagram'!$J$873</f>
        <v>#VALUE!</v>
      </c>
      <c r="B446" s="1" t="s">
        <v>32</v>
      </c>
      <c r="C446" s="2">
        <v>0</v>
      </c>
      <c r="I446" s="2" t="s">
        <v>217</v>
      </c>
      <c r="J446" s="2">
        <f>'Converted Diagram'!$I$873</f>
        <v>0</v>
      </c>
      <c r="K446" s="2" t="e">
        <f>'Converted Diagram'!$I$872</f>
        <v>#VALUE!</v>
      </c>
      <c r="L446" s="2" t="s">
        <v>654</v>
      </c>
      <c r="M446" s="2">
        <v>0</v>
      </c>
      <c r="O446" s="2" t="str">
        <f>'Converted Diagram'!$J$872</f>
        <v>Reduce Commute Time</v>
      </c>
      <c r="P446" s="2" t="b">
        <v>0</v>
      </c>
    </row>
    <row r="447" spans="1:16" x14ac:dyDescent="0.3">
      <c r="A447" s="2" t="e">
        <f>'Converted Diagram'!$K$875</f>
        <v>#VALUE!</v>
      </c>
      <c r="B447" s="1" t="s">
        <v>219</v>
      </c>
      <c r="C447" s="2">
        <v>0</v>
      </c>
      <c r="I447" s="2" t="s">
        <v>217</v>
      </c>
      <c r="J447" s="2">
        <f>'Converted Diagram'!$J$875</f>
        <v>0</v>
      </c>
      <c r="K447" s="2" t="e">
        <f>'Converted Diagram'!$J$874</f>
        <v>#VALUE!</v>
      </c>
      <c r="L447" s="2" t="s">
        <v>655</v>
      </c>
      <c r="M447" s="2">
        <v>0</v>
      </c>
      <c r="O447" s="2" t="str">
        <f>'Converted Diagram'!$K$874</f>
        <v>Reduce overall rent</v>
      </c>
      <c r="P447" s="2" t="b">
        <v>0</v>
      </c>
    </row>
    <row r="448" spans="1:16" x14ac:dyDescent="0.3">
      <c r="A448" s="2" t="e">
        <f>'Converted Diagram'!$L$877</f>
        <v>#VALUE!</v>
      </c>
      <c r="B448" s="1" t="s">
        <v>219</v>
      </c>
      <c r="C448" s="2">
        <v>0</v>
      </c>
      <c r="I448" s="2" t="s">
        <v>217</v>
      </c>
      <c r="J448" s="2">
        <f>'Converted Diagram'!$K$877</f>
        <v>0</v>
      </c>
      <c r="K448" s="2" t="e">
        <f>'Converted Diagram'!$K$876</f>
        <v>#VALUE!</v>
      </c>
      <c r="L448" s="2" t="s">
        <v>656</v>
      </c>
      <c r="M448" s="2">
        <v>0</v>
      </c>
      <c r="O448" s="2" t="str">
        <f>'Converted Diagram'!$L$876</f>
        <v>Increase Overall Convenience</v>
      </c>
      <c r="P448" s="2" t="b">
        <v>0</v>
      </c>
    </row>
    <row r="449" spans="1:16" x14ac:dyDescent="0.3">
      <c r="A449" s="2" t="e">
        <f>'Converted Diagram'!$M$879</f>
        <v>#VALUE!</v>
      </c>
      <c r="B449" s="1" t="s">
        <v>219</v>
      </c>
      <c r="C449" s="2">
        <v>0</v>
      </c>
      <c r="I449" s="2" t="e">
        <v>#VALUE!</v>
      </c>
      <c r="J449" s="2">
        <f>'Converted Diagram'!$L$879</f>
        <v>0</v>
      </c>
      <c r="K449" s="2" t="e">
        <f>'Converted Diagram'!$L$878</f>
        <v>#VALUE!</v>
      </c>
      <c r="L449" s="2" t="s">
        <v>657</v>
      </c>
      <c r="M449" s="2">
        <v>0</v>
      </c>
      <c r="P449" s="2" t="b">
        <v>0</v>
      </c>
    </row>
    <row r="450" spans="1:16" x14ac:dyDescent="0.3">
      <c r="A450" s="2" t="e">
        <f>'Converted Diagram'!$F$881</f>
        <v>#VALUE!</v>
      </c>
      <c r="B450" s="1" t="s">
        <v>32</v>
      </c>
      <c r="C450" s="2">
        <v>0</v>
      </c>
      <c r="I450" s="2" t="s">
        <v>217</v>
      </c>
      <c r="J450" s="2">
        <f>'Converted Diagram'!$E$881</f>
        <v>0</v>
      </c>
      <c r="K450" s="2" t="e">
        <f>'Converted Diagram'!$E$880</f>
        <v>#VALUE!</v>
      </c>
      <c r="L450" s="2" t="s">
        <v>658</v>
      </c>
      <c r="M450" s="2">
        <v>0</v>
      </c>
      <c r="O450" s="2" t="str">
        <f>'Converted Diagram'!$F$880</f>
        <v>Utilities</v>
      </c>
      <c r="P450" s="2" t="b">
        <v>0</v>
      </c>
    </row>
    <row r="451" spans="1:16" x14ac:dyDescent="0.3">
      <c r="A451" s="2" t="e">
        <f>'Converted Diagram'!$J$883</f>
        <v>#VALUE!</v>
      </c>
      <c r="B451" s="1" t="s">
        <v>31</v>
      </c>
      <c r="C451" s="2">
        <v>0</v>
      </c>
      <c r="I451" s="2" t="s">
        <v>217</v>
      </c>
      <c r="J451" s="2">
        <f>'Converted Diagram'!$I$883</f>
        <v>0</v>
      </c>
      <c r="K451" s="2" t="e">
        <f>'Converted Diagram'!$I$882</f>
        <v>#VALUE!</v>
      </c>
      <c r="L451" s="2" t="s">
        <v>659</v>
      </c>
      <c r="M451" s="2">
        <v>0</v>
      </c>
      <c r="O451" s="2" t="str">
        <f>'Converted Diagram'!$J$882</f>
        <v>Reduce Commute Time</v>
      </c>
      <c r="P451" s="2" t="b">
        <v>0</v>
      </c>
    </row>
    <row r="452" spans="1:16" x14ac:dyDescent="0.3">
      <c r="A452" s="2" t="e">
        <f>'Converted Diagram'!$K$885</f>
        <v>#VALUE!</v>
      </c>
      <c r="B452" s="1" t="s">
        <v>219</v>
      </c>
      <c r="C452" s="2">
        <v>0</v>
      </c>
      <c r="I452" s="2" t="s">
        <v>217</v>
      </c>
      <c r="J452" s="2">
        <f>'Converted Diagram'!$J$885</f>
        <v>0</v>
      </c>
      <c r="K452" s="2" t="e">
        <f>'Converted Diagram'!$J$884</f>
        <v>#VALUE!</v>
      </c>
      <c r="L452" s="2" t="s">
        <v>660</v>
      </c>
      <c r="M452" s="2">
        <v>0</v>
      </c>
      <c r="O452" s="2" t="str">
        <f>'Converted Diagram'!$K$884</f>
        <v>Reduce overall rent</v>
      </c>
      <c r="P452" s="2" t="b">
        <v>0</v>
      </c>
    </row>
    <row r="453" spans="1:16" x14ac:dyDescent="0.3">
      <c r="A453" s="2" t="e">
        <f>'Converted Diagram'!$L$887</f>
        <v>#VALUE!</v>
      </c>
      <c r="B453" s="1" t="s">
        <v>219</v>
      </c>
      <c r="C453" s="2">
        <v>0</v>
      </c>
      <c r="I453" s="2" t="s">
        <v>217</v>
      </c>
      <c r="J453" s="2">
        <f>'Converted Diagram'!$K$887</f>
        <v>0</v>
      </c>
      <c r="K453" s="2" t="e">
        <f>'Converted Diagram'!$K$886</f>
        <v>#VALUE!</v>
      </c>
      <c r="L453" s="2" t="s">
        <v>661</v>
      </c>
      <c r="M453" s="2">
        <v>0</v>
      </c>
      <c r="O453" s="2" t="str">
        <f>'Converted Diagram'!$L$886</f>
        <v>Increase Overall Convenience</v>
      </c>
      <c r="P453" s="2" t="b">
        <v>0</v>
      </c>
    </row>
    <row r="454" spans="1:16" x14ac:dyDescent="0.3">
      <c r="A454" s="2" t="e">
        <f>'Converted Diagram'!$M$889</f>
        <v>#VALUE!</v>
      </c>
      <c r="B454" s="1" t="s">
        <v>219</v>
      </c>
      <c r="C454" s="2">
        <v>0</v>
      </c>
      <c r="I454" s="2" t="e">
        <v>#VALUE!</v>
      </c>
      <c r="J454" s="2">
        <f>'Converted Diagram'!$L$889</f>
        <v>0</v>
      </c>
      <c r="K454" s="2" t="e">
        <f>'Converted Diagram'!$L$888</f>
        <v>#VALUE!</v>
      </c>
      <c r="L454" s="2" t="s">
        <v>662</v>
      </c>
      <c r="M454" s="2">
        <v>0</v>
      </c>
      <c r="P454" s="2" t="b">
        <v>0</v>
      </c>
    </row>
    <row r="455" spans="1:16" x14ac:dyDescent="0.3">
      <c r="A455" s="2" t="e">
        <f>'Converted Diagram'!$I$891</f>
        <v>#VALUE!</v>
      </c>
      <c r="B455" s="1" t="s">
        <v>31</v>
      </c>
      <c r="C455" s="2">
        <v>0</v>
      </c>
      <c r="I455" s="2" t="s">
        <v>217</v>
      </c>
      <c r="J455" s="2">
        <f>'Converted Diagram'!$H$891</f>
        <v>0</v>
      </c>
      <c r="K455" s="2" t="e">
        <f>'Converted Diagram'!$H$890</f>
        <v>#VALUE!</v>
      </c>
      <c r="L455" s="2" t="s">
        <v>663</v>
      </c>
      <c r="M455" s="2">
        <v>0</v>
      </c>
      <c r="O455" s="2" t="str">
        <f>'Converted Diagram'!$I$890</f>
        <v>Floor</v>
      </c>
      <c r="P455" s="2" t="b">
        <v>0</v>
      </c>
    </row>
    <row r="456" spans="1:16" x14ac:dyDescent="0.3">
      <c r="A456" s="2" t="e">
        <f>'Converted Diagram'!$J$893</f>
        <v>#VALUE!</v>
      </c>
      <c r="B456" s="1" t="s">
        <v>32</v>
      </c>
      <c r="C456" s="2">
        <v>0</v>
      </c>
      <c r="I456" s="2" t="s">
        <v>217</v>
      </c>
      <c r="J456" s="2">
        <f>'Converted Diagram'!$I$893</f>
        <v>0</v>
      </c>
      <c r="K456" s="2" t="e">
        <f>'Converted Diagram'!$I$892</f>
        <v>#VALUE!</v>
      </c>
      <c r="L456" s="2" t="s">
        <v>664</v>
      </c>
      <c r="M456" s="2">
        <v>0</v>
      </c>
      <c r="O456" s="2" t="str">
        <f>'Converted Diagram'!$J$892</f>
        <v>Reduce Commute Time</v>
      </c>
      <c r="P456" s="2" t="b">
        <v>0</v>
      </c>
    </row>
    <row r="457" spans="1:16" x14ac:dyDescent="0.3">
      <c r="A457" s="2" t="e">
        <f>'Converted Diagram'!$K$895</f>
        <v>#VALUE!</v>
      </c>
      <c r="B457" s="1" t="s">
        <v>219</v>
      </c>
      <c r="C457" s="2">
        <v>0</v>
      </c>
      <c r="I457" s="2" t="s">
        <v>217</v>
      </c>
      <c r="J457" s="2">
        <f>'Converted Diagram'!$J$895</f>
        <v>0</v>
      </c>
      <c r="K457" s="2" t="e">
        <f>'Converted Diagram'!$J$894</f>
        <v>#VALUE!</v>
      </c>
      <c r="L457" s="2" t="s">
        <v>665</v>
      </c>
      <c r="M457" s="2">
        <v>0</v>
      </c>
      <c r="O457" s="2" t="str">
        <f>'Converted Diagram'!$K$894</f>
        <v>Reduce overall rent</v>
      </c>
      <c r="P457" s="2" t="b">
        <v>0</v>
      </c>
    </row>
    <row r="458" spans="1:16" x14ac:dyDescent="0.3">
      <c r="A458" s="2" t="e">
        <f>'Converted Diagram'!$L$897</f>
        <v>#VALUE!</v>
      </c>
      <c r="B458" s="1" t="s">
        <v>219</v>
      </c>
      <c r="C458" s="2">
        <v>0</v>
      </c>
      <c r="I458" s="2" t="s">
        <v>217</v>
      </c>
      <c r="J458" s="2">
        <f>'Converted Diagram'!$K$897</f>
        <v>0</v>
      </c>
      <c r="K458" s="2" t="e">
        <f>'Converted Diagram'!$K$896</f>
        <v>#VALUE!</v>
      </c>
      <c r="L458" s="2" t="s">
        <v>666</v>
      </c>
      <c r="M458" s="2">
        <v>0</v>
      </c>
      <c r="O458" s="2" t="str">
        <f>'Converted Diagram'!$L$896</f>
        <v>Increase Overall Convenience</v>
      </c>
      <c r="P458" s="2" t="b">
        <v>0</v>
      </c>
    </row>
    <row r="459" spans="1:16" x14ac:dyDescent="0.3">
      <c r="A459" s="2" t="e">
        <f>'Converted Diagram'!$M$899</f>
        <v>#VALUE!</v>
      </c>
      <c r="B459" s="1" t="s">
        <v>219</v>
      </c>
      <c r="C459" s="2">
        <v>0</v>
      </c>
      <c r="I459" s="2" t="e">
        <v>#VALUE!</v>
      </c>
      <c r="J459" s="2">
        <f>'Converted Diagram'!$L$899</f>
        <v>0</v>
      </c>
      <c r="K459" s="2" t="e">
        <f>'Converted Diagram'!$L$898</f>
        <v>#VALUE!</v>
      </c>
      <c r="L459" s="2" t="s">
        <v>667</v>
      </c>
      <c r="M459" s="2">
        <v>0</v>
      </c>
      <c r="P459" s="2" t="b">
        <v>0</v>
      </c>
    </row>
    <row r="460" spans="1:16" x14ac:dyDescent="0.3">
      <c r="A460" s="2" t="e">
        <f>'Converted Diagram'!$H$901</f>
        <v>#VALUE!</v>
      </c>
      <c r="B460" s="1" t="s">
        <v>31</v>
      </c>
      <c r="C460" s="2">
        <v>0</v>
      </c>
      <c r="I460" s="2" t="s">
        <v>217</v>
      </c>
      <c r="J460" s="2">
        <f>'Converted Diagram'!$G$901</f>
        <v>0</v>
      </c>
      <c r="K460" s="2" t="e">
        <f>'Converted Diagram'!$G$900</f>
        <v>#VALUE!</v>
      </c>
      <c r="L460" s="2" t="s">
        <v>668</v>
      </c>
      <c r="M460" s="2">
        <v>0</v>
      </c>
      <c r="O460" s="2" t="str">
        <f>'Converted Diagram'!$H$900</f>
        <v>Wi-Fi &amp; Cable Ready</v>
      </c>
      <c r="P460" s="2" t="b">
        <v>0</v>
      </c>
    </row>
    <row r="461" spans="1:16" x14ac:dyDescent="0.3">
      <c r="A461" s="2" t="e">
        <f>'Converted Diagram'!$J$903</f>
        <v>#VALUE!</v>
      </c>
      <c r="B461" s="1" t="s">
        <v>31</v>
      </c>
      <c r="C461" s="2">
        <v>0</v>
      </c>
      <c r="I461" s="2" t="s">
        <v>217</v>
      </c>
      <c r="J461" s="2">
        <f>'Converted Diagram'!$I$903</f>
        <v>0</v>
      </c>
      <c r="K461" s="2" t="e">
        <f>'Converted Diagram'!$I$902</f>
        <v>#VALUE!</v>
      </c>
      <c r="L461" s="2" t="s">
        <v>669</v>
      </c>
      <c r="M461" s="2">
        <v>0</v>
      </c>
      <c r="O461" s="2" t="str">
        <f>'Converted Diagram'!$J$902</f>
        <v>Reduce Commute Time</v>
      </c>
      <c r="P461" s="2" t="b">
        <v>0</v>
      </c>
    </row>
    <row r="462" spans="1:16" x14ac:dyDescent="0.3">
      <c r="A462" s="2" t="e">
        <f>'Converted Diagram'!$K$905</f>
        <v>#VALUE!</v>
      </c>
      <c r="B462" s="1" t="s">
        <v>219</v>
      </c>
      <c r="C462" s="2">
        <v>0</v>
      </c>
      <c r="I462" s="2" t="s">
        <v>217</v>
      </c>
      <c r="J462" s="2">
        <f>'Converted Diagram'!$J$905</f>
        <v>0</v>
      </c>
      <c r="K462" s="2" t="e">
        <f>'Converted Diagram'!$J$904</f>
        <v>#VALUE!</v>
      </c>
      <c r="L462" s="2" t="s">
        <v>670</v>
      </c>
      <c r="M462" s="2">
        <v>0</v>
      </c>
      <c r="O462" s="2" t="str">
        <f>'Converted Diagram'!$K$904</f>
        <v>Reduce overall rent</v>
      </c>
      <c r="P462" s="2" t="b">
        <v>0</v>
      </c>
    </row>
    <row r="463" spans="1:16" x14ac:dyDescent="0.3">
      <c r="A463" s="2" t="e">
        <f>'Converted Diagram'!$L$907</f>
        <v>#VALUE!</v>
      </c>
      <c r="B463" s="1" t="s">
        <v>219</v>
      </c>
      <c r="C463" s="2">
        <v>0</v>
      </c>
      <c r="I463" s="2" t="s">
        <v>217</v>
      </c>
      <c r="J463" s="2">
        <f>'Converted Diagram'!$K$907</f>
        <v>0</v>
      </c>
      <c r="K463" s="2" t="e">
        <f>'Converted Diagram'!$K$906</f>
        <v>#VALUE!</v>
      </c>
      <c r="L463" s="2" t="s">
        <v>671</v>
      </c>
      <c r="M463" s="2">
        <v>0</v>
      </c>
      <c r="O463" s="2" t="str">
        <f>'Converted Diagram'!$L$906</f>
        <v>Increase Overall Convenience</v>
      </c>
      <c r="P463" s="2" t="b">
        <v>0</v>
      </c>
    </row>
    <row r="464" spans="1:16" x14ac:dyDescent="0.3">
      <c r="A464" s="2" t="e">
        <f>'Converted Diagram'!$M$909</f>
        <v>#VALUE!</v>
      </c>
      <c r="B464" s="1" t="s">
        <v>219</v>
      </c>
      <c r="C464" s="2">
        <v>0</v>
      </c>
      <c r="I464" s="2" t="e">
        <v>#VALUE!</v>
      </c>
      <c r="J464" s="2">
        <f>'Converted Diagram'!$L$909</f>
        <v>0</v>
      </c>
      <c r="K464" s="2" t="e">
        <f>'Converted Diagram'!$L$908</f>
        <v>#VALUE!</v>
      </c>
      <c r="L464" s="2" t="s">
        <v>672</v>
      </c>
      <c r="M464" s="2">
        <v>0</v>
      </c>
      <c r="P464" s="2" t="b">
        <v>0</v>
      </c>
    </row>
    <row r="465" spans="1:16" x14ac:dyDescent="0.3">
      <c r="A465" s="2" t="e">
        <f>'Converted Diagram'!$I$911</f>
        <v>#VALUE!</v>
      </c>
      <c r="B465" s="1" t="s">
        <v>32</v>
      </c>
      <c r="C465" s="2">
        <v>0</v>
      </c>
      <c r="I465" s="2" t="s">
        <v>217</v>
      </c>
      <c r="J465" s="2">
        <f>'Converted Diagram'!$H$911</f>
        <v>0</v>
      </c>
      <c r="K465" s="2" t="e">
        <f>'Converted Diagram'!$H$910</f>
        <v>#VALUE!</v>
      </c>
      <c r="L465" s="2" t="s">
        <v>673</v>
      </c>
      <c r="M465" s="2">
        <v>0</v>
      </c>
      <c r="O465" s="2" t="str">
        <f>'Converted Diagram'!$I$910</f>
        <v>Floor</v>
      </c>
      <c r="P465" s="2" t="b">
        <v>0</v>
      </c>
    </row>
    <row r="466" spans="1:16" x14ac:dyDescent="0.3">
      <c r="A466" s="2" t="e">
        <f>'Converted Diagram'!$J$913</f>
        <v>#VALUE!</v>
      </c>
      <c r="B466" s="1" t="s">
        <v>32</v>
      </c>
      <c r="C466" s="2">
        <v>0</v>
      </c>
      <c r="I466" s="2" t="s">
        <v>217</v>
      </c>
      <c r="J466" s="2">
        <f>'Converted Diagram'!$I$913</f>
        <v>0</v>
      </c>
      <c r="K466" s="2" t="e">
        <f>'Converted Diagram'!$I$912</f>
        <v>#VALUE!</v>
      </c>
      <c r="L466" s="2" t="s">
        <v>674</v>
      </c>
      <c r="M466" s="2">
        <v>0</v>
      </c>
      <c r="O466" s="2" t="str">
        <f>'Converted Diagram'!$J$912</f>
        <v>Reduce Commute Time</v>
      </c>
      <c r="P466" s="2" t="b">
        <v>0</v>
      </c>
    </row>
    <row r="467" spans="1:16" x14ac:dyDescent="0.3">
      <c r="A467" s="2" t="e">
        <f>'Converted Diagram'!$K$915</f>
        <v>#VALUE!</v>
      </c>
      <c r="B467" s="1" t="s">
        <v>219</v>
      </c>
      <c r="C467" s="2">
        <v>0</v>
      </c>
      <c r="I467" s="2" t="s">
        <v>217</v>
      </c>
      <c r="J467" s="2">
        <f>'Converted Diagram'!$J$915</f>
        <v>0</v>
      </c>
      <c r="K467" s="2" t="e">
        <f>'Converted Diagram'!$J$914</f>
        <v>#VALUE!</v>
      </c>
      <c r="L467" s="2" t="s">
        <v>675</v>
      </c>
      <c r="M467" s="2">
        <v>0</v>
      </c>
      <c r="O467" s="2" t="str">
        <f>'Converted Diagram'!$K$914</f>
        <v>Reduce overall rent</v>
      </c>
      <c r="P467" s="2" t="b">
        <v>0</v>
      </c>
    </row>
    <row r="468" spans="1:16" x14ac:dyDescent="0.3">
      <c r="A468" s="2" t="e">
        <f>'Converted Diagram'!$L$917</f>
        <v>#VALUE!</v>
      </c>
      <c r="B468" s="1" t="s">
        <v>219</v>
      </c>
      <c r="C468" s="2">
        <v>0</v>
      </c>
      <c r="I468" s="2" t="s">
        <v>217</v>
      </c>
      <c r="J468" s="2">
        <f>'Converted Diagram'!$K$917</f>
        <v>0</v>
      </c>
      <c r="K468" s="2" t="e">
        <f>'Converted Diagram'!$K$916</f>
        <v>#VALUE!</v>
      </c>
      <c r="L468" s="2" t="s">
        <v>676</v>
      </c>
      <c r="M468" s="2">
        <v>0</v>
      </c>
      <c r="O468" s="2" t="str">
        <f>'Converted Diagram'!$L$916</f>
        <v>Increase Overall Convenience</v>
      </c>
      <c r="P468" s="2" t="b">
        <v>0</v>
      </c>
    </row>
    <row r="469" spans="1:16" x14ac:dyDescent="0.3">
      <c r="A469" s="2" t="e">
        <f>'Converted Diagram'!$M$919</f>
        <v>#VALUE!</v>
      </c>
      <c r="B469" s="1" t="s">
        <v>219</v>
      </c>
      <c r="C469" s="2">
        <v>0</v>
      </c>
      <c r="I469" s="2" t="e">
        <v>#VALUE!</v>
      </c>
      <c r="J469" s="2">
        <f>'Converted Diagram'!$L$919</f>
        <v>0</v>
      </c>
      <c r="K469" s="2" t="e">
        <f>'Converted Diagram'!$L$918</f>
        <v>#VALUE!</v>
      </c>
      <c r="L469" s="2" t="s">
        <v>677</v>
      </c>
      <c r="M469" s="2">
        <v>0</v>
      </c>
      <c r="P469" s="2" t="b">
        <v>0</v>
      </c>
    </row>
    <row r="470" spans="1:16" x14ac:dyDescent="0.3">
      <c r="A470" s="2" t="e">
        <f>'Converted Diagram'!$G$921</f>
        <v>#VALUE!</v>
      </c>
      <c r="B470" s="1" t="s">
        <v>32</v>
      </c>
      <c r="C470" s="2">
        <v>0</v>
      </c>
      <c r="I470" s="2" t="s">
        <v>217</v>
      </c>
      <c r="J470" s="2">
        <f>'Converted Diagram'!$F$921</f>
        <v>0</v>
      </c>
      <c r="K470" s="2" t="e">
        <f>'Converted Diagram'!$F$920</f>
        <v>#VALUE!</v>
      </c>
      <c r="L470" s="2" t="s">
        <v>678</v>
      </c>
      <c r="M470" s="2">
        <v>0</v>
      </c>
      <c r="O470" s="2" t="str">
        <f>'Converted Diagram'!$G$920</f>
        <v>Grocery Store</v>
      </c>
      <c r="P470" s="2" t="b">
        <v>0</v>
      </c>
    </row>
    <row r="471" spans="1:16" x14ac:dyDescent="0.3">
      <c r="A471" s="2" t="e">
        <f>'Converted Diagram'!$J$923</f>
        <v>#VALUE!</v>
      </c>
      <c r="B471" s="1" t="s">
        <v>31</v>
      </c>
      <c r="C471" s="2">
        <v>0</v>
      </c>
      <c r="I471" s="2" t="s">
        <v>217</v>
      </c>
      <c r="J471" s="2">
        <f>'Converted Diagram'!$I$923</f>
        <v>0</v>
      </c>
      <c r="K471" s="2" t="e">
        <f>'Converted Diagram'!$I$922</f>
        <v>#VALUE!</v>
      </c>
      <c r="L471" s="2" t="s">
        <v>679</v>
      </c>
      <c r="M471" s="2">
        <v>0</v>
      </c>
      <c r="O471" s="2" t="str">
        <f>'Converted Diagram'!$J$922</f>
        <v>Reduce Commute Time</v>
      </c>
      <c r="P471" s="2" t="b">
        <v>0</v>
      </c>
    </row>
    <row r="472" spans="1:16" x14ac:dyDescent="0.3">
      <c r="A472" s="2" t="e">
        <f>'Converted Diagram'!$K$925</f>
        <v>#VALUE!</v>
      </c>
      <c r="B472" s="1" t="s">
        <v>219</v>
      </c>
      <c r="C472" s="2">
        <v>0</v>
      </c>
      <c r="I472" s="2" t="s">
        <v>217</v>
      </c>
      <c r="J472" s="2">
        <f>'Converted Diagram'!$J$925</f>
        <v>0</v>
      </c>
      <c r="K472" s="2" t="e">
        <f>'Converted Diagram'!$J$924</f>
        <v>#VALUE!</v>
      </c>
      <c r="L472" s="2" t="s">
        <v>680</v>
      </c>
      <c r="M472" s="2">
        <v>0</v>
      </c>
      <c r="O472" s="2" t="str">
        <f>'Converted Diagram'!$K$924</f>
        <v>Reduce overall rent</v>
      </c>
      <c r="P472" s="2" t="b">
        <v>0</v>
      </c>
    </row>
    <row r="473" spans="1:16" x14ac:dyDescent="0.3">
      <c r="A473" s="2" t="e">
        <f>'Converted Diagram'!$L$927</f>
        <v>#VALUE!</v>
      </c>
      <c r="B473" s="1" t="s">
        <v>219</v>
      </c>
      <c r="C473" s="2">
        <v>0</v>
      </c>
      <c r="I473" s="2" t="s">
        <v>217</v>
      </c>
      <c r="J473" s="2">
        <f>'Converted Diagram'!$K$927</f>
        <v>0</v>
      </c>
      <c r="K473" s="2" t="e">
        <f>'Converted Diagram'!$K$926</f>
        <v>#VALUE!</v>
      </c>
      <c r="L473" s="2" t="s">
        <v>681</v>
      </c>
      <c r="M473" s="2">
        <v>0</v>
      </c>
      <c r="O473" s="2" t="str">
        <f>'Converted Diagram'!$L$926</f>
        <v>Increase Overall Convenience</v>
      </c>
      <c r="P473" s="2" t="b">
        <v>0</v>
      </c>
    </row>
    <row r="474" spans="1:16" x14ac:dyDescent="0.3">
      <c r="A474" s="2" t="e">
        <f>'Converted Diagram'!$M$929</f>
        <v>#VALUE!</v>
      </c>
      <c r="B474" s="1" t="s">
        <v>219</v>
      </c>
      <c r="C474" s="2">
        <v>0</v>
      </c>
      <c r="I474" s="2" t="e">
        <v>#VALUE!</v>
      </c>
      <c r="J474" s="2">
        <f>'Converted Diagram'!$L$929</f>
        <v>0</v>
      </c>
      <c r="K474" s="2" t="e">
        <f>'Converted Diagram'!$L$928</f>
        <v>#VALUE!</v>
      </c>
      <c r="L474" s="2" t="s">
        <v>682</v>
      </c>
      <c r="M474" s="2">
        <v>0</v>
      </c>
      <c r="P474" s="2" t="b">
        <v>0</v>
      </c>
    </row>
    <row r="475" spans="1:16" x14ac:dyDescent="0.3">
      <c r="A475" s="2" t="e">
        <f>'Converted Diagram'!$I$931</f>
        <v>#VALUE!</v>
      </c>
      <c r="B475" s="1" t="s">
        <v>31</v>
      </c>
      <c r="C475" s="2">
        <v>0</v>
      </c>
      <c r="I475" s="2" t="s">
        <v>217</v>
      </c>
      <c r="J475" s="2">
        <f>'Converted Diagram'!$H$931</f>
        <v>0</v>
      </c>
      <c r="K475" s="2" t="e">
        <f>'Converted Diagram'!$H$930</f>
        <v>#VALUE!</v>
      </c>
      <c r="L475" s="2" t="s">
        <v>683</v>
      </c>
      <c r="M475" s="2">
        <v>0</v>
      </c>
      <c r="O475" s="2" t="str">
        <f>'Converted Diagram'!$I$930</f>
        <v>Floor</v>
      </c>
      <c r="P475" s="2" t="b">
        <v>0</v>
      </c>
    </row>
    <row r="476" spans="1:16" x14ac:dyDescent="0.3">
      <c r="A476" s="2" t="e">
        <f>'Converted Diagram'!$J$933</f>
        <v>#VALUE!</v>
      </c>
      <c r="B476" s="1" t="s">
        <v>32</v>
      </c>
      <c r="C476" s="2">
        <v>0</v>
      </c>
      <c r="I476" s="2" t="s">
        <v>217</v>
      </c>
      <c r="J476" s="2">
        <f>'Converted Diagram'!$I$933</f>
        <v>0</v>
      </c>
      <c r="K476" s="2" t="e">
        <f>'Converted Diagram'!$I$932</f>
        <v>#VALUE!</v>
      </c>
      <c r="L476" s="2" t="s">
        <v>684</v>
      </c>
      <c r="M476" s="2">
        <v>0</v>
      </c>
      <c r="O476" s="2" t="str">
        <f>'Converted Diagram'!$J$932</f>
        <v>Reduce Commute Time</v>
      </c>
      <c r="P476" s="2" t="b">
        <v>0</v>
      </c>
    </row>
    <row r="477" spans="1:16" x14ac:dyDescent="0.3">
      <c r="A477" s="2" t="e">
        <f>'Converted Diagram'!$K$935</f>
        <v>#VALUE!</v>
      </c>
      <c r="B477" s="1" t="s">
        <v>219</v>
      </c>
      <c r="C477" s="2">
        <v>0</v>
      </c>
      <c r="I477" s="2" t="s">
        <v>217</v>
      </c>
      <c r="J477" s="2">
        <f>'Converted Diagram'!$J$935</f>
        <v>0</v>
      </c>
      <c r="K477" s="2" t="e">
        <f>'Converted Diagram'!$J$934</f>
        <v>#VALUE!</v>
      </c>
      <c r="L477" s="2" t="s">
        <v>685</v>
      </c>
      <c r="M477" s="2">
        <v>0</v>
      </c>
      <c r="O477" s="2" t="str">
        <f>'Converted Diagram'!$K$934</f>
        <v>Reduce overall rent</v>
      </c>
      <c r="P477" s="2" t="b">
        <v>0</v>
      </c>
    </row>
    <row r="478" spans="1:16" x14ac:dyDescent="0.3">
      <c r="A478" s="2" t="e">
        <f>'Converted Diagram'!$L$937</f>
        <v>#VALUE!</v>
      </c>
      <c r="B478" s="1" t="s">
        <v>219</v>
      </c>
      <c r="C478" s="2">
        <v>0</v>
      </c>
      <c r="I478" s="2" t="s">
        <v>217</v>
      </c>
      <c r="J478" s="2">
        <f>'Converted Diagram'!$K$937</f>
        <v>0</v>
      </c>
      <c r="K478" s="2" t="e">
        <f>'Converted Diagram'!$K$936</f>
        <v>#VALUE!</v>
      </c>
      <c r="L478" s="2" t="s">
        <v>686</v>
      </c>
      <c r="M478" s="2">
        <v>0</v>
      </c>
      <c r="O478" s="2" t="str">
        <f>'Converted Diagram'!$L$936</f>
        <v>Increase Overall Convenience</v>
      </c>
      <c r="P478" s="2" t="b">
        <v>0</v>
      </c>
    </row>
    <row r="479" spans="1:16" x14ac:dyDescent="0.3">
      <c r="A479" s="2" t="e">
        <f>'Converted Diagram'!$M$939</f>
        <v>#VALUE!</v>
      </c>
      <c r="B479" s="1" t="s">
        <v>219</v>
      </c>
      <c r="C479" s="2">
        <v>0</v>
      </c>
      <c r="I479" s="2" t="e">
        <v>#VALUE!</v>
      </c>
      <c r="J479" s="2">
        <f>'Converted Diagram'!$L$939</f>
        <v>0</v>
      </c>
      <c r="K479" s="2" t="e">
        <f>'Converted Diagram'!$L$938</f>
        <v>#VALUE!</v>
      </c>
      <c r="L479" s="2" t="s">
        <v>687</v>
      </c>
      <c r="M479" s="2">
        <v>0</v>
      </c>
      <c r="P479" s="2" t="b">
        <v>0</v>
      </c>
    </row>
    <row r="480" spans="1:16" x14ac:dyDescent="0.3">
      <c r="A480" s="2" t="e">
        <f>'Converted Diagram'!$H$941</f>
        <v>#VALUE!</v>
      </c>
      <c r="B480" s="1" t="s">
        <v>32</v>
      </c>
      <c r="C480" s="2">
        <v>0</v>
      </c>
      <c r="I480" s="2" t="s">
        <v>217</v>
      </c>
      <c r="J480" s="2">
        <f>'Converted Diagram'!$G$941</f>
        <v>0</v>
      </c>
      <c r="K480" s="2" t="e">
        <f>'Converted Diagram'!$G$940</f>
        <v>#VALUE!</v>
      </c>
      <c r="L480" s="2" t="s">
        <v>688</v>
      </c>
      <c r="M480" s="2">
        <v>0</v>
      </c>
      <c r="O480" s="2" t="str">
        <f>'Converted Diagram'!$H$940</f>
        <v>Wi-Fi &amp; Cable Ready</v>
      </c>
      <c r="P480" s="2" t="b">
        <v>0</v>
      </c>
    </row>
    <row r="481" spans="1:16" x14ac:dyDescent="0.3">
      <c r="A481" s="2" t="e">
        <f>'Converted Diagram'!$J$943</f>
        <v>#VALUE!</v>
      </c>
      <c r="B481" s="1" t="s">
        <v>31</v>
      </c>
      <c r="C481" s="2">
        <v>0</v>
      </c>
      <c r="I481" s="2" t="s">
        <v>217</v>
      </c>
      <c r="J481" s="2">
        <f>'Converted Diagram'!$I$943</f>
        <v>0</v>
      </c>
      <c r="K481" s="2" t="e">
        <f>'Converted Diagram'!$I$942</f>
        <v>#VALUE!</v>
      </c>
      <c r="L481" s="2" t="s">
        <v>689</v>
      </c>
      <c r="M481" s="2">
        <v>0</v>
      </c>
      <c r="O481" s="2" t="str">
        <f>'Converted Diagram'!$J$942</f>
        <v>Reduce Commute Time</v>
      </c>
      <c r="P481" s="2" t="b">
        <v>0</v>
      </c>
    </row>
    <row r="482" spans="1:16" x14ac:dyDescent="0.3">
      <c r="A482" s="2" t="e">
        <f>'Converted Diagram'!$K$945</f>
        <v>#VALUE!</v>
      </c>
      <c r="B482" s="1" t="s">
        <v>219</v>
      </c>
      <c r="C482" s="2">
        <v>0</v>
      </c>
      <c r="I482" s="2" t="s">
        <v>217</v>
      </c>
      <c r="J482" s="2">
        <f>'Converted Diagram'!$J$945</f>
        <v>0</v>
      </c>
      <c r="K482" s="2" t="e">
        <f>'Converted Diagram'!$J$944</f>
        <v>#VALUE!</v>
      </c>
      <c r="L482" s="2" t="s">
        <v>690</v>
      </c>
      <c r="M482" s="2">
        <v>0</v>
      </c>
      <c r="O482" s="2" t="str">
        <f>'Converted Diagram'!$K$944</f>
        <v>Reduce overall rent</v>
      </c>
      <c r="P482" s="2" t="b">
        <v>0</v>
      </c>
    </row>
    <row r="483" spans="1:16" x14ac:dyDescent="0.3">
      <c r="A483" s="2" t="e">
        <f>'Converted Diagram'!$L$947</f>
        <v>#VALUE!</v>
      </c>
      <c r="B483" s="1" t="s">
        <v>219</v>
      </c>
      <c r="C483" s="2">
        <v>0</v>
      </c>
      <c r="I483" s="2" t="s">
        <v>217</v>
      </c>
      <c r="J483" s="2">
        <f>'Converted Diagram'!$K$947</f>
        <v>0</v>
      </c>
      <c r="K483" s="2" t="e">
        <f>'Converted Diagram'!$K$946</f>
        <v>#VALUE!</v>
      </c>
      <c r="L483" s="2" t="s">
        <v>691</v>
      </c>
      <c r="M483" s="2">
        <v>0</v>
      </c>
      <c r="O483" s="2" t="str">
        <f>'Converted Diagram'!$L$946</f>
        <v>Increase Overall Convenience</v>
      </c>
      <c r="P483" s="2" t="b">
        <v>0</v>
      </c>
    </row>
    <row r="484" spans="1:16" x14ac:dyDescent="0.3">
      <c r="A484" s="2" t="e">
        <f>'Converted Diagram'!$M$949</f>
        <v>#VALUE!</v>
      </c>
      <c r="B484" s="1" t="s">
        <v>219</v>
      </c>
      <c r="C484" s="2">
        <v>0</v>
      </c>
      <c r="I484" s="2" t="e">
        <v>#VALUE!</v>
      </c>
      <c r="J484" s="2">
        <f>'Converted Diagram'!$L$949</f>
        <v>0</v>
      </c>
      <c r="K484" s="2" t="e">
        <f>'Converted Diagram'!$L$948</f>
        <v>#VALUE!</v>
      </c>
      <c r="L484" s="2" t="s">
        <v>692</v>
      </c>
      <c r="M484" s="2">
        <v>0</v>
      </c>
      <c r="P484" s="2" t="b">
        <v>0</v>
      </c>
    </row>
    <row r="485" spans="1:16" x14ac:dyDescent="0.3">
      <c r="A485" s="2" t="e">
        <f>'Converted Diagram'!$I$951</f>
        <v>#VALUE!</v>
      </c>
      <c r="B485" s="1" t="s">
        <v>32</v>
      </c>
      <c r="C485" s="2">
        <v>0</v>
      </c>
      <c r="I485" s="2" t="s">
        <v>217</v>
      </c>
      <c r="J485" s="2">
        <f>'Converted Diagram'!$H$951</f>
        <v>0</v>
      </c>
      <c r="K485" s="2" t="e">
        <f>'Converted Diagram'!$H$950</f>
        <v>#VALUE!</v>
      </c>
      <c r="L485" s="2" t="s">
        <v>693</v>
      </c>
      <c r="M485" s="2">
        <v>0</v>
      </c>
      <c r="O485" s="2" t="str">
        <f>'Converted Diagram'!$I$950</f>
        <v>Floor</v>
      </c>
      <c r="P485" s="2" t="b">
        <v>0</v>
      </c>
    </row>
    <row r="486" spans="1:16" x14ac:dyDescent="0.3">
      <c r="A486" s="2" t="e">
        <f>'Converted Diagram'!$J$953</f>
        <v>#VALUE!</v>
      </c>
      <c r="B486" s="1" t="s">
        <v>32</v>
      </c>
      <c r="C486" s="2">
        <v>0</v>
      </c>
      <c r="I486" s="2" t="s">
        <v>217</v>
      </c>
      <c r="J486" s="2">
        <f>'Converted Diagram'!$I$953</f>
        <v>0</v>
      </c>
      <c r="K486" s="2" t="e">
        <f>'Converted Diagram'!$I$952</f>
        <v>#VALUE!</v>
      </c>
      <c r="L486" s="2" t="s">
        <v>694</v>
      </c>
      <c r="M486" s="2">
        <v>0</v>
      </c>
      <c r="O486" s="2" t="str">
        <f>'Converted Diagram'!$J$952</f>
        <v>Reduce Commute Time</v>
      </c>
      <c r="P486" s="2" t="b">
        <v>0</v>
      </c>
    </row>
    <row r="487" spans="1:16" x14ac:dyDescent="0.3">
      <c r="A487" s="2" t="e">
        <f>'Converted Diagram'!$K$955</f>
        <v>#VALUE!</v>
      </c>
      <c r="B487" s="1" t="s">
        <v>219</v>
      </c>
      <c r="C487" s="2">
        <v>0</v>
      </c>
      <c r="I487" s="2" t="s">
        <v>217</v>
      </c>
      <c r="J487" s="2">
        <f>'Converted Diagram'!$J$955</f>
        <v>0</v>
      </c>
      <c r="K487" s="2" t="e">
        <f>'Converted Diagram'!$J$954</f>
        <v>#VALUE!</v>
      </c>
      <c r="L487" s="2" t="s">
        <v>695</v>
      </c>
      <c r="M487" s="2">
        <v>0</v>
      </c>
      <c r="O487" s="2" t="str">
        <f>'Converted Diagram'!$K$954</f>
        <v>Reduce overall rent</v>
      </c>
      <c r="P487" s="2" t="b">
        <v>0</v>
      </c>
    </row>
    <row r="488" spans="1:16" x14ac:dyDescent="0.3">
      <c r="A488" s="2" t="e">
        <f>'Converted Diagram'!$L$957</f>
        <v>#VALUE!</v>
      </c>
      <c r="B488" s="1" t="s">
        <v>219</v>
      </c>
      <c r="C488" s="2">
        <v>0</v>
      </c>
      <c r="I488" s="2" t="s">
        <v>217</v>
      </c>
      <c r="J488" s="2">
        <f>'Converted Diagram'!$K$957</f>
        <v>0</v>
      </c>
      <c r="K488" s="2" t="e">
        <f>'Converted Diagram'!$K$956</f>
        <v>#VALUE!</v>
      </c>
      <c r="L488" s="2" t="s">
        <v>696</v>
      </c>
      <c r="M488" s="2">
        <v>0</v>
      </c>
      <c r="O488" s="2" t="str">
        <f>'Converted Diagram'!$L$956</f>
        <v>Increase Overall Convenience</v>
      </c>
      <c r="P488" s="2" t="b">
        <v>0</v>
      </c>
    </row>
    <row r="489" spans="1:16" x14ac:dyDescent="0.3">
      <c r="A489" s="2" t="e">
        <f>'Converted Diagram'!$M$959</f>
        <v>#VALUE!</v>
      </c>
      <c r="B489" s="1" t="s">
        <v>219</v>
      </c>
      <c r="C489" s="2">
        <v>0</v>
      </c>
      <c r="I489" s="2" t="e">
        <v>#VALUE!</v>
      </c>
      <c r="J489" s="2">
        <f>'Converted Diagram'!$L$959</f>
        <v>0</v>
      </c>
      <c r="K489" s="2" t="e">
        <f>'Converted Diagram'!$L$958</f>
        <v>#VALUE!</v>
      </c>
      <c r="L489" s="2" t="s">
        <v>697</v>
      </c>
      <c r="M489" s="2">
        <v>0</v>
      </c>
      <c r="P489" s="2" t="b">
        <v>0</v>
      </c>
    </row>
    <row r="490" spans="1:16" x14ac:dyDescent="0.3">
      <c r="A490" s="2" t="e">
        <f>'Converted Diagram'!$D$961</f>
        <v>#VALUE!</v>
      </c>
      <c r="B490" s="1" t="s">
        <v>32</v>
      </c>
      <c r="C490" s="2">
        <v>0</v>
      </c>
      <c r="I490" s="2" t="s">
        <v>217</v>
      </c>
      <c r="J490" s="2">
        <f>'Converted Diagram'!$C$961</f>
        <v>0</v>
      </c>
      <c r="L490" s="2" t="s">
        <v>698</v>
      </c>
      <c r="M490" s="2">
        <v>0</v>
      </c>
      <c r="O490" s="2" t="str">
        <f>'Converted Diagram'!$D$960</f>
        <v>Number of Rooms and Restrooms</v>
      </c>
      <c r="P490" s="2" t="b">
        <v>0</v>
      </c>
    </row>
    <row r="491" spans="1:16" x14ac:dyDescent="0.3">
      <c r="A491" s="2" t="e">
        <f>'Converted Diagram'!$J$963</f>
        <v>#VALUE!</v>
      </c>
      <c r="B491" s="1" t="s">
        <v>31</v>
      </c>
      <c r="C491" s="2">
        <v>0</v>
      </c>
      <c r="I491" s="2" t="s">
        <v>217</v>
      </c>
      <c r="J491" s="2">
        <f>'Converted Diagram'!$I$963</f>
        <v>0</v>
      </c>
      <c r="K491" s="2" t="e">
        <f>'Converted Diagram'!$I$962</f>
        <v>#VALUE!</v>
      </c>
      <c r="L491" s="2" t="s">
        <v>699</v>
      </c>
      <c r="M491" s="2">
        <v>0</v>
      </c>
      <c r="O491" s="2" t="str">
        <f>'Converted Diagram'!$J$962</f>
        <v>Reduce Commute Time</v>
      </c>
      <c r="P491" s="2" t="b">
        <v>0</v>
      </c>
    </row>
    <row r="492" spans="1:16" x14ac:dyDescent="0.3">
      <c r="A492" s="2" t="e">
        <f>'Converted Diagram'!$K$965</f>
        <v>#VALUE!</v>
      </c>
      <c r="B492" s="1" t="s">
        <v>219</v>
      </c>
      <c r="C492" s="2">
        <v>0</v>
      </c>
      <c r="I492" s="2" t="s">
        <v>217</v>
      </c>
      <c r="J492" s="2">
        <f>'Converted Diagram'!$J$965</f>
        <v>0</v>
      </c>
      <c r="K492" s="2" t="e">
        <f>'Converted Diagram'!$J$964</f>
        <v>#VALUE!</v>
      </c>
      <c r="L492" s="2" t="s">
        <v>700</v>
      </c>
      <c r="M492" s="2">
        <v>0</v>
      </c>
      <c r="O492" s="2" t="str">
        <f>'Converted Diagram'!$K$964</f>
        <v>Reduce overall rent</v>
      </c>
      <c r="P492" s="2" t="b">
        <v>0</v>
      </c>
    </row>
    <row r="493" spans="1:16" x14ac:dyDescent="0.3">
      <c r="A493" s="2" t="e">
        <f>'Converted Diagram'!$L$967</f>
        <v>#VALUE!</v>
      </c>
      <c r="B493" s="1" t="s">
        <v>219</v>
      </c>
      <c r="C493" s="2">
        <v>0</v>
      </c>
      <c r="I493" s="2" t="s">
        <v>217</v>
      </c>
      <c r="J493" s="2">
        <f>'Converted Diagram'!$K$967</f>
        <v>0</v>
      </c>
      <c r="K493" s="2" t="e">
        <f>'Converted Diagram'!$K$966</f>
        <v>#VALUE!</v>
      </c>
      <c r="L493" s="2" t="s">
        <v>701</v>
      </c>
      <c r="M493" s="2">
        <v>0</v>
      </c>
      <c r="O493" s="2" t="str">
        <f>'Converted Diagram'!$L$966</f>
        <v>Increase Overall Convenience</v>
      </c>
      <c r="P493" s="2" t="b">
        <v>0</v>
      </c>
    </row>
    <row r="494" spans="1:16" x14ac:dyDescent="0.3">
      <c r="A494" s="2" t="e">
        <f>'Converted Diagram'!$M$969</f>
        <v>#VALUE!</v>
      </c>
      <c r="B494" s="1" t="s">
        <v>219</v>
      </c>
      <c r="C494" s="2">
        <v>0</v>
      </c>
      <c r="I494" s="2" t="e">
        <v>#VALUE!</v>
      </c>
      <c r="J494" s="2">
        <f>'Converted Diagram'!$L$969</f>
        <v>0</v>
      </c>
      <c r="K494" s="2" t="e">
        <f>'Converted Diagram'!$L$968</f>
        <v>#VALUE!</v>
      </c>
      <c r="L494" s="2" t="s">
        <v>702</v>
      </c>
      <c r="M494" s="2">
        <v>0</v>
      </c>
      <c r="P494" s="2" t="b">
        <v>0</v>
      </c>
    </row>
    <row r="495" spans="1:16" x14ac:dyDescent="0.3">
      <c r="A495" s="2" t="e">
        <f>'Converted Diagram'!$I$971</f>
        <v>#VALUE!</v>
      </c>
      <c r="B495" s="1" t="s">
        <v>31</v>
      </c>
      <c r="C495" s="2">
        <v>0</v>
      </c>
      <c r="I495" s="2" t="s">
        <v>217</v>
      </c>
      <c r="J495" s="2">
        <f>'Converted Diagram'!$H$971</f>
        <v>0</v>
      </c>
      <c r="K495" s="2" t="e">
        <f>'Converted Diagram'!$H$970</f>
        <v>#VALUE!</v>
      </c>
      <c r="L495" s="2" t="s">
        <v>703</v>
      </c>
      <c r="M495" s="2">
        <v>0</v>
      </c>
      <c r="O495" s="2" t="str">
        <f>'Converted Diagram'!$I$970</f>
        <v>Floor</v>
      </c>
      <c r="P495" s="2" t="b">
        <v>0</v>
      </c>
    </row>
    <row r="496" spans="1:16" x14ac:dyDescent="0.3">
      <c r="A496" s="2" t="e">
        <f>'Converted Diagram'!$J$973</f>
        <v>#VALUE!</v>
      </c>
      <c r="B496" s="1" t="s">
        <v>32</v>
      </c>
      <c r="C496" s="2">
        <v>0</v>
      </c>
      <c r="I496" s="2" t="s">
        <v>217</v>
      </c>
      <c r="J496" s="2">
        <f>'Converted Diagram'!$I$973</f>
        <v>0</v>
      </c>
      <c r="K496" s="2" t="e">
        <f>'Converted Diagram'!$I$972</f>
        <v>#VALUE!</v>
      </c>
      <c r="L496" s="2" t="s">
        <v>704</v>
      </c>
      <c r="M496" s="2">
        <v>0</v>
      </c>
      <c r="O496" s="2" t="str">
        <f>'Converted Diagram'!$J$972</f>
        <v>Reduce Commute Time</v>
      </c>
      <c r="P496" s="2" t="b">
        <v>0</v>
      </c>
    </row>
    <row r="497" spans="1:16" x14ac:dyDescent="0.3">
      <c r="A497" s="2" t="e">
        <f>'Converted Diagram'!$K$975</f>
        <v>#VALUE!</v>
      </c>
      <c r="B497" s="1" t="s">
        <v>219</v>
      </c>
      <c r="C497" s="2">
        <v>0</v>
      </c>
      <c r="I497" s="2" t="s">
        <v>217</v>
      </c>
      <c r="J497" s="2">
        <f>'Converted Diagram'!$J$975</f>
        <v>0</v>
      </c>
      <c r="K497" s="2" t="e">
        <f>'Converted Diagram'!$J$974</f>
        <v>#VALUE!</v>
      </c>
      <c r="L497" s="2" t="s">
        <v>705</v>
      </c>
      <c r="M497" s="2">
        <v>0</v>
      </c>
      <c r="O497" s="2" t="str">
        <f>'Converted Diagram'!$K$974</f>
        <v>Reduce overall rent</v>
      </c>
      <c r="P497" s="2" t="b">
        <v>0</v>
      </c>
    </row>
    <row r="498" spans="1:16" x14ac:dyDescent="0.3">
      <c r="A498" s="2" t="e">
        <f>'Converted Diagram'!$L$977</f>
        <v>#VALUE!</v>
      </c>
      <c r="B498" s="1" t="s">
        <v>219</v>
      </c>
      <c r="C498" s="2">
        <v>0</v>
      </c>
      <c r="I498" s="2" t="s">
        <v>217</v>
      </c>
      <c r="J498" s="2">
        <f>'Converted Diagram'!$K$977</f>
        <v>0</v>
      </c>
      <c r="K498" s="2" t="e">
        <f>'Converted Diagram'!$K$976</f>
        <v>#VALUE!</v>
      </c>
      <c r="L498" s="2" t="s">
        <v>706</v>
      </c>
      <c r="M498" s="2">
        <v>0</v>
      </c>
      <c r="O498" s="2" t="str">
        <f>'Converted Diagram'!$L$976</f>
        <v>Increase Overall Convenience</v>
      </c>
      <c r="P498" s="2" t="b">
        <v>0</v>
      </c>
    </row>
    <row r="499" spans="1:16" x14ac:dyDescent="0.3">
      <c r="A499" s="2" t="e">
        <f>'Converted Diagram'!$M$979</f>
        <v>#VALUE!</v>
      </c>
      <c r="B499" s="1" t="s">
        <v>219</v>
      </c>
      <c r="C499" s="2">
        <v>0</v>
      </c>
      <c r="I499" s="2" t="e">
        <v>#VALUE!</v>
      </c>
      <c r="J499" s="2">
        <f>'Converted Diagram'!$L$979</f>
        <v>0</v>
      </c>
      <c r="K499" s="2" t="e">
        <f>'Converted Diagram'!$L$978</f>
        <v>#VALUE!</v>
      </c>
      <c r="L499" s="2" t="s">
        <v>707</v>
      </c>
      <c r="M499" s="2">
        <v>0</v>
      </c>
      <c r="P499" s="2" t="b">
        <v>0</v>
      </c>
    </row>
    <row r="500" spans="1:16" x14ac:dyDescent="0.3">
      <c r="A500" s="2" t="e">
        <f>'Converted Diagram'!$H$981</f>
        <v>#VALUE!</v>
      </c>
      <c r="B500" s="1" t="s">
        <v>31</v>
      </c>
      <c r="C500" s="2">
        <v>0</v>
      </c>
      <c r="I500" s="2" t="s">
        <v>217</v>
      </c>
      <c r="J500" s="2">
        <f>'Converted Diagram'!$G$981</f>
        <v>0</v>
      </c>
      <c r="K500" s="2" t="e">
        <f>'Converted Diagram'!$G$980</f>
        <v>#VALUE!</v>
      </c>
      <c r="L500" s="2" t="s">
        <v>708</v>
      </c>
      <c r="M500" s="2">
        <v>0</v>
      </c>
      <c r="O500" s="2" t="str">
        <f>'Converted Diagram'!$H$980</f>
        <v>Wi-Fi &amp; Cable Ready</v>
      </c>
      <c r="P500" s="2" t="b">
        <v>0</v>
      </c>
    </row>
    <row r="501" spans="1:16" x14ac:dyDescent="0.3">
      <c r="A501" s="2" t="e">
        <f>'Converted Diagram'!$J$983</f>
        <v>#VALUE!</v>
      </c>
      <c r="B501" s="1" t="s">
        <v>31</v>
      </c>
      <c r="C501" s="2">
        <v>0</v>
      </c>
      <c r="I501" s="2" t="s">
        <v>217</v>
      </c>
      <c r="J501" s="2">
        <f>'Converted Diagram'!$I$983</f>
        <v>0</v>
      </c>
      <c r="K501" s="2" t="e">
        <f>'Converted Diagram'!$I$982</f>
        <v>#VALUE!</v>
      </c>
      <c r="L501" s="2" t="s">
        <v>709</v>
      </c>
      <c r="M501" s="2">
        <v>0</v>
      </c>
      <c r="O501" s="2" t="str">
        <f>'Converted Diagram'!$J$982</f>
        <v>Reduce Commute Time</v>
      </c>
      <c r="P501" s="2" t="b">
        <v>0</v>
      </c>
    </row>
    <row r="502" spans="1:16" x14ac:dyDescent="0.3">
      <c r="A502" s="2" t="e">
        <f>'Converted Diagram'!$K$985</f>
        <v>#VALUE!</v>
      </c>
      <c r="B502" s="1" t="s">
        <v>219</v>
      </c>
      <c r="C502" s="2">
        <v>0</v>
      </c>
      <c r="I502" s="2" t="s">
        <v>217</v>
      </c>
      <c r="J502" s="2">
        <f>'Converted Diagram'!$J$985</f>
        <v>0</v>
      </c>
      <c r="K502" s="2" t="e">
        <f>'Converted Diagram'!$J$984</f>
        <v>#VALUE!</v>
      </c>
      <c r="L502" s="2" t="s">
        <v>710</v>
      </c>
      <c r="M502" s="2">
        <v>0</v>
      </c>
      <c r="O502" s="2" t="str">
        <f>'Converted Diagram'!$K$984</f>
        <v>Reduce overall rent</v>
      </c>
      <c r="P502" s="2" t="b">
        <v>0</v>
      </c>
    </row>
    <row r="503" spans="1:16" x14ac:dyDescent="0.3">
      <c r="A503" s="2" t="e">
        <f>'Converted Diagram'!$L$987</f>
        <v>#VALUE!</v>
      </c>
      <c r="B503" s="1" t="s">
        <v>219</v>
      </c>
      <c r="C503" s="2">
        <v>0</v>
      </c>
      <c r="I503" s="2" t="s">
        <v>217</v>
      </c>
      <c r="J503" s="2">
        <f>'Converted Diagram'!$K$987</f>
        <v>0</v>
      </c>
      <c r="K503" s="2" t="e">
        <f>'Converted Diagram'!$K$986</f>
        <v>#VALUE!</v>
      </c>
      <c r="L503" s="2" t="s">
        <v>711</v>
      </c>
      <c r="M503" s="2">
        <v>0</v>
      </c>
      <c r="O503" s="2" t="str">
        <f>'Converted Diagram'!$L$986</f>
        <v>Increase Overall Convenience</v>
      </c>
      <c r="P503" s="2" t="b">
        <v>0</v>
      </c>
    </row>
    <row r="504" spans="1:16" x14ac:dyDescent="0.3">
      <c r="A504" s="2" t="e">
        <f>'Converted Diagram'!$M$989</f>
        <v>#VALUE!</v>
      </c>
      <c r="B504" s="1" t="s">
        <v>219</v>
      </c>
      <c r="C504" s="2">
        <v>0</v>
      </c>
      <c r="I504" s="2" t="e">
        <v>#VALUE!</v>
      </c>
      <c r="J504" s="2">
        <f>'Converted Diagram'!$L$989</f>
        <v>0</v>
      </c>
      <c r="K504" s="2" t="e">
        <f>'Converted Diagram'!$L$988</f>
        <v>#VALUE!</v>
      </c>
      <c r="L504" s="2" t="s">
        <v>712</v>
      </c>
      <c r="M504" s="2">
        <v>0</v>
      </c>
      <c r="P504" s="2" t="b">
        <v>0</v>
      </c>
    </row>
    <row r="505" spans="1:16" x14ac:dyDescent="0.3">
      <c r="A505" s="2" t="e">
        <f>'Converted Diagram'!$I$991</f>
        <v>#VALUE!</v>
      </c>
      <c r="B505" s="1" t="s">
        <v>32</v>
      </c>
      <c r="C505" s="2">
        <v>0</v>
      </c>
      <c r="I505" s="2" t="s">
        <v>217</v>
      </c>
      <c r="J505" s="2">
        <f>'Converted Diagram'!$H$991</f>
        <v>0</v>
      </c>
      <c r="K505" s="2" t="e">
        <f>'Converted Diagram'!$H$990</f>
        <v>#VALUE!</v>
      </c>
      <c r="L505" s="2" t="s">
        <v>713</v>
      </c>
      <c r="M505" s="2">
        <v>0</v>
      </c>
      <c r="O505" s="2" t="str">
        <f>'Converted Diagram'!$I$990</f>
        <v>Floor</v>
      </c>
      <c r="P505" s="2" t="b">
        <v>0</v>
      </c>
    </row>
    <row r="506" spans="1:16" x14ac:dyDescent="0.3">
      <c r="A506" s="2" t="e">
        <f>'Converted Diagram'!$J$993</f>
        <v>#VALUE!</v>
      </c>
      <c r="B506" s="1" t="s">
        <v>32</v>
      </c>
      <c r="C506" s="2">
        <v>0</v>
      </c>
      <c r="I506" s="2" t="s">
        <v>217</v>
      </c>
      <c r="J506" s="2">
        <f>'Converted Diagram'!$I$993</f>
        <v>0</v>
      </c>
      <c r="K506" s="2" t="e">
        <f>'Converted Diagram'!$I$992</f>
        <v>#VALUE!</v>
      </c>
      <c r="L506" s="2" t="s">
        <v>714</v>
      </c>
      <c r="M506" s="2">
        <v>0</v>
      </c>
      <c r="O506" s="2" t="str">
        <f>'Converted Diagram'!$J$992</f>
        <v>Reduce Commute Time</v>
      </c>
      <c r="P506" s="2" t="b">
        <v>0</v>
      </c>
    </row>
    <row r="507" spans="1:16" x14ac:dyDescent="0.3">
      <c r="A507" s="2" t="e">
        <f>'Converted Diagram'!$K$995</f>
        <v>#VALUE!</v>
      </c>
      <c r="B507" s="1" t="s">
        <v>219</v>
      </c>
      <c r="C507" s="2">
        <v>0</v>
      </c>
      <c r="I507" s="2" t="s">
        <v>217</v>
      </c>
      <c r="J507" s="2">
        <f>'Converted Diagram'!$J$995</f>
        <v>0</v>
      </c>
      <c r="K507" s="2" t="e">
        <f>'Converted Diagram'!$J$994</f>
        <v>#VALUE!</v>
      </c>
      <c r="L507" s="2" t="s">
        <v>715</v>
      </c>
      <c r="M507" s="2">
        <v>0</v>
      </c>
      <c r="O507" s="2" t="str">
        <f>'Converted Diagram'!$K$994</f>
        <v>Reduce overall rent</v>
      </c>
      <c r="P507" s="2" t="b">
        <v>0</v>
      </c>
    </row>
    <row r="508" spans="1:16" x14ac:dyDescent="0.3">
      <c r="A508" s="2" t="e">
        <f>'Converted Diagram'!$L$997</f>
        <v>#VALUE!</v>
      </c>
      <c r="B508" s="1" t="s">
        <v>219</v>
      </c>
      <c r="C508" s="2">
        <v>0</v>
      </c>
      <c r="I508" s="2" t="s">
        <v>217</v>
      </c>
      <c r="J508" s="2">
        <f>'Converted Diagram'!$K$997</f>
        <v>0</v>
      </c>
      <c r="K508" s="2" t="e">
        <f>'Converted Diagram'!$K$996</f>
        <v>#VALUE!</v>
      </c>
      <c r="L508" s="2" t="s">
        <v>716</v>
      </c>
      <c r="M508" s="2">
        <v>0</v>
      </c>
      <c r="O508" s="2" t="str">
        <f>'Converted Diagram'!$L$996</f>
        <v>Increase Overall Convenience</v>
      </c>
      <c r="P508" s="2" t="b">
        <v>0</v>
      </c>
    </row>
    <row r="509" spans="1:16" x14ac:dyDescent="0.3">
      <c r="A509" s="2" t="e">
        <f>'Converted Diagram'!$M$999</f>
        <v>#VALUE!</v>
      </c>
      <c r="B509" s="1" t="s">
        <v>219</v>
      </c>
      <c r="C509" s="2">
        <v>0</v>
      </c>
      <c r="I509" s="2" t="e">
        <v>#VALUE!</v>
      </c>
      <c r="J509" s="2">
        <f>'Converted Diagram'!$L$999</f>
        <v>0</v>
      </c>
      <c r="K509" s="2" t="e">
        <f>'Converted Diagram'!$L$998</f>
        <v>#VALUE!</v>
      </c>
      <c r="L509" s="2" t="s">
        <v>717</v>
      </c>
      <c r="M509" s="2">
        <v>0</v>
      </c>
      <c r="P509" s="2" t="b">
        <v>0</v>
      </c>
    </row>
    <row r="510" spans="1:16" x14ac:dyDescent="0.3">
      <c r="A510" s="2" t="e">
        <f>'Converted Diagram'!$G$1001</f>
        <v>#VALUE!</v>
      </c>
      <c r="B510" s="1" t="s">
        <v>31</v>
      </c>
      <c r="C510" s="2">
        <v>0</v>
      </c>
      <c r="I510" s="2" t="s">
        <v>217</v>
      </c>
      <c r="J510" s="2">
        <f>'Converted Diagram'!$F$1001</f>
        <v>0</v>
      </c>
      <c r="K510" s="2" t="e">
        <f>'Converted Diagram'!$F$1000</f>
        <v>#VALUE!</v>
      </c>
      <c r="L510" s="2" t="s">
        <v>718</v>
      </c>
      <c r="M510" s="2">
        <v>0</v>
      </c>
      <c r="O510" s="2" t="str">
        <f>'Converted Diagram'!$G$1000</f>
        <v>Grocery Store</v>
      </c>
      <c r="P510" s="2" t="b">
        <v>0</v>
      </c>
    </row>
    <row r="511" spans="1:16" x14ac:dyDescent="0.3">
      <c r="A511" s="2" t="e">
        <f>'Converted Diagram'!$J$1003</f>
        <v>#VALUE!</v>
      </c>
      <c r="B511" s="1" t="s">
        <v>31</v>
      </c>
      <c r="C511" s="2">
        <v>0</v>
      </c>
      <c r="I511" s="2" t="s">
        <v>217</v>
      </c>
      <c r="J511" s="2">
        <f>'Converted Diagram'!$I$1003</f>
        <v>0</v>
      </c>
      <c r="K511" s="2" t="e">
        <f>'Converted Diagram'!$I$1002</f>
        <v>#VALUE!</v>
      </c>
      <c r="L511" s="2" t="s">
        <v>719</v>
      </c>
      <c r="M511" s="2">
        <v>0</v>
      </c>
      <c r="O511" s="2" t="str">
        <f>'Converted Diagram'!$J$1002</f>
        <v>Reduce Commute Time</v>
      </c>
      <c r="P511" s="2" t="b">
        <v>0</v>
      </c>
    </row>
    <row r="512" spans="1:16" x14ac:dyDescent="0.3">
      <c r="A512" s="2" t="e">
        <f>'Converted Diagram'!$K$1005</f>
        <v>#VALUE!</v>
      </c>
      <c r="B512" s="1" t="s">
        <v>219</v>
      </c>
      <c r="C512" s="2">
        <v>0</v>
      </c>
      <c r="I512" s="2" t="s">
        <v>217</v>
      </c>
      <c r="J512" s="2">
        <f>'Converted Diagram'!$J$1005</f>
        <v>0</v>
      </c>
      <c r="K512" s="2" t="e">
        <f>'Converted Diagram'!$J$1004</f>
        <v>#VALUE!</v>
      </c>
      <c r="L512" s="2" t="s">
        <v>720</v>
      </c>
      <c r="M512" s="2">
        <v>0</v>
      </c>
      <c r="O512" s="2" t="str">
        <f>'Converted Diagram'!$K$1004</f>
        <v>Reduce overall rent</v>
      </c>
      <c r="P512" s="2" t="b">
        <v>0</v>
      </c>
    </row>
    <row r="513" spans="1:16" x14ac:dyDescent="0.3">
      <c r="A513" s="2" t="e">
        <f>'Converted Diagram'!$L$1007</f>
        <v>#VALUE!</v>
      </c>
      <c r="B513" s="1" t="s">
        <v>219</v>
      </c>
      <c r="C513" s="2">
        <v>0</v>
      </c>
      <c r="I513" s="2" t="s">
        <v>217</v>
      </c>
      <c r="J513" s="2">
        <f>'Converted Diagram'!$K$1007</f>
        <v>0</v>
      </c>
      <c r="K513" s="2" t="e">
        <f>'Converted Diagram'!$K$1006</f>
        <v>#VALUE!</v>
      </c>
      <c r="L513" s="2" t="s">
        <v>721</v>
      </c>
      <c r="M513" s="2">
        <v>0</v>
      </c>
      <c r="O513" s="2" t="str">
        <f>'Converted Diagram'!$L$1006</f>
        <v>Increase Overall Convenience</v>
      </c>
      <c r="P513" s="2" t="b">
        <v>0</v>
      </c>
    </row>
    <row r="514" spans="1:16" x14ac:dyDescent="0.3">
      <c r="A514" s="2" t="e">
        <f>'Converted Diagram'!$M$1009</f>
        <v>#VALUE!</v>
      </c>
      <c r="B514" s="1" t="s">
        <v>219</v>
      </c>
      <c r="C514" s="2">
        <v>0</v>
      </c>
      <c r="I514" s="2" t="e">
        <v>#VALUE!</v>
      </c>
      <c r="J514" s="2">
        <f>'Converted Diagram'!$L$1009</f>
        <v>0</v>
      </c>
      <c r="K514" s="2" t="e">
        <f>'Converted Diagram'!$L$1008</f>
        <v>#VALUE!</v>
      </c>
      <c r="L514" s="2" t="s">
        <v>722</v>
      </c>
      <c r="M514" s="2">
        <v>0</v>
      </c>
      <c r="P514" s="2" t="b">
        <v>0</v>
      </c>
    </row>
    <row r="515" spans="1:16" x14ac:dyDescent="0.3">
      <c r="A515" s="2" t="e">
        <f>'Converted Diagram'!$I$1011</f>
        <v>#VALUE!</v>
      </c>
      <c r="B515" s="1" t="s">
        <v>31</v>
      </c>
      <c r="C515" s="2">
        <v>0</v>
      </c>
      <c r="I515" s="2" t="s">
        <v>217</v>
      </c>
      <c r="J515" s="2">
        <f>'Converted Diagram'!$H$1011</f>
        <v>0</v>
      </c>
      <c r="K515" s="2" t="e">
        <f>'Converted Diagram'!$H$1010</f>
        <v>#VALUE!</v>
      </c>
      <c r="L515" s="2" t="s">
        <v>723</v>
      </c>
      <c r="M515" s="2">
        <v>0</v>
      </c>
      <c r="O515" s="2" t="str">
        <f>'Converted Diagram'!$I$1010</f>
        <v>Floor</v>
      </c>
      <c r="P515" s="2" t="b">
        <v>0</v>
      </c>
    </row>
    <row r="516" spans="1:16" x14ac:dyDescent="0.3">
      <c r="A516" s="2" t="e">
        <f>'Converted Diagram'!$J$1013</f>
        <v>#VALUE!</v>
      </c>
      <c r="B516" s="1" t="s">
        <v>32</v>
      </c>
      <c r="C516" s="2">
        <v>0</v>
      </c>
      <c r="I516" s="2" t="s">
        <v>217</v>
      </c>
      <c r="J516" s="2">
        <f>'Converted Diagram'!$I$1013</f>
        <v>0</v>
      </c>
      <c r="K516" s="2" t="e">
        <f>'Converted Diagram'!$I$1012</f>
        <v>#VALUE!</v>
      </c>
      <c r="L516" s="2" t="s">
        <v>724</v>
      </c>
      <c r="M516" s="2">
        <v>0</v>
      </c>
      <c r="O516" s="2" t="str">
        <f>'Converted Diagram'!$J$1012</f>
        <v>Reduce Commute Time</v>
      </c>
      <c r="P516" s="2" t="b">
        <v>0</v>
      </c>
    </row>
    <row r="517" spans="1:16" x14ac:dyDescent="0.3">
      <c r="A517" s="2" t="e">
        <f>'Converted Diagram'!$K$1015</f>
        <v>#VALUE!</v>
      </c>
      <c r="B517" s="1" t="s">
        <v>219</v>
      </c>
      <c r="C517" s="2">
        <v>0</v>
      </c>
      <c r="I517" s="2" t="s">
        <v>217</v>
      </c>
      <c r="J517" s="2">
        <f>'Converted Diagram'!$J$1015</f>
        <v>0</v>
      </c>
      <c r="K517" s="2" t="e">
        <f>'Converted Diagram'!$J$1014</f>
        <v>#VALUE!</v>
      </c>
      <c r="L517" s="2" t="s">
        <v>725</v>
      </c>
      <c r="M517" s="2">
        <v>0</v>
      </c>
      <c r="O517" s="2" t="str">
        <f>'Converted Diagram'!$K$1014</f>
        <v>Reduce overall rent</v>
      </c>
      <c r="P517" s="2" t="b">
        <v>0</v>
      </c>
    </row>
    <row r="518" spans="1:16" x14ac:dyDescent="0.3">
      <c r="A518" s="2" t="e">
        <f>'Converted Diagram'!$L$1017</f>
        <v>#VALUE!</v>
      </c>
      <c r="B518" s="1" t="s">
        <v>219</v>
      </c>
      <c r="C518" s="2">
        <v>0</v>
      </c>
      <c r="I518" s="2" t="s">
        <v>217</v>
      </c>
      <c r="J518" s="2">
        <f>'Converted Diagram'!$K$1017</f>
        <v>0</v>
      </c>
      <c r="K518" s="2" t="e">
        <f>'Converted Diagram'!$K$1016</f>
        <v>#VALUE!</v>
      </c>
      <c r="L518" s="2" t="s">
        <v>726</v>
      </c>
      <c r="M518" s="2">
        <v>0</v>
      </c>
      <c r="O518" s="2" t="str">
        <f>'Converted Diagram'!$L$1016</f>
        <v>Increase Overall Convenience</v>
      </c>
      <c r="P518" s="2" t="b">
        <v>0</v>
      </c>
    </row>
    <row r="519" spans="1:16" x14ac:dyDescent="0.3">
      <c r="A519" s="2" t="e">
        <f>'Converted Diagram'!$M$1019</f>
        <v>#VALUE!</v>
      </c>
      <c r="B519" s="1" t="s">
        <v>219</v>
      </c>
      <c r="C519" s="2">
        <v>0</v>
      </c>
      <c r="I519" s="2" t="e">
        <v>#VALUE!</v>
      </c>
      <c r="J519" s="2">
        <f>'Converted Diagram'!$L$1019</f>
        <v>0</v>
      </c>
      <c r="K519" s="2" t="e">
        <f>'Converted Diagram'!$L$1018</f>
        <v>#VALUE!</v>
      </c>
      <c r="L519" s="2" t="s">
        <v>727</v>
      </c>
      <c r="M519" s="2">
        <v>0</v>
      </c>
      <c r="P519" s="2" t="b">
        <v>0</v>
      </c>
    </row>
    <row r="520" spans="1:16" x14ac:dyDescent="0.3">
      <c r="A520" s="2" t="e">
        <f>'Converted Diagram'!$H$1021</f>
        <v>#VALUE!</v>
      </c>
      <c r="B520" s="1" t="s">
        <v>32</v>
      </c>
      <c r="C520" s="2">
        <v>0</v>
      </c>
      <c r="I520" s="2" t="s">
        <v>217</v>
      </c>
      <c r="J520" s="2">
        <f>'Converted Diagram'!$G$1021</f>
        <v>0</v>
      </c>
      <c r="K520" s="2" t="e">
        <f>'Converted Diagram'!$G$1020</f>
        <v>#VALUE!</v>
      </c>
      <c r="L520" s="2" t="s">
        <v>728</v>
      </c>
      <c r="M520" s="2">
        <v>0</v>
      </c>
      <c r="O520" s="2" t="str">
        <f>'Converted Diagram'!$H$1020</f>
        <v>Wi-Fi &amp; Cable Ready</v>
      </c>
      <c r="P520" s="2" t="b">
        <v>0</v>
      </c>
    </row>
    <row r="521" spans="1:16" x14ac:dyDescent="0.3">
      <c r="A521" s="2" t="e">
        <f>'Converted Diagram'!$J$1023</f>
        <v>#VALUE!</v>
      </c>
      <c r="B521" s="1" t="s">
        <v>31</v>
      </c>
      <c r="C521" s="2">
        <v>0</v>
      </c>
      <c r="I521" s="2" t="s">
        <v>217</v>
      </c>
      <c r="J521" s="2">
        <f>'Converted Diagram'!$I$1023</f>
        <v>0</v>
      </c>
      <c r="K521" s="2" t="e">
        <f>'Converted Diagram'!$I$1022</f>
        <v>#VALUE!</v>
      </c>
      <c r="L521" s="2" t="s">
        <v>729</v>
      </c>
      <c r="M521" s="2">
        <v>0</v>
      </c>
      <c r="O521" s="2" t="str">
        <f>'Converted Diagram'!$J$1022</f>
        <v>Reduce Commute Time</v>
      </c>
      <c r="P521" s="2" t="b">
        <v>0</v>
      </c>
    </row>
    <row r="522" spans="1:16" x14ac:dyDescent="0.3">
      <c r="A522" s="2" t="e">
        <f>'Converted Diagram'!$K$1025</f>
        <v>#VALUE!</v>
      </c>
      <c r="B522" s="1" t="s">
        <v>219</v>
      </c>
      <c r="C522" s="2">
        <v>0</v>
      </c>
      <c r="I522" s="2" t="s">
        <v>217</v>
      </c>
      <c r="J522" s="2">
        <f>'Converted Diagram'!$J$1025</f>
        <v>0</v>
      </c>
      <c r="K522" s="2" t="e">
        <f>'Converted Diagram'!$J$1024</f>
        <v>#VALUE!</v>
      </c>
      <c r="L522" s="2" t="s">
        <v>730</v>
      </c>
      <c r="M522" s="2">
        <v>0</v>
      </c>
      <c r="O522" s="2" t="str">
        <f>'Converted Diagram'!$K$1024</f>
        <v>Reduce overall rent</v>
      </c>
      <c r="P522" s="2" t="b">
        <v>0</v>
      </c>
    </row>
    <row r="523" spans="1:16" x14ac:dyDescent="0.3">
      <c r="A523" s="2" t="e">
        <f>'Converted Diagram'!$L$1027</f>
        <v>#VALUE!</v>
      </c>
      <c r="B523" s="1" t="s">
        <v>219</v>
      </c>
      <c r="C523" s="2">
        <v>0</v>
      </c>
      <c r="I523" s="2" t="s">
        <v>217</v>
      </c>
      <c r="J523" s="2">
        <f>'Converted Diagram'!$K$1027</f>
        <v>0</v>
      </c>
      <c r="K523" s="2" t="e">
        <f>'Converted Diagram'!$K$1026</f>
        <v>#VALUE!</v>
      </c>
      <c r="L523" s="2" t="s">
        <v>731</v>
      </c>
      <c r="M523" s="2">
        <v>0</v>
      </c>
      <c r="O523" s="2" t="str">
        <f>'Converted Diagram'!$L$1026</f>
        <v>Increase Overall Convenience</v>
      </c>
      <c r="P523" s="2" t="b">
        <v>0</v>
      </c>
    </row>
    <row r="524" spans="1:16" x14ac:dyDescent="0.3">
      <c r="A524" s="2" t="e">
        <f>'Converted Diagram'!$M$1029</f>
        <v>#VALUE!</v>
      </c>
      <c r="B524" s="1" t="s">
        <v>219</v>
      </c>
      <c r="C524" s="2">
        <v>0</v>
      </c>
      <c r="I524" s="2" t="e">
        <v>#VALUE!</v>
      </c>
      <c r="J524" s="2">
        <f>'Converted Diagram'!$L$1029</f>
        <v>0</v>
      </c>
      <c r="K524" s="2" t="e">
        <f>'Converted Diagram'!$L$1028</f>
        <v>#VALUE!</v>
      </c>
      <c r="L524" s="2" t="s">
        <v>732</v>
      </c>
      <c r="M524" s="2">
        <v>0</v>
      </c>
      <c r="P524" s="2" t="b">
        <v>0</v>
      </c>
    </row>
    <row r="525" spans="1:16" x14ac:dyDescent="0.3">
      <c r="A525" s="2" t="e">
        <f>'Converted Diagram'!$I$1031</f>
        <v>#VALUE!</v>
      </c>
      <c r="B525" s="1" t="s">
        <v>32</v>
      </c>
      <c r="C525" s="2">
        <v>0</v>
      </c>
      <c r="I525" s="2" t="s">
        <v>217</v>
      </c>
      <c r="J525" s="2">
        <f>'Converted Diagram'!$H$1031</f>
        <v>0</v>
      </c>
      <c r="K525" s="2" t="e">
        <f>'Converted Diagram'!$H$1030</f>
        <v>#VALUE!</v>
      </c>
      <c r="L525" s="2" t="s">
        <v>733</v>
      </c>
      <c r="M525" s="2">
        <v>0</v>
      </c>
      <c r="O525" s="2" t="str">
        <f>'Converted Diagram'!$I$1030</f>
        <v>Floor</v>
      </c>
      <c r="P525" s="2" t="b">
        <v>0</v>
      </c>
    </row>
    <row r="526" spans="1:16" x14ac:dyDescent="0.3">
      <c r="A526" s="2" t="e">
        <f>'Converted Diagram'!$J$1033</f>
        <v>#VALUE!</v>
      </c>
      <c r="B526" s="1" t="s">
        <v>32</v>
      </c>
      <c r="C526" s="2">
        <v>0</v>
      </c>
      <c r="I526" s="2" t="s">
        <v>217</v>
      </c>
      <c r="J526" s="2">
        <f>'Converted Diagram'!$I$1033</f>
        <v>0</v>
      </c>
      <c r="K526" s="2" t="e">
        <f>'Converted Diagram'!$I$1032</f>
        <v>#VALUE!</v>
      </c>
      <c r="L526" s="2" t="s">
        <v>734</v>
      </c>
      <c r="M526" s="2">
        <v>0</v>
      </c>
      <c r="O526" s="2" t="str">
        <f>'Converted Diagram'!$J$1032</f>
        <v>Reduce Commute Time</v>
      </c>
      <c r="P526" s="2" t="b">
        <v>0</v>
      </c>
    </row>
    <row r="527" spans="1:16" x14ac:dyDescent="0.3">
      <c r="A527" s="2" t="e">
        <f>'Converted Diagram'!$K$1035</f>
        <v>#VALUE!</v>
      </c>
      <c r="B527" s="1" t="s">
        <v>219</v>
      </c>
      <c r="C527" s="2">
        <v>0</v>
      </c>
      <c r="I527" s="2" t="s">
        <v>217</v>
      </c>
      <c r="J527" s="2">
        <f>'Converted Diagram'!$J$1035</f>
        <v>0</v>
      </c>
      <c r="K527" s="2" t="e">
        <f>'Converted Diagram'!$J$1034</f>
        <v>#VALUE!</v>
      </c>
      <c r="L527" s="2" t="s">
        <v>735</v>
      </c>
      <c r="M527" s="2">
        <v>0</v>
      </c>
      <c r="O527" s="2" t="str">
        <f>'Converted Diagram'!$K$1034</f>
        <v>Reduce overall rent</v>
      </c>
      <c r="P527" s="2" t="b">
        <v>0</v>
      </c>
    </row>
    <row r="528" spans="1:16" x14ac:dyDescent="0.3">
      <c r="A528" s="2" t="e">
        <f>'Converted Diagram'!$L$1037</f>
        <v>#VALUE!</v>
      </c>
      <c r="B528" s="1" t="s">
        <v>219</v>
      </c>
      <c r="C528" s="2">
        <v>0</v>
      </c>
      <c r="I528" s="2" t="s">
        <v>217</v>
      </c>
      <c r="J528" s="2">
        <f>'Converted Diagram'!$K$1037</f>
        <v>0</v>
      </c>
      <c r="K528" s="2" t="e">
        <f>'Converted Diagram'!$K$1036</f>
        <v>#VALUE!</v>
      </c>
      <c r="L528" s="2" t="s">
        <v>736</v>
      </c>
      <c r="M528" s="2">
        <v>0</v>
      </c>
      <c r="O528" s="2" t="str">
        <f>'Converted Diagram'!$L$1036</f>
        <v>Increase Overall Convenience</v>
      </c>
      <c r="P528" s="2" t="b">
        <v>0</v>
      </c>
    </row>
    <row r="529" spans="1:16" x14ac:dyDescent="0.3">
      <c r="A529" s="2" t="e">
        <f>'Converted Diagram'!$M$1039</f>
        <v>#VALUE!</v>
      </c>
      <c r="B529" s="1" t="s">
        <v>219</v>
      </c>
      <c r="C529" s="2">
        <v>0</v>
      </c>
      <c r="I529" s="2" t="e">
        <v>#VALUE!</v>
      </c>
      <c r="J529" s="2">
        <f>'Converted Diagram'!$L$1039</f>
        <v>0</v>
      </c>
      <c r="K529" s="2" t="e">
        <f>'Converted Diagram'!$L$1038</f>
        <v>#VALUE!</v>
      </c>
      <c r="L529" s="2" t="s">
        <v>737</v>
      </c>
      <c r="M529" s="2">
        <v>0</v>
      </c>
      <c r="P529" s="2" t="b">
        <v>0</v>
      </c>
    </row>
    <row r="530" spans="1:16" x14ac:dyDescent="0.3">
      <c r="A530" s="2" t="e">
        <f>'Converted Diagram'!$F$1041</f>
        <v>#VALUE!</v>
      </c>
      <c r="B530" s="1" t="s">
        <v>31</v>
      </c>
      <c r="C530" s="2">
        <v>0</v>
      </c>
      <c r="I530" s="2" t="s">
        <v>217</v>
      </c>
      <c r="J530" s="2">
        <f>'Converted Diagram'!$E$1041</f>
        <v>0</v>
      </c>
      <c r="K530" s="2" t="e">
        <f>'Converted Diagram'!$E$1040</f>
        <v>#VALUE!</v>
      </c>
      <c r="L530" s="2" t="s">
        <v>738</v>
      </c>
      <c r="M530" s="2">
        <v>0</v>
      </c>
      <c r="O530" s="2" t="str">
        <f>'Converted Diagram'!$F$1040</f>
        <v>Utilities</v>
      </c>
      <c r="P530" s="2" t="b">
        <v>0</v>
      </c>
    </row>
    <row r="531" spans="1:16" x14ac:dyDescent="0.3">
      <c r="A531" s="2" t="e">
        <f>'Converted Diagram'!$J$1043</f>
        <v>#VALUE!</v>
      </c>
      <c r="B531" s="1" t="s">
        <v>31</v>
      </c>
      <c r="C531" s="2">
        <v>0</v>
      </c>
      <c r="I531" s="2" t="s">
        <v>217</v>
      </c>
      <c r="J531" s="2">
        <f>'Converted Diagram'!$I$1043</f>
        <v>0</v>
      </c>
      <c r="K531" s="2" t="e">
        <f>'Converted Diagram'!$I$1042</f>
        <v>#VALUE!</v>
      </c>
      <c r="L531" s="2" t="s">
        <v>739</v>
      </c>
      <c r="M531" s="2">
        <v>0</v>
      </c>
      <c r="O531" s="2" t="str">
        <f>'Converted Diagram'!$J$1042</f>
        <v>Reduce Commute Time</v>
      </c>
      <c r="P531" s="2" t="b">
        <v>0</v>
      </c>
    </row>
    <row r="532" spans="1:16" x14ac:dyDescent="0.3">
      <c r="A532" s="2" t="e">
        <f>'Converted Diagram'!$K$1045</f>
        <v>#VALUE!</v>
      </c>
      <c r="B532" s="1" t="s">
        <v>219</v>
      </c>
      <c r="C532" s="2">
        <v>0</v>
      </c>
      <c r="I532" s="2" t="s">
        <v>217</v>
      </c>
      <c r="J532" s="2">
        <f>'Converted Diagram'!$J$1045</f>
        <v>0</v>
      </c>
      <c r="K532" s="2" t="e">
        <f>'Converted Diagram'!$J$1044</f>
        <v>#VALUE!</v>
      </c>
      <c r="L532" s="2" t="s">
        <v>740</v>
      </c>
      <c r="M532" s="2">
        <v>0</v>
      </c>
      <c r="O532" s="2" t="str">
        <f>'Converted Diagram'!$K$1044</f>
        <v>Reduce overall rent</v>
      </c>
      <c r="P532" s="2" t="b">
        <v>0</v>
      </c>
    </row>
    <row r="533" spans="1:16" x14ac:dyDescent="0.3">
      <c r="A533" s="2" t="e">
        <f>'Converted Diagram'!$L$1047</f>
        <v>#VALUE!</v>
      </c>
      <c r="B533" s="1" t="s">
        <v>219</v>
      </c>
      <c r="C533" s="2">
        <v>0</v>
      </c>
      <c r="I533" s="2" t="s">
        <v>217</v>
      </c>
      <c r="J533" s="2">
        <f>'Converted Diagram'!$K$1047</f>
        <v>0</v>
      </c>
      <c r="K533" s="2" t="e">
        <f>'Converted Diagram'!$K$1046</f>
        <v>#VALUE!</v>
      </c>
      <c r="L533" s="2" t="s">
        <v>741</v>
      </c>
      <c r="M533" s="2">
        <v>0</v>
      </c>
      <c r="O533" s="2" t="str">
        <f>'Converted Diagram'!$L$1046</f>
        <v>Increase Overall Convenience</v>
      </c>
      <c r="P533" s="2" t="b">
        <v>0</v>
      </c>
    </row>
    <row r="534" spans="1:16" x14ac:dyDescent="0.3">
      <c r="A534" s="2" t="e">
        <f>'Converted Diagram'!$M$1049</f>
        <v>#VALUE!</v>
      </c>
      <c r="B534" s="1" t="s">
        <v>219</v>
      </c>
      <c r="C534" s="2">
        <v>0</v>
      </c>
      <c r="I534" s="2" t="e">
        <v>#VALUE!</v>
      </c>
      <c r="J534" s="2">
        <f>'Converted Diagram'!$L$1049</f>
        <v>0</v>
      </c>
      <c r="K534" s="2" t="e">
        <f>'Converted Diagram'!$L$1048</f>
        <v>#VALUE!</v>
      </c>
      <c r="L534" s="2" t="s">
        <v>742</v>
      </c>
      <c r="M534" s="2">
        <v>0</v>
      </c>
      <c r="P534" s="2" t="b">
        <v>0</v>
      </c>
    </row>
    <row r="535" spans="1:16" x14ac:dyDescent="0.3">
      <c r="A535" s="2" t="e">
        <f>'Converted Diagram'!$I$1051</f>
        <v>#VALUE!</v>
      </c>
      <c r="B535" s="1" t="s">
        <v>31</v>
      </c>
      <c r="C535" s="2">
        <v>0</v>
      </c>
      <c r="I535" s="2" t="s">
        <v>217</v>
      </c>
      <c r="J535" s="2">
        <f>'Converted Diagram'!$H$1051</f>
        <v>0</v>
      </c>
      <c r="K535" s="2" t="e">
        <f>'Converted Diagram'!$H$1050</f>
        <v>#VALUE!</v>
      </c>
      <c r="L535" s="2" t="s">
        <v>743</v>
      </c>
      <c r="M535" s="2">
        <v>0</v>
      </c>
      <c r="O535" s="2" t="str">
        <f>'Converted Diagram'!$I$1050</f>
        <v>Floor</v>
      </c>
      <c r="P535" s="2" t="b">
        <v>0</v>
      </c>
    </row>
    <row r="536" spans="1:16" x14ac:dyDescent="0.3">
      <c r="A536" s="2" t="e">
        <f>'Converted Diagram'!$J$1053</f>
        <v>#VALUE!</v>
      </c>
      <c r="B536" s="1" t="s">
        <v>32</v>
      </c>
      <c r="C536" s="2">
        <v>0</v>
      </c>
      <c r="I536" s="2" t="s">
        <v>217</v>
      </c>
      <c r="J536" s="2">
        <f>'Converted Diagram'!$I$1053</f>
        <v>0</v>
      </c>
      <c r="K536" s="2" t="e">
        <f>'Converted Diagram'!$I$1052</f>
        <v>#VALUE!</v>
      </c>
      <c r="L536" s="2" t="s">
        <v>744</v>
      </c>
      <c r="M536" s="2">
        <v>0</v>
      </c>
      <c r="O536" s="2" t="str">
        <f>'Converted Diagram'!$J$1052</f>
        <v>Reduce Commute Time</v>
      </c>
      <c r="P536" s="2" t="b">
        <v>0</v>
      </c>
    </row>
    <row r="537" spans="1:16" x14ac:dyDescent="0.3">
      <c r="A537" s="2" t="e">
        <f>'Converted Diagram'!$K$1055</f>
        <v>#VALUE!</v>
      </c>
      <c r="B537" s="1" t="s">
        <v>219</v>
      </c>
      <c r="C537" s="2">
        <v>0</v>
      </c>
      <c r="I537" s="2" t="s">
        <v>217</v>
      </c>
      <c r="J537" s="2">
        <f>'Converted Diagram'!$J$1055</f>
        <v>0</v>
      </c>
      <c r="K537" s="2" t="e">
        <f>'Converted Diagram'!$J$1054</f>
        <v>#VALUE!</v>
      </c>
      <c r="L537" s="2" t="s">
        <v>745</v>
      </c>
      <c r="M537" s="2">
        <v>0</v>
      </c>
      <c r="O537" s="2" t="str">
        <f>'Converted Diagram'!$K$1054</f>
        <v>Reduce overall rent</v>
      </c>
      <c r="P537" s="2" t="b">
        <v>0</v>
      </c>
    </row>
    <row r="538" spans="1:16" x14ac:dyDescent="0.3">
      <c r="A538" s="2" t="e">
        <f>'Converted Diagram'!$L$1057</f>
        <v>#VALUE!</v>
      </c>
      <c r="B538" s="1" t="s">
        <v>219</v>
      </c>
      <c r="C538" s="2">
        <v>0</v>
      </c>
      <c r="I538" s="2" t="s">
        <v>217</v>
      </c>
      <c r="J538" s="2">
        <f>'Converted Diagram'!$K$1057</f>
        <v>0</v>
      </c>
      <c r="K538" s="2" t="e">
        <f>'Converted Diagram'!$K$1056</f>
        <v>#VALUE!</v>
      </c>
      <c r="L538" s="2" t="s">
        <v>746</v>
      </c>
      <c r="M538" s="2">
        <v>0</v>
      </c>
      <c r="O538" s="2" t="str">
        <f>'Converted Diagram'!$L$1056</f>
        <v>Increase Overall Convenience</v>
      </c>
      <c r="P538" s="2" t="b">
        <v>0</v>
      </c>
    </row>
    <row r="539" spans="1:16" x14ac:dyDescent="0.3">
      <c r="A539" s="2" t="e">
        <f>'Converted Diagram'!$M$1059</f>
        <v>#VALUE!</v>
      </c>
      <c r="B539" s="1" t="s">
        <v>219</v>
      </c>
      <c r="C539" s="2">
        <v>0</v>
      </c>
      <c r="I539" s="2" t="e">
        <v>#VALUE!</v>
      </c>
      <c r="J539" s="2">
        <f>'Converted Diagram'!$L$1059</f>
        <v>0</v>
      </c>
      <c r="K539" s="2" t="e">
        <f>'Converted Diagram'!$L$1058</f>
        <v>#VALUE!</v>
      </c>
      <c r="L539" s="2" t="s">
        <v>747</v>
      </c>
      <c r="M539" s="2">
        <v>0</v>
      </c>
      <c r="P539" s="2" t="b">
        <v>0</v>
      </c>
    </row>
    <row r="540" spans="1:16" x14ac:dyDescent="0.3">
      <c r="A540" s="2" t="e">
        <f>'Converted Diagram'!$H$1061</f>
        <v>#VALUE!</v>
      </c>
      <c r="B540" s="1" t="s">
        <v>31</v>
      </c>
      <c r="C540" s="2">
        <v>0</v>
      </c>
      <c r="I540" s="2" t="s">
        <v>217</v>
      </c>
      <c r="J540" s="2">
        <f>'Converted Diagram'!$G$1061</f>
        <v>0</v>
      </c>
      <c r="K540" s="2" t="e">
        <f>'Converted Diagram'!$G$1060</f>
        <v>#VALUE!</v>
      </c>
      <c r="L540" s="2" t="s">
        <v>748</v>
      </c>
      <c r="M540" s="2">
        <v>0</v>
      </c>
      <c r="O540" s="2" t="str">
        <f>'Converted Diagram'!$H$1060</f>
        <v>Wi-Fi &amp; Cable Ready</v>
      </c>
      <c r="P540" s="2" t="b">
        <v>0</v>
      </c>
    </row>
    <row r="541" spans="1:16" x14ac:dyDescent="0.3">
      <c r="A541" s="2" t="e">
        <f>'Converted Diagram'!$J$1063</f>
        <v>#VALUE!</v>
      </c>
      <c r="B541" s="1" t="s">
        <v>31</v>
      </c>
      <c r="C541" s="2">
        <v>0</v>
      </c>
      <c r="I541" s="2" t="s">
        <v>217</v>
      </c>
      <c r="J541" s="2">
        <f>'Converted Diagram'!$I$1063</f>
        <v>0</v>
      </c>
      <c r="K541" s="2" t="e">
        <f>'Converted Diagram'!$I$1062</f>
        <v>#VALUE!</v>
      </c>
      <c r="L541" s="2" t="s">
        <v>749</v>
      </c>
      <c r="M541" s="2">
        <v>0</v>
      </c>
      <c r="O541" s="2" t="str">
        <f>'Converted Diagram'!$J$1062</f>
        <v>Reduce Commute Time</v>
      </c>
      <c r="P541" s="2" t="b">
        <v>0</v>
      </c>
    </row>
    <row r="542" spans="1:16" x14ac:dyDescent="0.3">
      <c r="A542" s="2" t="e">
        <f>'Converted Diagram'!$K$1065</f>
        <v>#VALUE!</v>
      </c>
      <c r="B542" s="1" t="s">
        <v>219</v>
      </c>
      <c r="C542" s="2">
        <v>0</v>
      </c>
      <c r="I542" s="2" t="s">
        <v>217</v>
      </c>
      <c r="J542" s="2">
        <f>'Converted Diagram'!$J$1065</f>
        <v>0</v>
      </c>
      <c r="K542" s="2" t="e">
        <f>'Converted Diagram'!$J$1064</f>
        <v>#VALUE!</v>
      </c>
      <c r="L542" s="2" t="s">
        <v>750</v>
      </c>
      <c r="M542" s="2">
        <v>0</v>
      </c>
      <c r="O542" s="2" t="str">
        <f>'Converted Diagram'!$K$1064</f>
        <v>Reduce overall rent</v>
      </c>
      <c r="P542" s="2" t="b">
        <v>0</v>
      </c>
    </row>
    <row r="543" spans="1:16" x14ac:dyDescent="0.3">
      <c r="A543" s="2" t="e">
        <f>'Converted Diagram'!$L$1067</f>
        <v>#VALUE!</v>
      </c>
      <c r="B543" s="1" t="s">
        <v>219</v>
      </c>
      <c r="C543" s="2">
        <v>0</v>
      </c>
      <c r="I543" s="2" t="s">
        <v>217</v>
      </c>
      <c r="J543" s="2">
        <f>'Converted Diagram'!$K$1067</f>
        <v>0</v>
      </c>
      <c r="K543" s="2" t="e">
        <f>'Converted Diagram'!$K$1066</f>
        <v>#VALUE!</v>
      </c>
      <c r="L543" s="2" t="s">
        <v>751</v>
      </c>
      <c r="M543" s="2">
        <v>0</v>
      </c>
      <c r="O543" s="2" t="str">
        <f>'Converted Diagram'!$L$1066</f>
        <v>Increase Overall Convenience</v>
      </c>
      <c r="P543" s="2" t="b">
        <v>0</v>
      </c>
    </row>
    <row r="544" spans="1:16" x14ac:dyDescent="0.3">
      <c r="A544" s="2" t="e">
        <f>'Converted Diagram'!$M$1069</f>
        <v>#VALUE!</v>
      </c>
      <c r="B544" s="1" t="s">
        <v>219</v>
      </c>
      <c r="C544" s="2">
        <v>0</v>
      </c>
      <c r="I544" s="2" t="e">
        <v>#VALUE!</v>
      </c>
      <c r="J544" s="2">
        <f>'Converted Diagram'!$L$1069</f>
        <v>0</v>
      </c>
      <c r="K544" s="2" t="e">
        <f>'Converted Diagram'!$L$1068</f>
        <v>#VALUE!</v>
      </c>
      <c r="L544" s="2" t="s">
        <v>752</v>
      </c>
      <c r="M544" s="2">
        <v>0</v>
      </c>
      <c r="P544" s="2" t="b">
        <v>0</v>
      </c>
    </row>
    <row r="545" spans="1:16" x14ac:dyDescent="0.3">
      <c r="A545" s="2" t="e">
        <f>'Converted Diagram'!$I$1071</f>
        <v>#VALUE!</v>
      </c>
      <c r="B545" s="1" t="s">
        <v>32</v>
      </c>
      <c r="C545" s="2">
        <v>0</v>
      </c>
      <c r="I545" s="2" t="s">
        <v>217</v>
      </c>
      <c r="J545" s="2">
        <f>'Converted Diagram'!$H$1071</f>
        <v>0</v>
      </c>
      <c r="K545" s="2" t="e">
        <f>'Converted Diagram'!$H$1070</f>
        <v>#VALUE!</v>
      </c>
      <c r="L545" s="2" t="s">
        <v>753</v>
      </c>
      <c r="M545" s="2">
        <v>0</v>
      </c>
      <c r="O545" s="2" t="str">
        <f>'Converted Diagram'!$I$1070</f>
        <v>Floor</v>
      </c>
      <c r="P545" s="2" t="b">
        <v>0</v>
      </c>
    </row>
    <row r="546" spans="1:16" x14ac:dyDescent="0.3">
      <c r="A546" s="2" t="e">
        <f>'Converted Diagram'!$J$1073</f>
        <v>#VALUE!</v>
      </c>
      <c r="B546" s="1" t="s">
        <v>32</v>
      </c>
      <c r="C546" s="2">
        <v>0</v>
      </c>
      <c r="I546" s="2" t="s">
        <v>217</v>
      </c>
      <c r="J546" s="2">
        <f>'Converted Diagram'!$I$1073</f>
        <v>0</v>
      </c>
      <c r="K546" s="2" t="e">
        <f>'Converted Diagram'!$I$1072</f>
        <v>#VALUE!</v>
      </c>
      <c r="L546" s="2" t="s">
        <v>754</v>
      </c>
      <c r="M546" s="2">
        <v>0</v>
      </c>
      <c r="O546" s="2" t="str">
        <f>'Converted Diagram'!$J$1072</f>
        <v>Reduce Commute Time</v>
      </c>
      <c r="P546" s="2" t="b">
        <v>0</v>
      </c>
    </row>
    <row r="547" spans="1:16" x14ac:dyDescent="0.3">
      <c r="A547" s="2" t="e">
        <f>'Converted Diagram'!$K$1075</f>
        <v>#VALUE!</v>
      </c>
      <c r="B547" s="1" t="s">
        <v>219</v>
      </c>
      <c r="C547" s="2">
        <v>0</v>
      </c>
      <c r="I547" s="2" t="s">
        <v>217</v>
      </c>
      <c r="J547" s="2">
        <f>'Converted Diagram'!$J$1075</f>
        <v>0</v>
      </c>
      <c r="K547" s="2" t="e">
        <f>'Converted Diagram'!$J$1074</f>
        <v>#VALUE!</v>
      </c>
      <c r="L547" s="2" t="s">
        <v>755</v>
      </c>
      <c r="M547" s="2">
        <v>0</v>
      </c>
      <c r="O547" s="2" t="str">
        <f>'Converted Diagram'!$K$1074</f>
        <v>Reduce overall rent</v>
      </c>
      <c r="P547" s="2" t="b">
        <v>0</v>
      </c>
    </row>
    <row r="548" spans="1:16" x14ac:dyDescent="0.3">
      <c r="A548" s="2" t="e">
        <f>'Converted Diagram'!$L$1077</f>
        <v>#VALUE!</v>
      </c>
      <c r="B548" s="1" t="s">
        <v>219</v>
      </c>
      <c r="C548" s="2">
        <v>0</v>
      </c>
      <c r="I548" s="2" t="s">
        <v>217</v>
      </c>
      <c r="J548" s="2">
        <f>'Converted Diagram'!$K$1077</f>
        <v>0</v>
      </c>
      <c r="K548" s="2" t="e">
        <f>'Converted Diagram'!$K$1076</f>
        <v>#VALUE!</v>
      </c>
      <c r="L548" s="2" t="s">
        <v>756</v>
      </c>
      <c r="M548" s="2">
        <v>0</v>
      </c>
      <c r="O548" s="2" t="str">
        <f>'Converted Diagram'!$L$1076</f>
        <v>Increase Overall Convenience</v>
      </c>
      <c r="P548" s="2" t="b">
        <v>0</v>
      </c>
    </row>
    <row r="549" spans="1:16" x14ac:dyDescent="0.3">
      <c r="A549" s="2" t="e">
        <f>'Converted Diagram'!$M$1079</f>
        <v>#VALUE!</v>
      </c>
      <c r="B549" s="1" t="s">
        <v>219</v>
      </c>
      <c r="C549" s="2">
        <v>0</v>
      </c>
      <c r="I549" s="2" t="e">
        <v>#VALUE!</v>
      </c>
      <c r="J549" s="2">
        <f>'Converted Diagram'!$L$1079</f>
        <v>0</v>
      </c>
      <c r="K549" s="2" t="e">
        <f>'Converted Diagram'!$L$1078</f>
        <v>#VALUE!</v>
      </c>
      <c r="L549" s="2" t="s">
        <v>757</v>
      </c>
      <c r="M549" s="2">
        <v>0</v>
      </c>
      <c r="P549" s="2" t="b">
        <v>0</v>
      </c>
    </row>
    <row r="550" spans="1:16" x14ac:dyDescent="0.3">
      <c r="A550" s="2" t="e">
        <f>'Converted Diagram'!$G$1081</f>
        <v>#VALUE!</v>
      </c>
      <c r="B550" s="1" t="s">
        <v>32</v>
      </c>
      <c r="C550" s="2">
        <v>0</v>
      </c>
      <c r="I550" s="2" t="s">
        <v>217</v>
      </c>
      <c r="J550" s="2">
        <f>'Converted Diagram'!$F$1081</f>
        <v>0</v>
      </c>
      <c r="K550" s="2" t="e">
        <f>'Converted Diagram'!$F$1080</f>
        <v>#VALUE!</v>
      </c>
      <c r="L550" s="2" t="s">
        <v>758</v>
      </c>
      <c r="M550" s="2">
        <v>0</v>
      </c>
      <c r="O550" s="2" t="str">
        <f>'Converted Diagram'!$G$1080</f>
        <v>Grocery Store</v>
      </c>
      <c r="P550" s="2" t="b">
        <v>0</v>
      </c>
    </row>
    <row r="551" spans="1:16" x14ac:dyDescent="0.3">
      <c r="A551" s="2" t="e">
        <f>'Converted Diagram'!$J$1083</f>
        <v>#VALUE!</v>
      </c>
      <c r="B551" s="1" t="s">
        <v>31</v>
      </c>
      <c r="C551" s="2">
        <v>0</v>
      </c>
      <c r="I551" s="2" t="s">
        <v>217</v>
      </c>
      <c r="J551" s="2">
        <f>'Converted Diagram'!$I$1083</f>
        <v>0</v>
      </c>
      <c r="K551" s="2" t="e">
        <f>'Converted Diagram'!$I$1082</f>
        <v>#VALUE!</v>
      </c>
      <c r="L551" s="2" t="s">
        <v>759</v>
      </c>
      <c r="M551" s="2">
        <v>0</v>
      </c>
      <c r="O551" s="2" t="str">
        <f>'Converted Diagram'!$J$1082</f>
        <v>Reduce Commute Time</v>
      </c>
      <c r="P551" s="2" t="b">
        <v>0</v>
      </c>
    </row>
    <row r="552" spans="1:16" x14ac:dyDescent="0.3">
      <c r="A552" s="2" t="e">
        <f>'Converted Diagram'!$K$1085</f>
        <v>#VALUE!</v>
      </c>
      <c r="B552" s="1" t="s">
        <v>219</v>
      </c>
      <c r="C552" s="2">
        <v>0</v>
      </c>
      <c r="I552" s="2" t="s">
        <v>217</v>
      </c>
      <c r="J552" s="2">
        <f>'Converted Diagram'!$J$1085</f>
        <v>0</v>
      </c>
      <c r="K552" s="2" t="e">
        <f>'Converted Diagram'!$J$1084</f>
        <v>#VALUE!</v>
      </c>
      <c r="L552" s="2" t="s">
        <v>760</v>
      </c>
      <c r="M552" s="2">
        <v>0</v>
      </c>
      <c r="O552" s="2" t="str">
        <f>'Converted Diagram'!$K$1084</f>
        <v>Reduce overall rent</v>
      </c>
      <c r="P552" s="2" t="b">
        <v>0</v>
      </c>
    </row>
    <row r="553" spans="1:16" x14ac:dyDescent="0.3">
      <c r="A553" s="2" t="e">
        <f>'Converted Diagram'!$L$1087</f>
        <v>#VALUE!</v>
      </c>
      <c r="B553" s="1" t="s">
        <v>219</v>
      </c>
      <c r="C553" s="2">
        <v>0</v>
      </c>
      <c r="I553" s="2" t="s">
        <v>217</v>
      </c>
      <c r="J553" s="2">
        <f>'Converted Diagram'!$K$1087</f>
        <v>0</v>
      </c>
      <c r="K553" s="2" t="e">
        <f>'Converted Diagram'!$K$1086</f>
        <v>#VALUE!</v>
      </c>
      <c r="L553" s="2" t="s">
        <v>761</v>
      </c>
      <c r="M553" s="2">
        <v>0</v>
      </c>
      <c r="O553" s="2" t="str">
        <f>'Converted Diagram'!$L$1086</f>
        <v>Increase Overall Convenience</v>
      </c>
      <c r="P553" s="2" t="b">
        <v>0</v>
      </c>
    </row>
    <row r="554" spans="1:16" x14ac:dyDescent="0.3">
      <c r="A554" s="2" t="e">
        <f>'Converted Diagram'!$M$1089</f>
        <v>#VALUE!</v>
      </c>
      <c r="B554" s="1" t="s">
        <v>219</v>
      </c>
      <c r="C554" s="2">
        <v>0</v>
      </c>
      <c r="I554" s="2" t="e">
        <v>#VALUE!</v>
      </c>
      <c r="J554" s="2">
        <f>'Converted Diagram'!$L$1089</f>
        <v>0</v>
      </c>
      <c r="K554" s="2" t="e">
        <f>'Converted Diagram'!$L$1088</f>
        <v>#VALUE!</v>
      </c>
      <c r="L554" s="2" t="s">
        <v>762</v>
      </c>
      <c r="M554" s="2">
        <v>0</v>
      </c>
      <c r="P554" s="2" t="b">
        <v>0</v>
      </c>
    </row>
    <row r="555" spans="1:16" x14ac:dyDescent="0.3">
      <c r="A555" s="2" t="e">
        <f>'Converted Diagram'!$I$1091</f>
        <v>#VALUE!</v>
      </c>
      <c r="B555" s="1" t="s">
        <v>31</v>
      </c>
      <c r="C555" s="2">
        <v>0</v>
      </c>
      <c r="I555" s="2" t="s">
        <v>217</v>
      </c>
      <c r="J555" s="2">
        <f>'Converted Diagram'!$H$1091</f>
        <v>0</v>
      </c>
      <c r="K555" s="2" t="e">
        <f>'Converted Diagram'!$H$1090</f>
        <v>#VALUE!</v>
      </c>
      <c r="L555" s="2" t="s">
        <v>763</v>
      </c>
      <c r="M555" s="2">
        <v>0</v>
      </c>
      <c r="O555" s="2" t="str">
        <f>'Converted Diagram'!$I$1090</f>
        <v>Floor</v>
      </c>
      <c r="P555" s="2" t="b">
        <v>0</v>
      </c>
    </row>
    <row r="556" spans="1:16" x14ac:dyDescent="0.3">
      <c r="A556" s="2" t="e">
        <f>'Converted Diagram'!$J$1093</f>
        <v>#VALUE!</v>
      </c>
      <c r="B556" s="1" t="s">
        <v>32</v>
      </c>
      <c r="C556" s="2">
        <v>0</v>
      </c>
      <c r="I556" s="2" t="s">
        <v>217</v>
      </c>
      <c r="J556" s="2">
        <f>'Converted Diagram'!$I$1093</f>
        <v>0</v>
      </c>
      <c r="K556" s="2" t="e">
        <f>'Converted Diagram'!$I$1092</f>
        <v>#VALUE!</v>
      </c>
      <c r="L556" s="2" t="s">
        <v>764</v>
      </c>
      <c r="M556" s="2">
        <v>0</v>
      </c>
      <c r="O556" s="2" t="str">
        <f>'Converted Diagram'!$J$1092</f>
        <v>Reduce Commute Time</v>
      </c>
      <c r="P556" s="2" t="b">
        <v>0</v>
      </c>
    </row>
    <row r="557" spans="1:16" x14ac:dyDescent="0.3">
      <c r="A557" s="2" t="e">
        <f>'Converted Diagram'!$K$1095</f>
        <v>#VALUE!</v>
      </c>
      <c r="B557" s="1" t="s">
        <v>219</v>
      </c>
      <c r="C557" s="2">
        <v>0</v>
      </c>
      <c r="I557" s="2" t="s">
        <v>217</v>
      </c>
      <c r="J557" s="2">
        <f>'Converted Diagram'!$J$1095</f>
        <v>0</v>
      </c>
      <c r="K557" s="2" t="e">
        <f>'Converted Diagram'!$J$1094</f>
        <v>#VALUE!</v>
      </c>
      <c r="L557" s="2" t="s">
        <v>765</v>
      </c>
      <c r="M557" s="2">
        <v>0</v>
      </c>
      <c r="O557" s="2" t="str">
        <f>'Converted Diagram'!$K$1094</f>
        <v>Reduce overall rent</v>
      </c>
      <c r="P557" s="2" t="b">
        <v>0</v>
      </c>
    </row>
    <row r="558" spans="1:16" x14ac:dyDescent="0.3">
      <c r="A558" s="2" t="e">
        <f>'Converted Diagram'!$L$1097</f>
        <v>#VALUE!</v>
      </c>
      <c r="B558" s="1" t="s">
        <v>219</v>
      </c>
      <c r="C558" s="2">
        <v>0</v>
      </c>
      <c r="I558" s="2" t="s">
        <v>217</v>
      </c>
      <c r="J558" s="2">
        <f>'Converted Diagram'!$K$1097</f>
        <v>0</v>
      </c>
      <c r="K558" s="2" t="e">
        <f>'Converted Diagram'!$K$1096</f>
        <v>#VALUE!</v>
      </c>
      <c r="L558" s="2" t="s">
        <v>766</v>
      </c>
      <c r="M558" s="2">
        <v>0</v>
      </c>
      <c r="O558" s="2" t="str">
        <f>'Converted Diagram'!$L$1096</f>
        <v>Increase Overall Convenience</v>
      </c>
      <c r="P558" s="2" t="b">
        <v>0</v>
      </c>
    </row>
    <row r="559" spans="1:16" x14ac:dyDescent="0.3">
      <c r="A559" s="2" t="e">
        <f>'Converted Diagram'!$M$1099</f>
        <v>#VALUE!</v>
      </c>
      <c r="B559" s="1" t="s">
        <v>219</v>
      </c>
      <c r="C559" s="2">
        <v>0</v>
      </c>
      <c r="I559" s="2" t="e">
        <v>#VALUE!</v>
      </c>
      <c r="J559" s="2">
        <f>'Converted Diagram'!$L$1099</f>
        <v>0</v>
      </c>
      <c r="K559" s="2" t="e">
        <f>'Converted Diagram'!$L$1098</f>
        <v>#VALUE!</v>
      </c>
      <c r="L559" s="2" t="s">
        <v>767</v>
      </c>
      <c r="M559" s="2">
        <v>0</v>
      </c>
      <c r="P559" s="2" t="b">
        <v>0</v>
      </c>
    </row>
    <row r="560" spans="1:16" x14ac:dyDescent="0.3">
      <c r="A560" s="2" t="e">
        <f>'Converted Diagram'!$H$1101</f>
        <v>#VALUE!</v>
      </c>
      <c r="B560" s="1" t="s">
        <v>32</v>
      </c>
      <c r="C560" s="2">
        <v>0</v>
      </c>
      <c r="I560" s="2" t="s">
        <v>217</v>
      </c>
      <c r="J560" s="2">
        <f>'Converted Diagram'!$G$1101</f>
        <v>0</v>
      </c>
      <c r="K560" s="2" t="e">
        <f>'Converted Diagram'!$G$1100</f>
        <v>#VALUE!</v>
      </c>
      <c r="L560" s="2" t="s">
        <v>768</v>
      </c>
      <c r="M560" s="2">
        <v>0</v>
      </c>
      <c r="O560" s="2" t="str">
        <f>'Converted Diagram'!$H$1100</f>
        <v>Wi-Fi &amp; Cable Ready</v>
      </c>
      <c r="P560" s="2" t="b">
        <v>0</v>
      </c>
    </row>
    <row r="561" spans="1:16" x14ac:dyDescent="0.3">
      <c r="A561" s="2" t="e">
        <f>'Converted Diagram'!$J$1103</f>
        <v>#VALUE!</v>
      </c>
      <c r="B561" s="1" t="s">
        <v>31</v>
      </c>
      <c r="C561" s="2">
        <v>0</v>
      </c>
      <c r="I561" s="2" t="s">
        <v>217</v>
      </c>
      <c r="J561" s="2">
        <f>'Converted Diagram'!$I$1103</f>
        <v>0</v>
      </c>
      <c r="K561" s="2" t="e">
        <f>'Converted Diagram'!$I$1102</f>
        <v>#VALUE!</v>
      </c>
      <c r="L561" s="2" t="s">
        <v>769</v>
      </c>
      <c r="M561" s="2">
        <v>0</v>
      </c>
      <c r="O561" s="2" t="str">
        <f>'Converted Diagram'!$J$1102</f>
        <v>Reduce Commute Time</v>
      </c>
      <c r="P561" s="2" t="b">
        <v>0</v>
      </c>
    </row>
    <row r="562" spans="1:16" x14ac:dyDescent="0.3">
      <c r="A562" s="2" t="e">
        <f>'Converted Diagram'!$K$1105</f>
        <v>#VALUE!</v>
      </c>
      <c r="B562" s="1" t="s">
        <v>219</v>
      </c>
      <c r="C562" s="2">
        <v>0</v>
      </c>
      <c r="I562" s="2" t="s">
        <v>217</v>
      </c>
      <c r="J562" s="2">
        <f>'Converted Diagram'!$J$1105</f>
        <v>0</v>
      </c>
      <c r="K562" s="2" t="e">
        <f>'Converted Diagram'!$J$1104</f>
        <v>#VALUE!</v>
      </c>
      <c r="L562" s="2" t="s">
        <v>770</v>
      </c>
      <c r="M562" s="2">
        <v>0</v>
      </c>
      <c r="O562" s="2" t="str">
        <f>'Converted Diagram'!$K$1104</f>
        <v>Reduce overall rent</v>
      </c>
      <c r="P562" s="2" t="b">
        <v>0</v>
      </c>
    </row>
    <row r="563" spans="1:16" x14ac:dyDescent="0.3">
      <c r="A563" s="2" t="e">
        <f>'Converted Diagram'!$L$1107</f>
        <v>#VALUE!</v>
      </c>
      <c r="B563" s="1" t="s">
        <v>219</v>
      </c>
      <c r="C563" s="2">
        <v>0</v>
      </c>
      <c r="I563" s="2" t="s">
        <v>217</v>
      </c>
      <c r="J563" s="2">
        <f>'Converted Diagram'!$K$1107</f>
        <v>0</v>
      </c>
      <c r="K563" s="2" t="e">
        <f>'Converted Diagram'!$K$1106</f>
        <v>#VALUE!</v>
      </c>
      <c r="L563" s="2" t="s">
        <v>771</v>
      </c>
      <c r="M563" s="2">
        <v>0</v>
      </c>
      <c r="O563" s="2" t="str">
        <f>'Converted Diagram'!$L$1106</f>
        <v>Increase Overall Convenience</v>
      </c>
      <c r="P563" s="2" t="b">
        <v>0</v>
      </c>
    </row>
    <row r="564" spans="1:16" x14ac:dyDescent="0.3">
      <c r="A564" s="2" t="e">
        <f>'Converted Diagram'!$M$1109</f>
        <v>#VALUE!</v>
      </c>
      <c r="B564" s="1" t="s">
        <v>219</v>
      </c>
      <c r="C564" s="2">
        <v>0</v>
      </c>
      <c r="I564" s="2" t="e">
        <v>#VALUE!</v>
      </c>
      <c r="J564" s="2">
        <f>'Converted Diagram'!$L$1109</f>
        <v>0</v>
      </c>
      <c r="K564" s="2" t="e">
        <f>'Converted Diagram'!$L$1108</f>
        <v>#VALUE!</v>
      </c>
      <c r="L564" s="2" t="s">
        <v>772</v>
      </c>
      <c r="M564" s="2">
        <v>0</v>
      </c>
      <c r="P564" s="2" t="b">
        <v>0</v>
      </c>
    </row>
    <row r="565" spans="1:16" x14ac:dyDescent="0.3">
      <c r="A565" s="2" t="e">
        <f>'Converted Diagram'!$I$1111</f>
        <v>#VALUE!</v>
      </c>
      <c r="B565" s="1" t="s">
        <v>32</v>
      </c>
      <c r="C565" s="2">
        <v>0</v>
      </c>
      <c r="I565" s="2" t="s">
        <v>217</v>
      </c>
      <c r="J565" s="2">
        <f>'Converted Diagram'!$H$1111</f>
        <v>0</v>
      </c>
      <c r="K565" s="2" t="e">
        <f>'Converted Diagram'!$H$1110</f>
        <v>#VALUE!</v>
      </c>
      <c r="L565" s="2" t="s">
        <v>773</v>
      </c>
      <c r="M565" s="2">
        <v>0</v>
      </c>
      <c r="O565" s="2" t="str">
        <f>'Converted Diagram'!$I$1110</f>
        <v>Floor</v>
      </c>
      <c r="P565" s="2" t="b">
        <v>0</v>
      </c>
    </row>
    <row r="566" spans="1:16" x14ac:dyDescent="0.3">
      <c r="A566" s="2" t="e">
        <f>'Converted Diagram'!$J$1113</f>
        <v>#VALUE!</v>
      </c>
      <c r="B566" s="1" t="s">
        <v>32</v>
      </c>
      <c r="C566" s="2">
        <v>0</v>
      </c>
      <c r="I566" s="2" t="s">
        <v>217</v>
      </c>
      <c r="J566" s="2">
        <f>'Converted Diagram'!$I$1113</f>
        <v>0</v>
      </c>
      <c r="K566" s="2" t="e">
        <f>'Converted Diagram'!$I$1112</f>
        <v>#VALUE!</v>
      </c>
      <c r="L566" s="2" t="s">
        <v>774</v>
      </c>
      <c r="M566" s="2">
        <v>0</v>
      </c>
      <c r="O566" s="2" t="str">
        <f>'Converted Diagram'!$J$1112</f>
        <v>Reduce Commute Time</v>
      </c>
      <c r="P566" s="2" t="b">
        <v>0</v>
      </c>
    </row>
    <row r="567" spans="1:16" x14ac:dyDescent="0.3">
      <c r="A567" s="2" t="e">
        <f>'Converted Diagram'!$K$1115</f>
        <v>#VALUE!</v>
      </c>
      <c r="B567" s="1" t="s">
        <v>219</v>
      </c>
      <c r="C567" s="2">
        <v>0</v>
      </c>
      <c r="I567" s="2" t="s">
        <v>217</v>
      </c>
      <c r="J567" s="2">
        <f>'Converted Diagram'!$J$1115</f>
        <v>0</v>
      </c>
      <c r="K567" s="2" t="e">
        <f>'Converted Diagram'!$J$1114</f>
        <v>#VALUE!</v>
      </c>
      <c r="L567" s="2" t="s">
        <v>775</v>
      </c>
      <c r="M567" s="2">
        <v>0</v>
      </c>
      <c r="O567" s="2" t="str">
        <f>'Converted Diagram'!$K$1114</f>
        <v>Reduce overall rent</v>
      </c>
      <c r="P567" s="2" t="b">
        <v>0</v>
      </c>
    </row>
    <row r="568" spans="1:16" x14ac:dyDescent="0.3">
      <c r="A568" s="2" t="e">
        <f>'Converted Diagram'!$L$1117</f>
        <v>#VALUE!</v>
      </c>
      <c r="B568" s="1" t="s">
        <v>219</v>
      </c>
      <c r="C568" s="2">
        <v>0</v>
      </c>
      <c r="I568" s="2" t="s">
        <v>217</v>
      </c>
      <c r="J568" s="2">
        <f>'Converted Diagram'!$K$1117</f>
        <v>0</v>
      </c>
      <c r="K568" s="2" t="e">
        <f>'Converted Diagram'!$K$1116</f>
        <v>#VALUE!</v>
      </c>
      <c r="L568" s="2" t="s">
        <v>776</v>
      </c>
      <c r="M568" s="2">
        <v>0</v>
      </c>
      <c r="O568" s="2" t="str">
        <f>'Converted Diagram'!$L$1116</f>
        <v>Increase Overall Convenience</v>
      </c>
      <c r="P568" s="2" t="b">
        <v>0</v>
      </c>
    </row>
    <row r="569" spans="1:16" x14ac:dyDescent="0.3">
      <c r="A569" s="2" t="e">
        <f>'Converted Diagram'!$M$1119</f>
        <v>#VALUE!</v>
      </c>
      <c r="B569" s="1" t="s">
        <v>219</v>
      </c>
      <c r="C569" s="2">
        <v>0</v>
      </c>
      <c r="I569" s="2" t="e">
        <v>#VALUE!</v>
      </c>
      <c r="J569" s="2">
        <f>'Converted Diagram'!$L$1119</f>
        <v>0</v>
      </c>
      <c r="K569" s="2" t="e">
        <f>'Converted Diagram'!$L$1118</f>
        <v>#VALUE!</v>
      </c>
      <c r="L569" s="2" t="s">
        <v>777</v>
      </c>
      <c r="M569" s="2">
        <v>0</v>
      </c>
      <c r="P569" s="2" t="b">
        <v>0</v>
      </c>
    </row>
    <row r="570" spans="1:16" x14ac:dyDescent="0.3">
      <c r="A570" s="2" t="e">
        <f>'Converted Diagram'!$E$1121</f>
        <v>#VALUE!</v>
      </c>
      <c r="B570" s="1" t="s">
        <v>32</v>
      </c>
      <c r="C570" s="2">
        <v>0</v>
      </c>
      <c r="I570" s="2" t="s">
        <v>217</v>
      </c>
      <c r="J570" s="2">
        <f>'Converted Diagram'!$D$1121</f>
        <v>0</v>
      </c>
      <c r="L570" s="2" t="s">
        <v>778</v>
      </c>
      <c r="M570" s="2">
        <v>0</v>
      </c>
      <c r="O570" s="2" t="str">
        <f>'Converted Diagram'!$E$1120</f>
        <v>Nearest Transportation Station</v>
      </c>
      <c r="P570" s="2" t="b">
        <v>0</v>
      </c>
    </row>
    <row r="571" spans="1:16" x14ac:dyDescent="0.3">
      <c r="A571" s="2" t="e">
        <f>'Converted Diagram'!$J$1123</f>
        <v>#VALUE!</v>
      </c>
      <c r="B571" s="1" t="s">
        <v>31</v>
      </c>
      <c r="C571" s="2">
        <v>0</v>
      </c>
      <c r="I571" s="2" t="s">
        <v>217</v>
      </c>
      <c r="J571" s="2">
        <f>'Converted Diagram'!$I$1123</f>
        <v>0</v>
      </c>
      <c r="K571" s="2" t="e">
        <f>'Converted Diagram'!$I$1122</f>
        <v>#VALUE!</v>
      </c>
      <c r="L571" s="2" t="s">
        <v>779</v>
      </c>
      <c r="M571" s="2">
        <v>0</v>
      </c>
      <c r="O571" s="2" t="str">
        <f>'Converted Diagram'!$J$1122</f>
        <v>Reduce Commute Time</v>
      </c>
      <c r="P571" s="2" t="b">
        <v>0</v>
      </c>
    </row>
    <row r="572" spans="1:16" x14ac:dyDescent="0.3">
      <c r="A572" s="2" t="e">
        <f>'Converted Diagram'!$K$1125</f>
        <v>#VALUE!</v>
      </c>
      <c r="B572" s="1" t="s">
        <v>219</v>
      </c>
      <c r="C572" s="2">
        <v>0</v>
      </c>
      <c r="I572" s="2" t="s">
        <v>217</v>
      </c>
      <c r="J572" s="2">
        <f>'Converted Diagram'!$J$1125</f>
        <v>0</v>
      </c>
      <c r="K572" s="2" t="e">
        <f>'Converted Diagram'!$J$1124</f>
        <v>#VALUE!</v>
      </c>
      <c r="L572" s="2" t="s">
        <v>780</v>
      </c>
      <c r="M572" s="2">
        <v>0</v>
      </c>
      <c r="O572" s="2" t="str">
        <f>'Converted Diagram'!$K$1124</f>
        <v>Reduce overall rent</v>
      </c>
      <c r="P572" s="2" t="b">
        <v>0</v>
      </c>
    </row>
    <row r="573" spans="1:16" x14ac:dyDescent="0.3">
      <c r="A573" s="2" t="e">
        <f>'Converted Diagram'!$L$1127</f>
        <v>#VALUE!</v>
      </c>
      <c r="B573" s="1" t="s">
        <v>219</v>
      </c>
      <c r="C573" s="2">
        <v>0</v>
      </c>
      <c r="I573" s="2" t="s">
        <v>217</v>
      </c>
      <c r="J573" s="2">
        <f>'Converted Diagram'!$K$1127</f>
        <v>0</v>
      </c>
      <c r="K573" s="2" t="e">
        <f>'Converted Diagram'!$K$1126</f>
        <v>#VALUE!</v>
      </c>
      <c r="L573" s="2" t="s">
        <v>781</v>
      </c>
      <c r="M573" s="2">
        <v>0</v>
      </c>
      <c r="O573" s="2" t="str">
        <f>'Converted Diagram'!$L$1126</f>
        <v>Increase Overall Convenience</v>
      </c>
      <c r="P573" s="2" t="b">
        <v>0</v>
      </c>
    </row>
    <row r="574" spans="1:16" x14ac:dyDescent="0.3">
      <c r="A574" s="2" t="e">
        <f>'Converted Diagram'!$M$1129</f>
        <v>#VALUE!</v>
      </c>
      <c r="B574" s="1" t="s">
        <v>219</v>
      </c>
      <c r="C574" s="2">
        <v>0</v>
      </c>
      <c r="I574" s="2" t="e">
        <v>#VALUE!</v>
      </c>
      <c r="J574" s="2">
        <f>'Converted Diagram'!$L$1129</f>
        <v>0</v>
      </c>
      <c r="K574" s="2" t="e">
        <f>'Converted Diagram'!$L$1128</f>
        <v>#VALUE!</v>
      </c>
      <c r="L574" s="2" t="s">
        <v>782</v>
      </c>
      <c r="M574" s="2">
        <v>0</v>
      </c>
      <c r="P574" s="2" t="b">
        <v>0</v>
      </c>
    </row>
    <row r="575" spans="1:16" x14ac:dyDescent="0.3">
      <c r="A575" s="2" t="e">
        <f>'Converted Diagram'!$I$1131</f>
        <v>#VALUE!</v>
      </c>
      <c r="B575" s="1" t="s">
        <v>31</v>
      </c>
      <c r="C575" s="2">
        <v>0</v>
      </c>
      <c r="I575" s="2" t="s">
        <v>217</v>
      </c>
      <c r="J575" s="2">
        <f>'Converted Diagram'!$H$1131</f>
        <v>0</v>
      </c>
      <c r="K575" s="2" t="e">
        <f>'Converted Diagram'!$H$1130</f>
        <v>#VALUE!</v>
      </c>
      <c r="L575" s="2" t="s">
        <v>783</v>
      </c>
      <c r="M575" s="2">
        <v>0</v>
      </c>
      <c r="O575" s="2" t="str">
        <f>'Converted Diagram'!$I$1130</f>
        <v>Floor</v>
      </c>
      <c r="P575" s="2" t="b">
        <v>0</v>
      </c>
    </row>
    <row r="576" spans="1:16" x14ac:dyDescent="0.3">
      <c r="A576" s="2" t="e">
        <f>'Converted Diagram'!$J$1133</f>
        <v>#VALUE!</v>
      </c>
      <c r="B576" s="1" t="s">
        <v>32</v>
      </c>
      <c r="C576" s="2">
        <v>0</v>
      </c>
      <c r="I576" s="2" t="s">
        <v>217</v>
      </c>
      <c r="J576" s="2">
        <f>'Converted Diagram'!$I$1133</f>
        <v>0</v>
      </c>
      <c r="K576" s="2" t="e">
        <f>'Converted Diagram'!$I$1132</f>
        <v>#VALUE!</v>
      </c>
      <c r="L576" s="2" t="s">
        <v>784</v>
      </c>
      <c r="M576" s="2">
        <v>0</v>
      </c>
      <c r="O576" s="2" t="str">
        <f>'Converted Diagram'!$J$1132</f>
        <v>Reduce Commute Time</v>
      </c>
      <c r="P576" s="2" t="b">
        <v>0</v>
      </c>
    </row>
    <row r="577" spans="1:16" x14ac:dyDescent="0.3">
      <c r="A577" s="2" t="e">
        <f>'Converted Diagram'!$K$1135</f>
        <v>#VALUE!</v>
      </c>
      <c r="B577" s="1" t="s">
        <v>219</v>
      </c>
      <c r="C577" s="2">
        <v>0</v>
      </c>
      <c r="I577" s="2" t="s">
        <v>217</v>
      </c>
      <c r="J577" s="2">
        <f>'Converted Diagram'!$J$1135</f>
        <v>0</v>
      </c>
      <c r="K577" s="2" t="e">
        <f>'Converted Diagram'!$J$1134</f>
        <v>#VALUE!</v>
      </c>
      <c r="L577" s="2" t="s">
        <v>785</v>
      </c>
      <c r="M577" s="2">
        <v>0</v>
      </c>
      <c r="O577" s="2" t="str">
        <f>'Converted Diagram'!$K$1134</f>
        <v>Reduce overall rent</v>
      </c>
      <c r="P577" s="2" t="b">
        <v>0</v>
      </c>
    </row>
    <row r="578" spans="1:16" x14ac:dyDescent="0.3">
      <c r="A578" s="2" t="e">
        <f>'Converted Diagram'!$L$1137</f>
        <v>#VALUE!</v>
      </c>
      <c r="B578" s="1" t="s">
        <v>219</v>
      </c>
      <c r="C578" s="2">
        <v>0</v>
      </c>
      <c r="I578" s="2" t="s">
        <v>217</v>
      </c>
      <c r="J578" s="2">
        <f>'Converted Diagram'!$K$1137</f>
        <v>0</v>
      </c>
      <c r="K578" s="2" t="e">
        <f>'Converted Diagram'!$K$1136</f>
        <v>#VALUE!</v>
      </c>
      <c r="L578" s="2" t="s">
        <v>786</v>
      </c>
      <c r="M578" s="2">
        <v>0</v>
      </c>
      <c r="O578" s="2" t="str">
        <f>'Converted Diagram'!$L$1136</f>
        <v>Increase Overall Convenience</v>
      </c>
      <c r="P578" s="2" t="b">
        <v>0</v>
      </c>
    </row>
    <row r="579" spans="1:16" x14ac:dyDescent="0.3">
      <c r="A579" s="2" t="e">
        <f>'Converted Diagram'!$M$1139</f>
        <v>#VALUE!</v>
      </c>
      <c r="B579" s="1" t="s">
        <v>219</v>
      </c>
      <c r="C579" s="2">
        <v>0</v>
      </c>
      <c r="I579" s="2" t="e">
        <v>#VALUE!</v>
      </c>
      <c r="J579" s="2">
        <f>'Converted Diagram'!$L$1139</f>
        <v>0</v>
      </c>
      <c r="K579" s="2" t="e">
        <f>'Converted Diagram'!$L$1138</f>
        <v>#VALUE!</v>
      </c>
      <c r="L579" s="2" t="s">
        <v>787</v>
      </c>
      <c r="M579" s="2">
        <v>0</v>
      </c>
      <c r="P579" s="2" t="b">
        <v>0</v>
      </c>
    </row>
    <row r="580" spans="1:16" x14ac:dyDescent="0.3">
      <c r="A580" s="2" t="e">
        <f>'Converted Diagram'!$H$1141</f>
        <v>#VALUE!</v>
      </c>
      <c r="B580" s="1" t="s">
        <v>31</v>
      </c>
      <c r="C580" s="2">
        <v>0</v>
      </c>
      <c r="I580" s="2" t="s">
        <v>217</v>
      </c>
      <c r="J580" s="2">
        <f>'Converted Diagram'!$G$1141</f>
        <v>0</v>
      </c>
      <c r="K580" s="2" t="e">
        <f>'Converted Diagram'!$G$1140</f>
        <v>#VALUE!</v>
      </c>
      <c r="L580" s="2" t="s">
        <v>788</v>
      </c>
      <c r="M580" s="2">
        <v>0</v>
      </c>
      <c r="O580" s="2" t="str">
        <f>'Converted Diagram'!$H$1140</f>
        <v>Wi-Fi &amp; Cable Ready</v>
      </c>
      <c r="P580" s="2" t="b">
        <v>0</v>
      </c>
    </row>
    <row r="581" spans="1:16" x14ac:dyDescent="0.3">
      <c r="A581" s="2" t="e">
        <f>'Converted Diagram'!$J$1143</f>
        <v>#VALUE!</v>
      </c>
      <c r="B581" s="1" t="s">
        <v>31</v>
      </c>
      <c r="C581" s="2">
        <v>0</v>
      </c>
      <c r="I581" s="2" t="s">
        <v>217</v>
      </c>
      <c r="J581" s="2">
        <f>'Converted Diagram'!$I$1143</f>
        <v>0</v>
      </c>
      <c r="K581" s="2" t="e">
        <f>'Converted Diagram'!$I$1142</f>
        <v>#VALUE!</v>
      </c>
      <c r="L581" s="2" t="s">
        <v>789</v>
      </c>
      <c r="M581" s="2">
        <v>0</v>
      </c>
      <c r="O581" s="2" t="str">
        <f>'Converted Diagram'!$J$1142</f>
        <v>Reduce Commute Time</v>
      </c>
      <c r="P581" s="2" t="b">
        <v>0</v>
      </c>
    </row>
    <row r="582" spans="1:16" x14ac:dyDescent="0.3">
      <c r="A582" s="2" t="e">
        <f>'Converted Diagram'!$K$1145</f>
        <v>#VALUE!</v>
      </c>
      <c r="B582" s="1" t="s">
        <v>219</v>
      </c>
      <c r="C582" s="2">
        <v>0</v>
      </c>
      <c r="I582" s="2" t="s">
        <v>217</v>
      </c>
      <c r="J582" s="2">
        <f>'Converted Diagram'!$J$1145</f>
        <v>0</v>
      </c>
      <c r="K582" s="2" t="e">
        <f>'Converted Diagram'!$J$1144</f>
        <v>#VALUE!</v>
      </c>
      <c r="L582" s="2" t="s">
        <v>790</v>
      </c>
      <c r="M582" s="2">
        <v>0</v>
      </c>
      <c r="O582" s="2" t="str">
        <f>'Converted Diagram'!$K$1144</f>
        <v>Reduce overall rent</v>
      </c>
      <c r="P582" s="2" t="b">
        <v>0</v>
      </c>
    </row>
    <row r="583" spans="1:16" x14ac:dyDescent="0.3">
      <c r="A583" s="2" t="e">
        <f>'Converted Diagram'!$L$1147</f>
        <v>#VALUE!</v>
      </c>
      <c r="B583" s="1" t="s">
        <v>219</v>
      </c>
      <c r="C583" s="2">
        <v>0</v>
      </c>
      <c r="I583" s="2" t="s">
        <v>217</v>
      </c>
      <c r="J583" s="2">
        <f>'Converted Diagram'!$K$1147</f>
        <v>0</v>
      </c>
      <c r="K583" s="2" t="e">
        <f>'Converted Diagram'!$K$1146</f>
        <v>#VALUE!</v>
      </c>
      <c r="L583" s="2" t="s">
        <v>791</v>
      </c>
      <c r="M583" s="2">
        <v>0</v>
      </c>
      <c r="O583" s="2" t="str">
        <f>'Converted Diagram'!$L$1146</f>
        <v>Increase Overall Convenience</v>
      </c>
      <c r="P583" s="2" t="b">
        <v>0</v>
      </c>
    </row>
    <row r="584" spans="1:16" x14ac:dyDescent="0.3">
      <c r="A584" s="2" t="e">
        <f>'Converted Diagram'!$M$1149</f>
        <v>#VALUE!</v>
      </c>
      <c r="B584" s="1" t="s">
        <v>219</v>
      </c>
      <c r="C584" s="2">
        <v>0</v>
      </c>
      <c r="I584" s="2" t="e">
        <v>#VALUE!</v>
      </c>
      <c r="J584" s="2">
        <f>'Converted Diagram'!$L$1149</f>
        <v>0</v>
      </c>
      <c r="K584" s="2" t="e">
        <f>'Converted Diagram'!$L$1148</f>
        <v>#VALUE!</v>
      </c>
      <c r="L584" s="2" t="s">
        <v>792</v>
      </c>
      <c r="M584" s="2">
        <v>0</v>
      </c>
      <c r="P584" s="2" t="b">
        <v>0</v>
      </c>
    </row>
    <row r="585" spans="1:16" x14ac:dyDescent="0.3">
      <c r="A585" s="2" t="e">
        <f>'Converted Diagram'!$I$1151</f>
        <v>#VALUE!</v>
      </c>
      <c r="B585" s="1" t="s">
        <v>32</v>
      </c>
      <c r="C585" s="2">
        <v>0</v>
      </c>
      <c r="I585" s="2" t="s">
        <v>217</v>
      </c>
      <c r="J585" s="2">
        <f>'Converted Diagram'!$H$1151</f>
        <v>0</v>
      </c>
      <c r="K585" s="2" t="e">
        <f>'Converted Diagram'!$H$1150</f>
        <v>#VALUE!</v>
      </c>
      <c r="L585" s="2" t="s">
        <v>793</v>
      </c>
      <c r="M585" s="2">
        <v>0</v>
      </c>
      <c r="O585" s="2" t="str">
        <f>'Converted Diagram'!$I$1150</f>
        <v>Floor</v>
      </c>
      <c r="P585" s="2" t="b">
        <v>0</v>
      </c>
    </row>
    <row r="586" spans="1:16" x14ac:dyDescent="0.3">
      <c r="A586" s="2" t="e">
        <f>'Converted Diagram'!$J$1153</f>
        <v>#VALUE!</v>
      </c>
      <c r="B586" s="1" t="s">
        <v>32</v>
      </c>
      <c r="C586" s="2">
        <v>0</v>
      </c>
      <c r="I586" s="2" t="s">
        <v>217</v>
      </c>
      <c r="J586" s="2">
        <f>'Converted Diagram'!$I$1153</f>
        <v>0</v>
      </c>
      <c r="K586" s="2" t="e">
        <f>'Converted Diagram'!$I$1152</f>
        <v>#VALUE!</v>
      </c>
      <c r="L586" s="2" t="s">
        <v>794</v>
      </c>
      <c r="M586" s="2">
        <v>0</v>
      </c>
      <c r="O586" s="2" t="str">
        <f>'Converted Diagram'!$J$1152</f>
        <v>Reduce Commute Time</v>
      </c>
      <c r="P586" s="2" t="b">
        <v>0</v>
      </c>
    </row>
    <row r="587" spans="1:16" x14ac:dyDescent="0.3">
      <c r="A587" s="2" t="e">
        <f>'Converted Diagram'!$K$1155</f>
        <v>#VALUE!</v>
      </c>
      <c r="B587" s="1" t="s">
        <v>219</v>
      </c>
      <c r="C587" s="2">
        <v>0</v>
      </c>
      <c r="I587" s="2" t="s">
        <v>217</v>
      </c>
      <c r="J587" s="2">
        <f>'Converted Diagram'!$J$1155</f>
        <v>0</v>
      </c>
      <c r="K587" s="2" t="e">
        <f>'Converted Diagram'!$J$1154</f>
        <v>#VALUE!</v>
      </c>
      <c r="L587" s="2" t="s">
        <v>795</v>
      </c>
      <c r="M587" s="2">
        <v>0</v>
      </c>
      <c r="O587" s="2" t="str">
        <f>'Converted Diagram'!$K$1154</f>
        <v>Reduce overall rent</v>
      </c>
      <c r="P587" s="2" t="b">
        <v>0</v>
      </c>
    </row>
    <row r="588" spans="1:16" x14ac:dyDescent="0.3">
      <c r="A588" s="2" t="e">
        <f>'Converted Diagram'!$L$1157</f>
        <v>#VALUE!</v>
      </c>
      <c r="B588" s="1" t="s">
        <v>219</v>
      </c>
      <c r="C588" s="2">
        <v>0</v>
      </c>
      <c r="I588" s="2" t="s">
        <v>217</v>
      </c>
      <c r="J588" s="2">
        <f>'Converted Diagram'!$K$1157</f>
        <v>0</v>
      </c>
      <c r="K588" s="2" t="e">
        <f>'Converted Diagram'!$K$1156</f>
        <v>#VALUE!</v>
      </c>
      <c r="L588" s="2" t="s">
        <v>796</v>
      </c>
      <c r="M588" s="2">
        <v>0</v>
      </c>
      <c r="O588" s="2" t="str">
        <f>'Converted Diagram'!$L$1156</f>
        <v>Increase Overall Convenience</v>
      </c>
      <c r="P588" s="2" t="b">
        <v>0</v>
      </c>
    </row>
    <row r="589" spans="1:16" x14ac:dyDescent="0.3">
      <c r="A589" s="2" t="e">
        <f>'Converted Diagram'!$M$1159</f>
        <v>#VALUE!</v>
      </c>
      <c r="B589" s="1" t="s">
        <v>219</v>
      </c>
      <c r="C589" s="2">
        <v>0</v>
      </c>
      <c r="I589" s="2" t="e">
        <v>#VALUE!</v>
      </c>
      <c r="J589" s="2">
        <f>'Converted Diagram'!$L$1159</f>
        <v>0</v>
      </c>
      <c r="K589" s="2" t="e">
        <f>'Converted Diagram'!$L$1158</f>
        <v>#VALUE!</v>
      </c>
      <c r="L589" s="2" t="s">
        <v>797</v>
      </c>
      <c r="M589" s="2">
        <v>0</v>
      </c>
      <c r="P589" s="2" t="b">
        <v>0</v>
      </c>
    </row>
    <row r="590" spans="1:16" x14ac:dyDescent="0.3">
      <c r="A590" s="2" t="e">
        <f>'Converted Diagram'!$G$1161</f>
        <v>#VALUE!</v>
      </c>
      <c r="B590" s="1" t="s">
        <v>31</v>
      </c>
      <c r="C590" s="2">
        <v>0</v>
      </c>
      <c r="I590" s="2" t="s">
        <v>217</v>
      </c>
      <c r="J590" s="2">
        <f>'Converted Diagram'!$F$1161</f>
        <v>0</v>
      </c>
      <c r="K590" s="2" t="e">
        <f>'Converted Diagram'!$F$1160</f>
        <v>#VALUE!</v>
      </c>
      <c r="L590" s="2" t="s">
        <v>798</v>
      </c>
      <c r="M590" s="2">
        <v>0</v>
      </c>
      <c r="O590" s="2" t="str">
        <f>'Converted Diagram'!$G$1160</f>
        <v>Grocery Store</v>
      </c>
      <c r="P590" s="2" t="b">
        <v>0</v>
      </c>
    </row>
    <row r="591" spans="1:16" x14ac:dyDescent="0.3">
      <c r="A591" s="2" t="e">
        <f>'Converted Diagram'!$J$1163</f>
        <v>#VALUE!</v>
      </c>
      <c r="B591" s="1" t="s">
        <v>31</v>
      </c>
      <c r="C591" s="2">
        <v>0</v>
      </c>
      <c r="I591" s="2" t="s">
        <v>217</v>
      </c>
      <c r="J591" s="2">
        <f>'Converted Diagram'!$I$1163</f>
        <v>0</v>
      </c>
      <c r="K591" s="2" t="e">
        <f>'Converted Diagram'!$I$1162</f>
        <v>#VALUE!</v>
      </c>
      <c r="L591" s="2" t="s">
        <v>799</v>
      </c>
      <c r="M591" s="2">
        <v>0</v>
      </c>
      <c r="O591" s="2" t="str">
        <f>'Converted Diagram'!$J$1162</f>
        <v>Reduce Commute Time</v>
      </c>
      <c r="P591" s="2" t="b">
        <v>0</v>
      </c>
    </row>
    <row r="592" spans="1:16" x14ac:dyDescent="0.3">
      <c r="A592" s="2" t="e">
        <f>'Converted Diagram'!$K$1165</f>
        <v>#VALUE!</v>
      </c>
      <c r="B592" s="1" t="s">
        <v>219</v>
      </c>
      <c r="C592" s="2">
        <v>0</v>
      </c>
      <c r="I592" s="2" t="s">
        <v>217</v>
      </c>
      <c r="J592" s="2">
        <f>'Converted Diagram'!$J$1165</f>
        <v>0</v>
      </c>
      <c r="K592" s="2" t="e">
        <f>'Converted Diagram'!$J$1164</f>
        <v>#VALUE!</v>
      </c>
      <c r="L592" s="2" t="s">
        <v>800</v>
      </c>
      <c r="M592" s="2">
        <v>0</v>
      </c>
      <c r="O592" s="2" t="str">
        <f>'Converted Diagram'!$K$1164</f>
        <v>Reduce overall rent</v>
      </c>
      <c r="P592" s="2" t="b">
        <v>0</v>
      </c>
    </row>
    <row r="593" spans="1:16" x14ac:dyDescent="0.3">
      <c r="A593" s="2" t="e">
        <f>'Converted Diagram'!$L$1167</f>
        <v>#VALUE!</v>
      </c>
      <c r="B593" s="1" t="s">
        <v>219</v>
      </c>
      <c r="C593" s="2">
        <v>0</v>
      </c>
      <c r="I593" s="2" t="s">
        <v>217</v>
      </c>
      <c r="J593" s="2">
        <f>'Converted Diagram'!$K$1167</f>
        <v>0</v>
      </c>
      <c r="K593" s="2" t="e">
        <f>'Converted Diagram'!$K$1166</f>
        <v>#VALUE!</v>
      </c>
      <c r="L593" s="2" t="s">
        <v>801</v>
      </c>
      <c r="M593" s="2">
        <v>0</v>
      </c>
      <c r="O593" s="2" t="str">
        <f>'Converted Diagram'!$L$1166</f>
        <v>Increase Overall Convenience</v>
      </c>
      <c r="P593" s="2" t="b">
        <v>0</v>
      </c>
    </row>
    <row r="594" spans="1:16" x14ac:dyDescent="0.3">
      <c r="A594" s="2" t="e">
        <f>'Converted Diagram'!$M$1169</f>
        <v>#VALUE!</v>
      </c>
      <c r="B594" s="1" t="s">
        <v>219</v>
      </c>
      <c r="C594" s="2">
        <v>0</v>
      </c>
      <c r="I594" s="2" t="e">
        <v>#VALUE!</v>
      </c>
      <c r="J594" s="2">
        <f>'Converted Diagram'!$L$1169</f>
        <v>0</v>
      </c>
      <c r="K594" s="2" t="e">
        <f>'Converted Diagram'!$L$1168</f>
        <v>#VALUE!</v>
      </c>
      <c r="L594" s="2" t="s">
        <v>802</v>
      </c>
      <c r="M594" s="2">
        <v>0</v>
      </c>
      <c r="P594" s="2" t="b">
        <v>0</v>
      </c>
    </row>
    <row r="595" spans="1:16" x14ac:dyDescent="0.3">
      <c r="A595" s="2" t="e">
        <f>'Converted Diagram'!$I$1171</f>
        <v>#VALUE!</v>
      </c>
      <c r="B595" s="1" t="s">
        <v>31</v>
      </c>
      <c r="C595" s="2">
        <v>0</v>
      </c>
      <c r="I595" s="2" t="s">
        <v>217</v>
      </c>
      <c r="J595" s="2">
        <f>'Converted Diagram'!$H$1171</f>
        <v>0</v>
      </c>
      <c r="K595" s="2" t="e">
        <f>'Converted Diagram'!$H$1170</f>
        <v>#VALUE!</v>
      </c>
      <c r="L595" s="2" t="s">
        <v>803</v>
      </c>
      <c r="M595" s="2">
        <v>0</v>
      </c>
      <c r="O595" s="2" t="str">
        <f>'Converted Diagram'!$I$1170</f>
        <v>Floor</v>
      </c>
      <c r="P595" s="2" t="b">
        <v>0</v>
      </c>
    </row>
    <row r="596" spans="1:16" x14ac:dyDescent="0.3">
      <c r="A596" s="2" t="e">
        <f>'Converted Diagram'!$J$1173</f>
        <v>#VALUE!</v>
      </c>
      <c r="B596" s="1" t="s">
        <v>32</v>
      </c>
      <c r="C596" s="2">
        <v>0</v>
      </c>
      <c r="I596" s="2" t="s">
        <v>217</v>
      </c>
      <c r="J596" s="2">
        <f>'Converted Diagram'!$I$1173</f>
        <v>0</v>
      </c>
      <c r="K596" s="2" t="e">
        <f>'Converted Diagram'!$I$1172</f>
        <v>#VALUE!</v>
      </c>
      <c r="L596" s="2" t="s">
        <v>804</v>
      </c>
      <c r="M596" s="2">
        <v>0</v>
      </c>
      <c r="O596" s="2" t="str">
        <f>'Converted Diagram'!$J$1172</f>
        <v>Reduce Commute Time</v>
      </c>
      <c r="P596" s="2" t="b">
        <v>0</v>
      </c>
    </row>
    <row r="597" spans="1:16" x14ac:dyDescent="0.3">
      <c r="A597" s="2" t="e">
        <f>'Converted Diagram'!$K$1175</f>
        <v>#VALUE!</v>
      </c>
      <c r="B597" s="1" t="s">
        <v>219</v>
      </c>
      <c r="C597" s="2">
        <v>0</v>
      </c>
      <c r="I597" s="2" t="s">
        <v>217</v>
      </c>
      <c r="J597" s="2">
        <f>'Converted Diagram'!$J$1175</f>
        <v>0</v>
      </c>
      <c r="K597" s="2" t="e">
        <f>'Converted Diagram'!$J$1174</f>
        <v>#VALUE!</v>
      </c>
      <c r="L597" s="2" t="s">
        <v>805</v>
      </c>
      <c r="M597" s="2">
        <v>0</v>
      </c>
      <c r="O597" s="2" t="str">
        <f>'Converted Diagram'!$K$1174</f>
        <v>Reduce overall rent</v>
      </c>
      <c r="P597" s="2" t="b">
        <v>0</v>
      </c>
    </row>
    <row r="598" spans="1:16" x14ac:dyDescent="0.3">
      <c r="A598" s="2" t="e">
        <f>'Converted Diagram'!$L$1177</f>
        <v>#VALUE!</v>
      </c>
      <c r="B598" s="1" t="s">
        <v>219</v>
      </c>
      <c r="C598" s="2">
        <v>0</v>
      </c>
      <c r="I598" s="2" t="s">
        <v>217</v>
      </c>
      <c r="J598" s="2">
        <f>'Converted Diagram'!$K$1177</f>
        <v>0</v>
      </c>
      <c r="K598" s="2" t="e">
        <f>'Converted Diagram'!$K$1176</f>
        <v>#VALUE!</v>
      </c>
      <c r="L598" s="2" t="s">
        <v>806</v>
      </c>
      <c r="M598" s="2">
        <v>0</v>
      </c>
      <c r="O598" s="2" t="str">
        <f>'Converted Diagram'!$L$1176</f>
        <v>Increase Overall Convenience</v>
      </c>
      <c r="P598" s="2" t="b">
        <v>0</v>
      </c>
    </row>
    <row r="599" spans="1:16" x14ac:dyDescent="0.3">
      <c r="A599" s="2" t="e">
        <f>'Converted Diagram'!$M$1179</f>
        <v>#VALUE!</v>
      </c>
      <c r="B599" s="1" t="s">
        <v>219</v>
      </c>
      <c r="C599" s="2">
        <v>0</v>
      </c>
      <c r="I599" s="2" t="e">
        <v>#VALUE!</v>
      </c>
      <c r="J599" s="2">
        <f>'Converted Diagram'!$L$1179</f>
        <v>0</v>
      </c>
      <c r="K599" s="2" t="e">
        <f>'Converted Diagram'!$L$1178</f>
        <v>#VALUE!</v>
      </c>
      <c r="L599" s="2" t="s">
        <v>807</v>
      </c>
      <c r="M599" s="2">
        <v>0</v>
      </c>
      <c r="P599" s="2" t="b">
        <v>0</v>
      </c>
    </row>
    <row r="600" spans="1:16" x14ac:dyDescent="0.3">
      <c r="A600" s="2" t="e">
        <f>'Converted Diagram'!$H$1181</f>
        <v>#VALUE!</v>
      </c>
      <c r="B600" s="1" t="s">
        <v>32</v>
      </c>
      <c r="C600" s="2">
        <v>0</v>
      </c>
      <c r="I600" s="2" t="s">
        <v>217</v>
      </c>
      <c r="J600" s="2">
        <f>'Converted Diagram'!$G$1181</f>
        <v>0</v>
      </c>
      <c r="K600" s="2" t="e">
        <f>'Converted Diagram'!$G$1180</f>
        <v>#VALUE!</v>
      </c>
      <c r="L600" s="2" t="s">
        <v>808</v>
      </c>
      <c r="M600" s="2">
        <v>0</v>
      </c>
      <c r="O600" s="2" t="str">
        <f>'Converted Diagram'!$H$1180</f>
        <v>Wi-Fi &amp; Cable Ready</v>
      </c>
      <c r="P600" s="2" t="b">
        <v>0</v>
      </c>
    </row>
    <row r="601" spans="1:16" x14ac:dyDescent="0.3">
      <c r="A601" s="2" t="e">
        <f>'Converted Diagram'!$J$1183</f>
        <v>#VALUE!</v>
      </c>
      <c r="B601" s="1" t="s">
        <v>31</v>
      </c>
      <c r="C601" s="2">
        <v>0</v>
      </c>
      <c r="I601" s="2" t="s">
        <v>217</v>
      </c>
      <c r="J601" s="2">
        <f>'Converted Diagram'!$I$1183</f>
        <v>0</v>
      </c>
      <c r="K601" s="2" t="e">
        <f>'Converted Diagram'!$I$1182</f>
        <v>#VALUE!</v>
      </c>
      <c r="L601" s="2" t="s">
        <v>809</v>
      </c>
      <c r="M601" s="2">
        <v>0</v>
      </c>
      <c r="O601" s="2" t="str">
        <f>'Converted Diagram'!$J$1182</f>
        <v>Reduce Commute Time</v>
      </c>
      <c r="P601" s="2" t="b">
        <v>0</v>
      </c>
    </row>
    <row r="602" spans="1:16" x14ac:dyDescent="0.3">
      <c r="A602" s="2" t="e">
        <f>'Converted Diagram'!$K$1185</f>
        <v>#VALUE!</v>
      </c>
      <c r="B602" s="1" t="s">
        <v>219</v>
      </c>
      <c r="C602" s="2">
        <v>0</v>
      </c>
      <c r="I602" s="2" t="s">
        <v>217</v>
      </c>
      <c r="J602" s="2">
        <f>'Converted Diagram'!$J$1185</f>
        <v>0</v>
      </c>
      <c r="K602" s="2" t="e">
        <f>'Converted Diagram'!$J$1184</f>
        <v>#VALUE!</v>
      </c>
      <c r="L602" s="2" t="s">
        <v>810</v>
      </c>
      <c r="M602" s="2">
        <v>0</v>
      </c>
      <c r="O602" s="2" t="str">
        <f>'Converted Diagram'!$K$1184</f>
        <v>Reduce overall rent</v>
      </c>
      <c r="P602" s="2" t="b">
        <v>0</v>
      </c>
    </row>
    <row r="603" spans="1:16" x14ac:dyDescent="0.3">
      <c r="A603" s="2" t="e">
        <f>'Converted Diagram'!$L$1187</f>
        <v>#VALUE!</v>
      </c>
      <c r="B603" s="1" t="s">
        <v>219</v>
      </c>
      <c r="C603" s="2">
        <v>0</v>
      </c>
      <c r="I603" s="2" t="s">
        <v>217</v>
      </c>
      <c r="J603" s="2">
        <f>'Converted Diagram'!$K$1187</f>
        <v>0</v>
      </c>
      <c r="K603" s="2" t="e">
        <f>'Converted Diagram'!$K$1186</f>
        <v>#VALUE!</v>
      </c>
      <c r="L603" s="2" t="s">
        <v>811</v>
      </c>
      <c r="M603" s="2">
        <v>0</v>
      </c>
      <c r="O603" s="2" t="str">
        <f>'Converted Diagram'!$L$1186</f>
        <v>Increase Overall Convenience</v>
      </c>
      <c r="P603" s="2" t="b">
        <v>0</v>
      </c>
    </row>
    <row r="604" spans="1:16" x14ac:dyDescent="0.3">
      <c r="A604" s="2" t="e">
        <f>'Converted Diagram'!$M$1189</f>
        <v>#VALUE!</v>
      </c>
      <c r="B604" s="1" t="s">
        <v>219</v>
      </c>
      <c r="C604" s="2">
        <v>0</v>
      </c>
      <c r="I604" s="2" t="e">
        <v>#VALUE!</v>
      </c>
      <c r="J604" s="2">
        <f>'Converted Diagram'!$L$1189</f>
        <v>0</v>
      </c>
      <c r="K604" s="2" t="e">
        <f>'Converted Diagram'!$L$1188</f>
        <v>#VALUE!</v>
      </c>
      <c r="L604" s="2" t="s">
        <v>812</v>
      </c>
      <c r="M604" s="2">
        <v>0</v>
      </c>
      <c r="P604" s="2" t="b">
        <v>0</v>
      </c>
    </row>
    <row r="605" spans="1:16" x14ac:dyDescent="0.3">
      <c r="A605" s="2" t="e">
        <f>'Converted Diagram'!$I$1191</f>
        <v>#VALUE!</v>
      </c>
      <c r="B605" s="1" t="s">
        <v>32</v>
      </c>
      <c r="C605" s="2">
        <v>0</v>
      </c>
      <c r="I605" s="2" t="s">
        <v>217</v>
      </c>
      <c r="J605" s="2">
        <f>'Converted Diagram'!$H$1191</f>
        <v>0</v>
      </c>
      <c r="K605" s="2" t="e">
        <f>'Converted Diagram'!$H$1190</f>
        <v>#VALUE!</v>
      </c>
      <c r="L605" s="2" t="s">
        <v>813</v>
      </c>
      <c r="M605" s="2">
        <v>0</v>
      </c>
      <c r="O605" s="2" t="str">
        <f>'Converted Diagram'!$I$1190</f>
        <v>Floor</v>
      </c>
      <c r="P605" s="2" t="b">
        <v>0</v>
      </c>
    </row>
    <row r="606" spans="1:16" x14ac:dyDescent="0.3">
      <c r="A606" s="2" t="e">
        <f>'Converted Diagram'!$J$1193</f>
        <v>#VALUE!</v>
      </c>
      <c r="B606" s="1" t="s">
        <v>32</v>
      </c>
      <c r="C606" s="2">
        <v>0</v>
      </c>
      <c r="I606" s="2" t="s">
        <v>217</v>
      </c>
      <c r="J606" s="2">
        <f>'Converted Diagram'!$I$1193</f>
        <v>0</v>
      </c>
      <c r="K606" s="2" t="e">
        <f>'Converted Diagram'!$I$1192</f>
        <v>#VALUE!</v>
      </c>
      <c r="L606" s="2" t="s">
        <v>814</v>
      </c>
      <c r="M606" s="2">
        <v>0</v>
      </c>
      <c r="O606" s="2" t="str">
        <f>'Converted Diagram'!$J$1192</f>
        <v>Reduce Commute Time</v>
      </c>
      <c r="P606" s="2" t="b">
        <v>0</v>
      </c>
    </row>
    <row r="607" spans="1:16" x14ac:dyDescent="0.3">
      <c r="A607" s="2" t="e">
        <f>'Converted Diagram'!$K$1195</f>
        <v>#VALUE!</v>
      </c>
      <c r="B607" s="1" t="s">
        <v>219</v>
      </c>
      <c r="C607" s="2">
        <v>0</v>
      </c>
      <c r="I607" s="2" t="s">
        <v>217</v>
      </c>
      <c r="J607" s="2">
        <f>'Converted Diagram'!$J$1195</f>
        <v>0</v>
      </c>
      <c r="K607" s="2" t="e">
        <f>'Converted Diagram'!$J$1194</f>
        <v>#VALUE!</v>
      </c>
      <c r="L607" s="2" t="s">
        <v>815</v>
      </c>
      <c r="M607" s="2">
        <v>0</v>
      </c>
      <c r="O607" s="2" t="str">
        <f>'Converted Diagram'!$K$1194</f>
        <v>Reduce overall rent</v>
      </c>
      <c r="P607" s="2" t="b">
        <v>0</v>
      </c>
    </row>
    <row r="608" spans="1:16" x14ac:dyDescent="0.3">
      <c r="A608" s="2" t="e">
        <f>'Converted Diagram'!$L$1197</f>
        <v>#VALUE!</v>
      </c>
      <c r="B608" s="1" t="s">
        <v>219</v>
      </c>
      <c r="C608" s="2">
        <v>0</v>
      </c>
      <c r="I608" s="2" t="s">
        <v>217</v>
      </c>
      <c r="J608" s="2">
        <f>'Converted Diagram'!$K$1197</f>
        <v>0</v>
      </c>
      <c r="K608" s="2" t="e">
        <f>'Converted Diagram'!$K$1196</f>
        <v>#VALUE!</v>
      </c>
      <c r="L608" s="2" t="s">
        <v>816</v>
      </c>
      <c r="M608" s="2">
        <v>0</v>
      </c>
      <c r="O608" s="2" t="str">
        <f>'Converted Diagram'!$L$1196</f>
        <v>Increase Overall Convenience</v>
      </c>
      <c r="P608" s="2" t="b">
        <v>0</v>
      </c>
    </row>
    <row r="609" spans="1:16" x14ac:dyDescent="0.3">
      <c r="A609" s="2" t="e">
        <f>'Converted Diagram'!$M$1199</f>
        <v>#VALUE!</v>
      </c>
      <c r="B609" s="1" t="s">
        <v>219</v>
      </c>
      <c r="C609" s="2">
        <v>0</v>
      </c>
      <c r="I609" s="2" t="e">
        <v>#VALUE!</v>
      </c>
      <c r="J609" s="2">
        <f>'Converted Diagram'!$L$1199</f>
        <v>0</v>
      </c>
      <c r="K609" s="2" t="e">
        <f>'Converted Diagram'!$L$1198</f>
        <v>#VALUE!</v>
      </c>
      <c r="L609" s="2" t="s">
        <v>817</v>
      </c>
      <c r="M609" s="2">
        <v>0</v>
      </c>
      <c r="P609" s="2" t="b">
        <v>0</v>
      </c>
    </row>
    <row r="610" spans="1:16" x14ac:dyDescent="0.3">
      <c r="A610" s="2" t="e">
        <f>'Converted Diagram'!$F$1201</f>
        <v>#VALUE!</v>
      </c>
      <c r="B610" s="1" t="s">
        <v>32</v>
      </c>
      <c r="C610" s="2">
        <v>0</v>
      </c>
      <c r="I610" s="2" t="s">
        <v>217</v>
      </c>
      <c r="J610" s="2">
        <f>'Converted Diagram'!$E$1201</f>
        <v>0</v>
      </c>
      <c r="K610" s="2" t="e">
        <f>'Converted Diagram'!$E$1200</f>
        <v>#VALUE!</v>
      </c>
      <c r="L610" s="2" t="s">
        <v>818</v>
      </c>
      <c r="M610" s="2">
        <v>0</v>
      </c>
      <c r="O610" s="2" t="str">
        <f>'Converted Diagram'!$F$1200</f>
        <v>Utilities</v>
      </c>
      <c r="P610" s="2" t="b">
        <v>0</v>
      </c>
    </row>
    <row r="611" spans="1:16" x14ac:dyDescent="0.3">
      <c r="A611" s="2" t="e">
        <f>'Converted Diagram'!$J$1203</f>
        <v>#VALUE!</v>
      </c>
      <c r="B611" s="1" t="s">
        <v>31</v>
      </c>
      <c r="C611" s="2">
        <v>0</v>
      </c>
      <c r="I611" s="2" t="s">
        <v>217</v>
      </c>
      <c r="J611" s="2">
        <f>'Converted Diagram'!$I$1203</f>
        <v>0</v>
      </c>
      <c r="K611" s="2" t="e">
        <f>'Converted Diagram'!$I$1202</f>
        <v>#VALUE!</v>
      </c>
      <c r="L611" s="2" t="s">
        <v>819</v>
      </c>
      <c r="M611" s="2">
        <v>0</v>
      </c>
      <c r="O611" s="2" t="str">
        <f>'Converted Diagram'!$J$1202</f>
        <v>Reduce Commute Time</v>
      </c>
      <c r="P611" s="2" t="b">
        <v>0</v>
      </c>
    </row>
    <row r="612" spans="1:16" x14ac:dyDescent="0.3">
      <c r="A612" s="2" t="e">
        <f>'Converted Diagram'!$K$1205</f>
        <v>#VALUE!</v>
      </c>
      <c r="B612" s="1" t="s">
        <v>219</v>
      </c>
      <c r="C612" s="2">
        <v>0</v>
      </c>
      <c r="I612" s="2" t="s">
        <v>217</v>
      </c>
      <c r="J612" s="2">
        <f>'Converted Diagram'!$J$1205</f>
        <v>0</v>
      </c>
      <c r="K612" s="2" t="e">
        <f>'Converted Diagram'!$J$1204</f>
        <v>#VALUE!</v>
      </c>
      <c r="L612" s="2" t="s">
        <v>820</v>
      </c>
      <c r="M612" s="2">
        <v>0</v>
      </c>
      <c r="O612" s="2" t="str">
        <f>'Converted Diagram'!$K$1204</f>
        <v>Reduce overall rent</v>
      </c>
      <c r="P612" s="2" t="b">
        <v>0</v>
      </c>
    </row>
    <row r="613" spans="1:16" x14ac:dyDescent="0.3">
      <c r="A613" s="2" t="e">
        <f>'Converted Diagram'!$L$1207</f>
        <v>#VALUE!</v>
      </c>
      <c r="B613" s="1" t="s">
        <v>219</v>
      </c>
      <c r="C613" s="2">
        <v>0</v>
      </c>
      <c r="I613" s="2" t="s">
        <v>217</v>
      </c>
      <c r="J613" s="2">
        <f>'Converted Diagram'!$K$1207</f>
        <v>0</v>
      </c>
      <c r="K613" s="2" t="e">
        <f>'Converted Diagram'!$K$1206</f>
        <v>#VALUE!</v>
      </c>
      <c r="L613" s="2" t="s">
        <v>821</v>
      </c>
      <c r="M613" s="2">
        <v>0</v>
      </c>
      <c r="O613" s="2" t="str">
        <f>'Converted Diagram'!$L$1206</f>
        <v>Increase Overall Convenience</v>
      </c>
      <c r="P613" s="2" t="b">
        <v>0</v>
      </c>
    </row>
    <row r="614" spans="1:16" x14ac:dyDescent="0.3">
      <c r="A614" s="2" t="e">
        <f>'Converted Diagram'!$M$1209</f>
        <v>#VALUE!</v>
      </c>
      <c r="B614" s="1" t="s">
        <v>219</v>
      </c>
      <c r="C614" s="2">
        <v>0</v>
      </c>
      <c r="I614" s="2" t="e">
        <v>#VALUE!</v>
      </c>
      <c r="J614" s="2">
        <f>'Converted Diagram'!$L$1209</f>
        <v>0</v>
      </c>
      <c r="K614" s="2" t="e">
        <f>'Converted Diagram'!$L$1208</f>
        <v>#VALUE!</v>
      </c>
      <c r="L614" s="2" t="s">
        <v>822</v>
      </c>
      <c r="M614" s="2">
        <v>0</v>
      </c>
      <c r="P614" s="2" t="b">
        <v>0</v>
      </c>
    </row>
    <row r="615" spans="1:16" x14ac:dyDescent="0.3">
      <c r="A615" s="2" t="e">
        <f>'Converted Diagram'!$I$1211</f>
        <v>#VALUE!</v>
      </c>
      <c r="B615" s="1" t="s">
        <v>31</v>
      </c>
      <c r="C615" s="2">
        <v>0</v>
      </c>
      <c r="I615" s="2" t="s">
        <v>217</v>
      </c>
      <c r="J615" s="2">
        <f>'Converted Diagram'!$H$1211</f>
        <v>0</v>
      </c>
      <c r="K615" s="2" t="e">
        <f>'Converted Diagram'!$H$1210</f>
        <v>#VALUE!</v>
      </c>
      <c r="L615" s="2" t="s">
        <v>823</v>
      </c>
      <c r="M615" s="2">
        <v>0</v>
      </c>
      <c r="O615" s="2" t="str">
        <f>'Converted Diagram'!$I$1210</f>
        <v>Floor</v>
      </c>
      <c r="P615" s="2" t="b">
        <v>0</v>
      </c>
    </row>
    <row r="616" spans="1:16" x14ac:dyDescent="0.3">
      <c r="A616" s="2" t="e">
        <f>'Converted Diagram'!$J$1213</f>
        <v>#VALUE!</v>
      </c>
      <c r="B616" s="1" t="s">
        <v>32</v>
      </c>
      <c r="C616" s="2">
        <v>0</v>
      </c>
      <c r="I616" s="2" t="s">
        <v>217</v>
      </c>
      <c r="J616" s="2">
        <f>'Converted Diagram'!$I$1213</f>
        <v>0</v>
      </c>
      <c r="K616" s="2" t="e">
        <f>'Converted Diagram'!$I$1212</f>
        <v>#VALUE!</v>
      </c>
      <c r="L616" s="2" t="s">
        <v>824</v>
      </c>
      <c r="M616" s="2">
        <v>0</v>
      </c>
      <c r="O616" s="2" t="str">
        <f>'Converted Diagram'!$J$1212</f>
        <v>Reduce Commute Time</v>
      </c>
      <c r="P616" s="2" t="b">
        <v>0</v>
      </c>
    </row>
    <row r="617" spans="1:16" x14ac:dyDescent="0.3">
      <c r="A617" s="2" t="e">
        <f>'Converted Diagram'!$K$1215</f>
        <v>#VALUE!</v>
      </c>
      <c r="B617" s="1" t="s">
        <v>219</v>
      </c>
      <c r="C617" s="2">
        <v>0</v>
      </c>
      <c r="I617" s="2" t="s">
        <v>217</v>
      </c>
      <c r="J617" s="2">
        <f>'Converted Diagram'!$J$1215</f>
        <v>0</v>
      </c>
      <c r="K617" s="2" t="e">
        <f>'Converted Diagram'!$J$1214</f>
        <v>#VALUE!</v>
      </c>
      <c r="L617" s="2" t="s">
        <v>825</v>
      </c>
      <c r="M617" s="2">
        <v>0</v>
      </c>
      <c r="O617" s="2" t="str">
        <f>'Converted Diagram'!$K$1214</f>
        <v>Reduce overall rent</v>
      </c>
      <c r="P617" s="2" t="b">
        <v>0</v>
      </c>
    </row>
    <row r="618" spans="1:16" x14ac:dyDescent="0.3">
      <c r="A618" s="2" t="e">
        <f>'Converted Diagram'!$L$1217</f>
        <v>#VALUE!</v>
      </c>
      <c r="B618" s="1" t="s">
        <v>219</v>
      </c>
      <c r="C618" s="2">
        <v>0</v>
      </c>
      <c r="I618" s="2" t="s">
        <v>217</v>
      </c>
      <c r="J618" s="2">
        <f>'Converted Diagram'!$K$1217</f>
        <v>0</v>
      </c>
      <c r="K618" s="2" t="e">
        <f>'Converted Diagram'!$K$1216</f>
        <v>#VALUE!</v>
      </c>
      <c r="L618" s="2" t="s">
        <v>826</v>
      </c>
      <c r="M618" s="2">
        <v>0</v>
      </c>
      <c r="O618" s="2" t="str">
        <f>'Converted Diagram'!$L$1216</f>
        <v>Increase Overall Convenience</v>
      </c>
      <c r="P618" s="2" t="b">
        <v>0</v>
      </c>
    </row>
    <row r="619" spans="1:16" x14ac:dyDescent="0.3">
      <c r="A619" s="2" t="e">
        <f>'Converted Diagram'!$M$1219</f>
        <v>#VALUE!</v>
      </c>
      <c r="B619" s="1" t="s">
        <v>219</v>
      </c>
      <c r="C619" s="2">
        <v>0</v>
      </c>
      <c r="I619" s="2" t="e">
        <v>#VALUE!</v>
      </c>
      <c r="J619" s="2">
        <f>'Converted Diagram'!$L$1219</f>
        <v>0</v>
      </c>
      <c r="K619" s="2" t="e">
        <f>'Converted Diagram'!$L$1218</f>
        <v>#VALUE!</v>
      </c>
      <c r="L619" s="2" t="s">
        <v>827</v>
      </c>
      <c r="M619" s="2">
        <v>0</v>
      </c>
      <c r="P619" s="2" t="b">
        <v>0</v>
      </c>
    </row>
    <row r="620" spans="1:16" x14ac:dyDescent="0.3">
      <c r="A620" s="2" t="e">
        <f>'Converted Diagram'!$H$1221</f>
        <v>#VALUE!</v>
      </c>
      <c r="B620" s="1" t="s">
        <v>31</v>
      </c>
      <c r="C620" s="2">
        <v>0</v>
      </c>
      <c r="I620" s="2" t="s">
        <v>217</v>
      </c>
      <c r="J620" s="2">
        <f>'Converted Diagram'!$G$1221</f>
        <v>0</v>
      </c>
      <c r="K620" s="2" t="e">
        <f>'Converted Diagram'!$G$1220</f>
        <v>#VALUE!</v>
      </c>
      <c r="L620" s="2" t="s">
        <v>828</v>
      </c>
      <c r="M620" s="2">
        <v>0</v>
      </c>
      <c r="O620" s="2" t="str">
        <f>'Converted Diagram'!$H$1220</f>
        <v>Wi-Fi &amp; Cable Ready</v>
      </c>
      <c r="P620" s="2" t="b">
        <v>0</v>
      </c>
    </row>
    <row r="621" spans="1:16" x14ac:dyDescent="0.3">
      <c r="A621" s="2" t="e">
        <f>'Converted Diagram'!$J$1223</f>
        <v>#VALUE!</v>
      </c>
      <c r="B621" s="1" t="s">
        <v>31</v>
      </c>
      <c r="C621" s="2">
        <v>0</v>
      </c>
      <c r="I621" s="2" t="s">
        <v>217</v>
      </c>
      <c r="J621" s="2">
        <f>'Converted Diagram'!$I$1223</f>
        <v>0</v>
      </c>
      <c r="K621" s="2" t="e">
        <f>'Converted Diagram'!$I$1222</f>
        <v>#VALUE!</v>
      </c>
      <c r="L621" s="2" t="s">
        <v>829</v>
      </c>
      <c r="M621" s="2">
        <v>0</v>
      </c>
      <c r="O621" s="2" t="str">
        <f>'Converted Diagram'!$J$1222</f>
        <v>Reduce Commute Time</v>
      </c>
      <c r="P621" s="2" t="b">
        <v>0</v>
      </c>
    </row>
    <row r="622" spans="1:16" x14ac:dyDescent="0.3">
      <c r="A622" s="2" t="e">
        <f>'Converted Diagram'!$K$1225</f>
        <v>#VALUE!</v>
      </c>
      <c r="B622" s="1" t="s">
        <v>219</v>
      </c>
      <c r="C622" s="2">
        <v>0</v>
      </c>
      <c r="I622" s="2" t="s">
        <v>217</v>
      </c>
      <c r="J622" s="2">
        <f>'Converted Diagram'!$J$1225</f>
        <v>0</v>
      </c>
      <c r="K622" s="2" t="e">
        <f>'Converted Diagram'!$J$1224</f>
        <v>#VALUE!</v>
      </c>
      <c r="L622" s="2" t="s">
        <v>830</v>
      </c>
      <c r="M622" s="2">
        <v>0</v>
      </c>
      <c r="O622" s="2" t="str">
        <f>'Converted Diagram'!$K$1224</f>
        <v>Reduce overall rent</v>
      </c>
      <c r="P622" s="2" t="b">
        <v>0</v>
      </c>
    </row>
    <row r="623" spans="1:16" x14ac:dyDescent="0.3">
      <c r="A623" s="2" t="e">
        <f>'Converted Diagram'!$L$1227</f>
        <v>#VALUE!</v>
      </c>
      <c r="B623" s="1" t="s">
        <v>219</v>
      </c>
      <c r="C623" s="2">
        <v>0</v>
      </c>
      <c r="I623" s="2" t="s">
        <v>217</v>
      </c>
      <c r="J623" s="2">
        <f>'Converted Diagram'!$K$1227</f>
        <v>0</v>
      </c>
      <c r="K623" s="2" t="e">
        <f>'Converted Diagram'!$K$1226</f>
        <v>#VALUE!</v>
      </c>
      <c r="L623" s="2" t="s">
        <v>831</v>
      </c>
      <c r="M623" s="2">
        <v>0</v>
      </c>
      <c r="O623" s="2" t="str">
        <f>'Converted Diagram'!$L$1226</f>
        <v>Increase Overall Convenience</v>
      </c>
      <c r="P623" s="2" t="b">
        <v>0</v>
      </c>
    </row>
    <row r="624" spans="1:16" x14ac:dyDescent="0.3">
      <c r="A624" s="2" t="e">
        <f>'Converted Diagram'!$M$1229</f>
        <v>#VALUE!</v>
      </c>
      <c r="B624" s="1" t="s">
        <v>219</v>
      </c>
      <c r="C624" s="2">
        <v>0</v>
      </c>
      <c r="I624" s="2" t="e">
        <v>#VALUE!</v>
      </c>
      <c r="J624" s="2">
        <f>'Converted Diagram'!$L$1229</f>
        <v>0</v>
      </c>
      <c r="K624" s="2" t="e">
        <f>'Converted Diagram'!$L$1228</f>
        <v>#VALUE!</v>
      </c>
      <c r="L624" s="2" t="s">
        <v>832</v>
      </c>
      <c r="M624" s="2">
        <v>0</v>
      </c>
      <c r="P624" s="2" t="b">
        <v>0</v>
      </c>
    </row>
    <row r="625" spans="1:16" x14ac:dyDescent="0.3">
      <c r="A625" s="2" t="e">
        <f>'Converted Diagram'!$I$1231</f>
        <v>#VALUE!</v>
      </c>
      <c r="B625" s="1" t="s">
        <v>32</v>
      </c>
      <c r="C625" s="2">
        <v>0</v>
      </c>
      <c r="I625" s="2" t="s">
        <v>217</v>
      </c>
      <c r="J625" s="2">
        <f>'Converted Diagram'!$H$1231</f>
        <v>0</v>
      </c>
      <c r="K625" s="2" t="e">
        <f>'Converted Diagram'!$H$1230</f>
        <v>#VALUE!</v>
      </c>
      <c r="L625" s="2" t="s">
        <v>833</v>
      </c>
      <c r="M625" s="2">
        <v>0</v>
      </c>
      <c r="O625" s="2" t="str">
        <f>'Converted Diagram'!$I$1230</f>
        <v>Floor</v>
      </c>
      <c r="P625" s="2" t="b">
        <v>0</v>
      </c>
    </row>
    <row r="626" spans="1:16" x14ac:dyDescent="0.3">
      <c r="A626" s="2" t="e">
        <f>'Converted Diagram'!$J$1233</f>
        <v>#VALUE!</v>
      </c>
      <c r="B626" s="1" t="s">
        <v>32</v>
      </c>
      <c r="C626" s="2">
        <v>0</v>
      </c>
      <c r="I626" s="2" t="s">
        <v>217</v>
      </c>
      <c r="J626" s="2">
        <f>'Converted Diagram'!$I$1233</f>
        <v>0</v>
      </c>
      <c r="K626" s="2" t="e">
        <f>'Converted Diagram'!$I$1232</f>
        <v>#VALUE!</v>
      </c>
      <c r="L626" s="2" t="s">
        <v>834</v>
      </c>
      <c r="M626" s="2">
        <v>0</v>
      </c>
      <c r="O626" s="2" t="str">
        <f>'Converted Diagram'!$J$1232</f>
        <v>Reduce Commute Time</v>
      </c>
      <c r="P626" s="2" t="b">
        <v>0</v>
      </c>
    </row>
    <row r="627" spans="1:16" x14ac:dyDescent="0.3">
      <c r="A627" s="2" t="e">
        <f>'Converted Diagram'!$K$1235</f>
        <v>#VALUE!</v>
      </c>
      <c r="B627" s="1" t="s">
        <v>219</v>
      </c>
      <c r="C627" s="2">
        <v>0</v>
      </c>
      <c r="I627" s="2" t="s">
        <v>217</v>
      </c>
      <c r="J627" s="2">
        <f>'Converted Diagram'!$J$1235</f>
        <v>0</v>
      </c>
      <c r="K627" s="2" t="e">
        <f>'Converted Diagram'!$J$1234</f>
        <v>#VALUE!</v>
      </c>
      <c r="L627" s="2" t="s">
        <v>835</v>
      </c>
      <c r="M627" s="2">
        <v>0</v>
      </c>
      <c r="O627" s="2" t="str">
        <f>'Converted Diagram'!$K$1234</f>
        <v>Reduce overall rent</v>
      </c>
      <c r="P627" s="2" t="b">
        <v>0</v>
      </c>
    </row>
    <row r="628" spans="1:16" x14ac:dyDescent="0.3">
      <c r="A628" s="2" t="e">
        <f>'Converted Diagram'!$L$1237</f>
        <v>#VALUE!</v>
      </c>
      <c r="B628" s="1" t="s">
        <v>219</v>
      </c>
      <c r="C628" s="2">
        <v>0</v>
      </c>
      <c r="I628" s="2" t="s">
        <v>217</v>
      </c>
      <c r="J628" s="2">
        <f>'Converted Diagram'!$K$1237</f>
        <v>0</v>
      </c>
      <c r="K628" s="2" t="e">
        <f>'Converted Diagram'!$K$1236</f>
        <v>#VALUE!</v>
      </c>
      <c r="L628" s="2" t="s">
        <v>836</v>
      </c>
      <c r="M628" s="2">
        <v>0</v>
      </c>
      <c r="O628" s="2" t="str">
        <f>'Converted Diagram'!$L$1236</f>
        <v>Increase Overall Convenience</v>
      </c>
      <c r="P628" s="2" t="b">
        <v>0</v>
      </c>
    </row>
    <row r="629" spans="1:16" x14ac:dyDescent="0.3">
      <c r="A629" s="2" t="e">
        <f>'Converted Diagram'!$M$1239</f>
        <v>#VALUE!</v>
      </c>
      <c r="B629" s="1" t="s">
        <v>219</v>
      </c>
      <c r="C629" s="2">
        <v>0</v>
      </c>
      <c r="I629" s="2" t="e">
        <v>#VALUE!</v>
      </c>
      <c r="J629" s="2">
        <f>'Converted Diagram'!$L$1239</f>
        <v>0</v>
      </c>
      <c r="K629" s="2" t="e">
        <f>'Converted Diagram'!$L$1238</f>
        <v>#VALUE!</v>
      </c>
      <c r="L629" s="2" t="s">
        <v>837</v>
      </c>
      <c r="M629" s="2">
        <v>0</v>
      </c>
      <c r="P629" s="2" t="b">
        <v>0</v>
      </c>
    </row>
    <row r="630" spans="1:16" x14ac:dyDescent="0.3">
      <c r="A630" s="2" t="e">
        <f>'Converted Diagram'!$G$1241</f>
        <v>#VALUE!</v>
      </c>
      <c r="B630" s="1" t="s">
        <v>32</v>
      </c>
      <c r="C630" s="2">
        <v>0</v>
      </c>
      <c r="I630" s="2" t="s">
        <v>217</v>
      </c>
      <c r="J630" s="2">
        <f>'Converted Diagram'!$F$1241</f>
        <v>0</v>
      </c>
      <c r="K630" s="2" t="e">
        <f>'Converted Diagram'!$F$1240</f>
        <v>#VALUE!</v>
      </c>
      <c r="L630" s="2" t="s">
        <v>838</v>
      </c>
      <c r="M630" s="2">
        <v>0</v>
      </c>
      <c r="O630" s="2" t="str">
        <f>'Converted Diagram'!$G$1240</f>
        <v>Grocery Store</v>
      </c>
      <c r="P630" s="2" t="b">
        <v>0</v>
      </c>
    </row>
    <row r="631" spans="1:16" x14ac:dyDescent="0.3">
      <c r="A631" s="2" t="e">
        <f>'Converted Diagram'!$J$1243</f>
        <v>#VALUE!</v>
      </c>
      <c r="B631" s="1" t="s">
        <v>31</v>
      </c>
      <c r="C631" s="2">
        <v>0</v>
      </c>
      <c r="I631" s="2" t="s">
        <v>217</v>
      </c>
      <c r="J631" s="2">
        <f>'Converted Diagram'!$I$1243</f>
        <v>0</v>
      </c>
      <c r="K631" s="2" t="e">
        <f>'Converted Diagram'!$I$1242</f>
        <v>#VALUE!</v>
      </c>
      <c r="L631" s="2" t="s">
        <v>839</v>
      </c>
      <c r="M631" s="2">
        <v>0</v>
      </c>
      <c r="O631" s="2" t="str">
        <f>'Converted Diagram'!$J$1242</f>
        <v>Reduce Commute Time</v>
      </c>
      <c r="P631" s="2" t="b">
        <v>0</v>
      </c>
    </row>
    <row r="632" spans="1:16" x14ac:dyDescent="0.3">
      <c r="A632" s="2" t="e">
        <f>'Converted Diagram'!$K$1245</f>
        <v>#VALUE!</v>
      </c>
      <c r="B632" s="1" t="s">
        <v>219</v>
      </c>
      <c r="C632" s="2">
        <v>0</v>
      </c>
      <c r="I632" s="2" t="s">
        <v>217</v>
      </c>
      <c r="J632" s="2">
        <f>'Converted Diagram'!$J$1245</f>
        <v>0</v>
      </c>
      <c r="K632" s="2" t="e">
        <f>'Converted Diagram'!$J$1244</f>
        <v>#VALUE!</v>
      </c>
      <c r="L632" s="2" t="s">
        <v>840</v>
      </c>
      <c r="M632" s="2">
        <v>0</v>
      </c>
      <c r="O632" s="2" t="str">
        <f>'Converted Diagram'!$K$1244</f>
        <v>Reduce overall rent</v>
      </c>
      <c r="P632" s="2" t="b">
        <v>0</v>
      </c>
    </row>
    <row r="633" spans="1:16" x14ac:dyDescent="0.3">
      <c r="A633" s="2" t="e">
        <f>'Converted Diagram'!$L$1247</f>
        <v>#VALUE!</v>
      </c>
      <c r="B633" s="1" t="s">
        <v>219</v>
      </c>
      <c r="C633" s="2">
        <v>0</v>
      </c>
      <c r="I633" s="2" t="s">
        <v>217</v>
      </c>
      <c r="J633" s="2">
        <f>'Converted Diagram'!$K$1247</f>
        <v>0</v>
      </c>
      <c r="K633" s="2" t="e">
        <f>'Converted Diagram'!$K$1246</f>
        <v>#VALUE!</v>
      </c>
      <c r="L633" s="2" t="s">
        <v>841</v>
      </c>
      <c r="M633" s="2">
        <v>0</v>
      </c>
      <c r="O633" s="2" t="str">
        <f>'Converted Diagram'!$L$1246</f>
        <v>Increase Overall Convenience</v>
      </c>
      <c r="P633" s="2" t="b">
        <v>0</v>
      </c>
    </row>
    <row r="634" spans="1:16" x14ac:dyDescent="0.3">
      <c r="A634" s="2" t="e">
        <f>'Converted Diagram'!$M$1249</f>
        <v>#VALUE!</v>
      </c>
      <c r="B634" s="1" t="s">
        <v>219</v>
      </c>
      <c r="C634" s="2">
        <v>0</v>
      </c>
      <c r="I634" s="2" t="e">
        <v>#VALUE!</v>
      </c>
      <c r="J634" s="2">
        <f>'Converted Diagram'!$L$1249</f>
        <v>0</v>
      </c>
      <c r="K634" s="2" t="e">
        <f>'Converted Diagram'!$L$1248</f>
        <v>#VALUE!</v>
      </c>
      <c r="L634" s="2" t="s">
        <v>842</v>
      </c>
      <c r="M634" s="2">
        <v>0</v>
      </c>
      <c r="P634" s="2" t="b">
        <v>0</v>
      </c>
    </row>
    <row r="635" spans="1:16" x14ac:dyDescent="0.3">
      <c r="A635" s="2" t="e">
        <f>'Converted Diagram'!$I$1251</f>
        <v>#VALUE!</v>
      </c>
      <c r="B635" s="1" t="s">
        <v>31</v>
      </c>
      <c r="C635" s="2">
        <v>0</v>
      </c>
      <c r="I635" s="2" t="s">
        <v>217</v>
      </c>
      <c r="J635" s="2">
        <f>'Converted Diagram'!$H$1251</f>
        <v>0</v>
      </c>
      <c r="K635" s="2" t="e">
        <f>'Converted Diagram'!$H$1250</f>
        <v>#VALUE!</v>
      </c>
      <c r="L635" s="2" t="s">
        <v>843</v>
      </c>
      <c r="M635" s="2">
        <v>0</v>
      </c>
      <c r="O635" s="2" t="str">
        <f>'Converted Diagram'!$I$1250</f>
        <v>Floor</v>
      </c>
      <c r="P635" s="2" t="b">
        <v>0</v>
      </c>
    </row>
    <row r="636" spans="1:16" x14ac:dyDescent="0.3">
      <c r="A636" s="2" t="e">
        <f>'Converted Diagram'!$J$1253</f>
        <v>#VALUE!</v>
      </c>
      <c r="B636" s="1" t="s">
        <v>32</v>
      </c>
      <c r="C636" s="2">
        <v>0</v>
      </c>
      <c r="I636" s="2" t="s">
        <v>217</v>
      </c>
      <c r="J636" s="2">
        <f>'Converted Diagram'!$I$1253</f>
        <v>0</v>
      </c>
      <c r="K636" s="2" t="e">
        <f>'Converted Diagram'!$I$1252</f>
        <v>#VALUE!</v>
      </c>
      <c r="L636" s="2" t="s">
        <v>844</v>
      </c>
      <c r="M636" s="2">
        <v>0</v>
      </c>
      <c r="O636" s="2" t="str">
        <f>'Converted Diagram'!$J$1252</f>
        <v>Reduce Commute Time</v>
      </c>
      <c r="P636" s="2" t="b">
        <v>0</v>
      </c>
    </row>
    <row r="637" spans="1:16" x14ac:dyDescent="0.3">
      <c r="A637" s="2" t="e">
        <f>'Converted Diagram'!$K$1255</f>
        <v>#VALUE!</v>
      </c>
      <c r="B637" s="1" t="s">
        <v>219</v>
      </c>
      <c r="C637" s="2">
        <v>0</v>
      </c>
      <c r="I637" s="2" t="s">
        <v>217</v>
      </c>
      <c r="J637" s="2">
        <f>'Converted Diagram'!$J$1255</f>
        <v>0</v>
      </c>
      <c r="K637" s="2" t="e">
        <f>'Converted Diagram'!$J$1254</f>
        <v>#VALUE!</v>
      </c>
      <c r="L637" s="2" t="s">
        <v>845</v>
      </c>
      <c r="M637" s="2">
        <v>0</v>
      </c>
      <c r="O637" s="2" t="str">
        <f>'Converted Diagram'!$K$1254</f>
        <v>Reduce overall rent</v>
      </c>
      <c r="P637" s="2" t="b">
        <v>0</v>
      </c>
    </row>
    <row r="638" spans="1:16" x14ac:dyDescent="0.3">
      <c r="A638" s="2" t="e">
        <f>'Converted Diagram'!$L$1257</f>
        <v>#VALUE!</v>
      </c>
      <c r="B638" s="1" t="s">
        <v>219</v>
      </c>
      <c r="C638" s="2">
        <v>0</v>
      </c>
      <c r="I638" s="2" t="s">
        <v>217</v>
      </c>
      <c r="J638" s="2">
        <f>'Converted Diagram'!$K$1257</f>
        <v>0</v>
      </c>
      <c r="K638" s="2" t="e">
        <f>'Converted Diagram'!$K$1256</f>
        <v>#VALUE!</v>
      </c>
      <c r="L638" s="2" t="s">
        <v>846</v>
      </c>
      <c r="M638" s="2">
        <v>0</v>
      </c>
      <c r="O638" s="2" t="str">
        <f>'Converted Diagram'!$L$1256</f>
        <v>Increase Overall Convenience</v>
      </c>
      <c r="P638" s="2" t="b">
        <v>0</v>
      </c>
    </row>
    <row r="639" spans="1:16" x14ac:dyDescent="0.3">
      <c r="A639" s="2" t="e">
        <f>'Converted Diagram'!$M$1259</f>
        <v>#VALUE!</v>
      </c>
      <c r="B639" s="1" t="s">
        <v>219</v>
      </c>
      <c r="C639" s="2">
        <v>0</v>
      </c>
      <c r="I639" s="2" t="e">
        <v>#VALUE!</v>
      </c>
      <c r="J639" s="2">
        <f>'Converted Diagram'!$L$1259</f>
        <v>0</v>
      </c>
      <c r="K639" s="2" t="e">
        <f>'Converted Diagram'!$L$1258</f>
        <v>#VALUE!</v>
      </c>
      <c r="L639" s="2" t="s">
        <v>847</v>
      </c>
      <c r="M639" s="2">
        <v>0</v>
      </c>
      <c r="P639" s="2" t="b">
        <v>0</v>
      </c>
    </row>
    <row r="640" spans="1:16" x14ac:dyDescent="0.3">
      <c r="A640" s="2" t="e">
        <f>'Converted Diagram'!$H$1261</f>
        <v>#VALUE!</v>
      </c>
      <c r="B640" s="1" t="s">
        <v>32</v>
      </c>
      <c r="C640" s="2">
        <v>0</v>
      </c>
      <c r="I640" s="2" t="s">
        <v>217</v>
      </c>
      <c r="J640" s="2">
        <f>'Converted Diagram'!$G$1261</f>
        <v>0</v>
      </c>
      <c r="K640" s="2" t="e">
        <f>'Converted Diagram'!$G$1260</f>
        <v>#VALUE!</v>
      </c>
      <c r="L640" s="2" t="s">
        <v>848</v>
      </c>
      <c r="M640" s="2">
        <v>0</v>
      </c>
      <c r="O640" s="2" t="str">
        <f>'Converted Diagram'!$H$1260</f>
        <v>Wi-Fi &amp; Cable Ready</v>
      </c>
      <c r="P640" s="2" t="b">
        <v>0</v>
      </c>
    </row>
    <row r="641" spans="1:16" x14ac:dyDescent="0.3">
      <c r="A641" s="2" t="e">
        <f>'Converted Diagram'!$J$1263</f>
        <v>#VALUE!</v>
      </c>
      <c r="B641" s="1" t="s">
        <v>31</v>
      </c>
      <c r="C641" s="2">
        <v>0</v>
      </c>
      <c r="I641" s="2" t="s">
        <v>217</v>
      </c>
      <c r="J641" s="2">
        <f>'Converted Diagram'!$I$1263</f>
        <v>0</v>
      </c>
      <c r="K641" s="2" t="e">
        <f>'Converted Diagram'!$I$1262</f>
        <v>#VALUE!</v>
      </c>
      <c r="L641" s="2" t="s">
        <v>849</v>
      </c>
      <c r="M641" s="2">
        <v>0</v>
      </c>
      <c r="O641" s="2" t="str">
        <f>'Converted Diagram'!$J$1262</f>
        <v>Reduce Commute Time</v>
      </c>
      <c r="P641" s="2" t="b">
        <v>0</v>
      </c>
    </row>
    <row r="642" spans="1:16" x14ac:dyDescent="0.3">
      <c r="A642" s="2" t="e">
        <f>'Converted Diagram'!$K$1265</f>
        <v>#VALUE!</v>
      </c>
      <c r="B642" s="1" t="s">
        <v>219</v>
      </c>
      <c r="C642" s="2">
        <v>0</v>
      </c>
      <c r="I642" s="2" t="s">
        <v>217</v>
      </c>
      <c r="J642" s="2">
        <f>'Converted Diagram'!$J$1265</f>
        <v>0</v>
      </c>
      <c r="K642" s="2" t="e">
        <f>'Converted Diagram'!$J$1264</f>
        <v>#VALUE!</v>
      </c>
      <c r="L642" s="2" t="s">
        <v>850</v>
      </c>
      <c r="M642" s="2">
        <v>0</v>
      </c>
      <c r="O642" s="2" t="str">
        <f>'Converted Diagram'!$K$1264</f>
        <v>Reduce overall rent</v>
      </c>
      <c r="P642" s="2" t="b">
        <v>0</v>
      </c>
    </row>
    <row r="643" spans="1:16" x14ac:dyDescent="0.3">
      <c r="A643" s="2" t="e">
        <f>'Converted Diagram'!$L$1267</f>
        <v>#VALUE!</v>
      </c>
      <c r="B643" s="1" t="s">
        <v>219</v>
      </c>
      <c r="C643" s="2">
        <v>0</v>
      </c>
      <c r="I643" s="2" t="s">
        <v>217</v>
      </c>
      <c r="J643" s="2">
        <f>'Converted Diagram'!$K$1267</f>
        <v>0</v>
      </c>
      <c r="K643" s="2" t="e">
        <f>'Converted Diagram'!$K$1266</f>
        <v>#VALUE!</v>
      </c>
      <c r="L643" s="2" t="s">
        <v>851</v>
      </c>
      <c r="M643" s="2">
        <v>0</v>
      </c>
      <c r="O643" s="2" t="str">
        <f>'Converted Diagram'!$L$1266</f>
        <v>Increase Overall Convenience</v>
      </c>
      <c r="P643" s="2" t="b">
        <v>0</v>
      </c>
    </row>
    <row r="644" spans="1:16" x14ac:dyDescent="0.3">
      <c r="A644" s="2" t="e">
        <f>'Converted Diagram'!$M$1269</f>
        <v>#VALUE!</v>
      </c>
      <c r="B644" s="1" t="s">
        <v>219</v>
      </c>
      <c r="C644" s="2">
        <v>0</v>
      </c>
      <c r="I644" s="2" t="e">
        <v>#VALUE!</v>
      </c>
      <c r="J644" s="2">
        <f>'Converted Diagram'!$L$1269</f>
        <v>0</v>
      </c>
      <c r="K644" s="2" t="e">
        <f>'Converted Diagram'!$L$1268</f>
        <v>#VALUE!</v>
      </c>
      <c r="L644" s="2" t="s">
        <v>852</v>
      </c>
      <c r="M644" s="2">
        <v>0</v>
      </c>
      <c r="P644" s="2" t="b">
        <v>0</v>
      </c>
    </row>
    <row r="645" spans="1:16" x14ac:dyDescent="0.3">
      <c r="A645" s="2" t="e">
        <f>'Converted Diagram'!$I$1271</f>
        <v>#VALUE!</v>
      </c>
      <c r="B645" s="1" t="s">
        <v>32</v>
      </c>
      <c r="C645" s="2">
        <v>0</v>
      </c>
      <c r="I645" s="2" t="s">
        <v>217</v>
      </c>
      <c r="J645" s="2">
        <f>'Converted Diagram'!$H$1271</f>
        <v>0</v>
      </c>
      <c r="K645" s="2" t="e">
        <f>'Converted Diagram'!$H$1270</f>
        <v>#VALUE!</v>
      </c>
      <c r="L645" s="2" t="s">
        <v>853</v>
      </c>
      <c r="M645" s="2">
        <v>0</v>
      </c>
      <c r="O645" s="2" t="str">
        <f>'Converted Diagram'!$I$1270</f>
        <v>Floor</v>
      </c>
      <c r="P645" s="2" t="b">
        <v>0</v>
      </c>
    </row>
    <row r="646" spans="1:16" x14ac:dyDescent="0.3">
      <c r="A646" s="2" t="e">
        <f>'Converted Diagram'!$J$1273</f>
        <v>#VALUE!</v>
      </c>
      <c r="B646" s="1" t="s">
        <v>32</v>
      </c>
      <c r="C646" s="2">
        <v>0</v>
      </c>
      <c r="I646" s="2" t="s">
        <v>217</v>
      </c>
      <c r="J646" s="2">
        <f>'Converted Diagram'!$I$1273</f>
        <v>0</v>
      </c>
      <c r="K646" s="2" t="e">
        <f>'Converted Diagram'!$I$1272</f>
        <v>#VALUE!</v>
      </c>
      <c r="L646" s="2" t="s">
        <v>854</v>
      </c>
      <c r="M646" s="2">
        <v>0</v>
      </c>
      <c r="O646" s="2" t="str">
        <f>'Converted Diagram'!$J$1272</f>
        <v>Reduce Commute Time</v>
      </c>
      <c r="P646" s="2" t="b">
        <v>0</v>
      </c>
    </row>
    <row r="647" spans="1:16" x14ac:dyDescent="0.3">
      <c r="A647" s="2" t="e">
        <f>'Converted Diagram'!$K$1275</f>
        <v>#VALUE!</v>
      </c>
      <c r="B647" s="1" t="s">
        <v>219</v>
      </c>
      <c r="C647" s="2">
        <v>0</v>
      </c>
      <c r="I647" s="2" t="s">
        <v>217</v>
      </c>
      <c r="J647" s="2">
        <f>'Converted Diagram'!$J$1275</f>
        <v>0</v>
      </c>
      <c r="K647" s="2" t="e">
        <f>'Converted Diagram'!$J$1274</f>
        <v>#VALUE!</v>
      </c>
      <c r="L647" s="2" t="s">
        <v>855</v>
      </c>
      <c r="M647" s="2">
        <v>0</v>
      </c>
      <c r="O647" s="2" t="str">
        <f>'Converted Diagram'!$K$1274</f>
        <v>Reduce overall rent</v>
      </c>
      <c r="P647" s="2" t="b">
        <v>0</v>
      </c>
    </row>
    <row r="648" spans="1:16" x14ac:dyDescent="0.3">
      <c r="A648" s="2" t="e">
        <f>'Converted Diagram'!$L$1277</f>
        <v>#VALUE!</v>
      </c>
      <c r="B648" s="1" t="s">
        <v>219</v>
      </c>
      <c r="C648" s="2">
        <v>0</v>
      </c>
      <c r="I648" s="2" t="s">
        <v>217</v>
      </c>
      <c r="J648" s="2">
        <f>'Converted Diagram'!$K$1277</f>
        <v>0</v>
      </c>
      <c r="K648" s="2" t="e">
        <f>'Converted Diagram'!$K$1276</f>
        <v>#VALUE!</v>
      </c>
      <c r="L648" s="2" t="s">
        <v>856</v>
      </c>
      <c r="M648" s="2">
        <v>0</v>
      </c>
      <c r="O648" s="2" t="str">
        <f>'Converted Diagram'!$L$1276</f>
        <v>Increase Overall Convenience</v>
      </c>
      <c r="P648" s="2" t="b">
        <v>0</v>
      </c>
    </row>
    <row r="649" spans="1:16" x14ac:dyDescent="0.3">
      <c r="A649" s="2" t="e">
        <f>'Converted Diagram'!$M$1279</f>
        <v>#VALUE!</v>
      </c>
      <c r="B649" s="1" t="s">
        <v>219</v>
      </c>
      <c r="C649" s="2">
        <v>0</v>
      </c>
      <c r="I649" s="2" t="e">
        <v>#VALUE!</v>
      </c>
      <c r="J649" s="2">
        <f>'Converted Diagram'!$L$1279</f>
        <v>0</v>
      </c>
      <c r="K649" s="2" t="e">
        <f>'Converted Diagram'!$L$1278</f>
        <v>#VALUE!</v>
      </c>
      <c r="L649" s="2" t="s">
        <v>857</v>
      </c>
      <c r="M649" s="2">
        <v>0</v>
      </c>
      <c r="P649" s="2" t="b">
        <v>0</v>
      </c>
    </row>
    <row r="650" spans="1:16" x14ac:dyDescent="0.3">
      <c r="A650" s="2" t="e">
        <f>'Converted Diagram'!$B$1281</f>
        <v>#VALUE!</v>
      </c>
      <c r="B650" s="2" t="str">
        <f>B1</f>
        <v>Converted Rent the apartment</v>
      </c>
      <c r="C650" s="2">
        <v>0</v>
      </c>
      <c r="I650" s="2" t="s">
        <v>217</v>
      </c>
      <c r="J650" s="2">
        <f>'Converted Diagram'!$A$1281</f>
        <v>0</v>
      </c>
      <c r="K650" s="2">
        <f>'Converted Diagram'!$A$1280</f>
        <v>0</v>
      </c>
      <c r="L650" s="2" t="s">
        <v>858</v>
      </c>
      <c r="M650" s="2">
        <v>0</v>
      </c>
      <c r="O650" s="2" t="str">
        <f>'Converted Diagram'!$B$1280</f>
        <v>Time to college</v>
      </c>
      <c r="P650" s="2" t="b">
        <v>0</v>
      </c>
    </row>
    <row r="651" spans="1:16" x14ac:dyDescent="0.3">
      <c r="A651" s="2" t="e">
        <f>'Converted Diagram'!$J$1283</f>
        <v>#VALUE!</v>
      </c>
      <c r="B651" s="1" t="s">
        <v>31</v>
      </c>
      <c r="C651" s="2">
        <v>0</v>
      </c>
      <c r="I651" s="2" t="s">
        <v>217</v>
      </c>
      <c r="J651" s="2">
        <f>'Converted Diagram'!$I$1283</f>
        <v>0</v>
      </c>
      <c r="K651" s="2" t="e">
        <f>'Converted Diagram'!$I$1282</f>
        <v>#VALUE!</v>
      </c>
      <c r="L651" s="2" t="s">
        <v>859</v>
      </c>
      <c r="M651" s="2">
        <v>0</v>
      </c>
      <c r="O651" s="2" t="str">
        <f>'Converted Diagram'!$J$1282</f>
        <v>Reduce Commute Time</v>
      </c>
      <c r="P651" s="2" t="b">
        <v>0</v>
      </c>
    </row>
    <row r="652" spans="1:16" x14ac:dyDescent="0.3">
      <c r="A652" s="2" t="e">
        <f>'Converted Diagram'!$K$1285</f>
        <v>#VALUE!</v>
      </c>
      <c r="B652" s="1" t="s">
        <v>219</v>
      </c>
      <c r="C652" s="2">
        <v>0</v>
      </c>
      <c r="I652" s="2" t="s">
        <v>217</v>
      </c>
      <c r="J652" s="2">
        <f>'Converted Diagram'!$J$1285</f>
        <v>0</v>
      </c>
      <c r="K652" s="2" t="e">
        <f>'Converted Diagram'!$J$1284</f>
        <v>#VALUE!</v>
      </c>
      <c r="L652" s="2" t="s">
        <v>860</v>
      </c>
      <c r="M652" s="2">
        <v>0</v>
      </c>
      <c r="O652" s="2" t="str">
        <f>'Converted Diagram'!$K$1284</f>
        <v>Reduce overall rent</v>
      </c>
      <c r="P652" s="2" t="b">
        <v>0</v>
      </c>
    </row>
    <row r="653" spans="1:16" x14ac:dyDescent="0.3">
      <c r="A653" s="2" t="e">
        <f>'Converted Diagram'!$L$1287</f>
        <v>#VALUE!</v>
      </c>
      <c r="B653" s="1" t="s">
        <v>219</v>
      </c>
      <c r="C653" s="2">
        <v>0</v>
      </c>
      <c r="I653" s="2" t="s">
        <v>217</v>
      </c>
      <c r="J653" s="2">
        <f>'Converted Diagram'!$K$1287</f>
        <v>0</v>
      </c>
      <c r="K653" s="2" t="e">
        <f>'Converted Diagram'!$K$1286</f>
        <v>#VALUE!</v>
      </c>
      <c r="L653" s="2" t="s">
        <v>861</v>
      </c>
      <c r="M653" s="2">
        <v>0</v>
      </c>
      <c r="O653" s="2" t="str">
        <f>'Converted Diagram'!$L$1286</f>
        <v>Increase Overall Convenience</v>
      </c>
      <c r="P653" s="2" t="b">
        <v>0</v>
      </c>
    </row>
    <row r="654" spans="1:16" x14ac:dyDescent="0.3">
      <c r="A654" s="2" t="e">
        <f>'Converted Diagram'!$M$1289</f>
        <v>#VALUE!</v>
      </c>
      <c r="B654" s="1" t="s">
        <v>219</v>
      </c>
      <c r="C654" s="2">
        <v>0</v>
      </c>
      <c r="I654" s="2" t="e">
        <v>#VALUE!</v>
      </c>
      <c r="J654" s="2">
        <f>'Converted Diagram'!$L$1289</f>
        <v>0</v>
      </c>
      <c r="K654" s="2" t="e">
        <f>'Converted Diagram'!$L$1288</f>
        <v>#VALUE!</v>
      </c>
      <c r="L654" s="2" t="s">
        <v>862</v>
      </c>
      <c r="M654" s="2">
        <v>0</v>
      </c>
      <c r="P654" s="2" t="b">
        <v>0</v>
      </c>
    </row>
    <row r="655" spans="1:16" x14ac:dyDescent="0.3">
      <c r="A655" s="2" t="e">
        <f>'Converted Diagram'!$I$1291</f>
        <v>#VALUE!</v>
      </c>
      <c r="B655" s="1" t="s">
        <v>31</v>
      </c>
      <c r="C655" s="2">
        <v>0</v>
      </c>
      <c r="I655" s="2" t="s">
        <v>217</v>
      </c>
      <c r="J655" s="2">
        <f>'Converted Diagram'!$H$1291</f>
        <v>0</v>
      </c>
      <c r="K655" s="2" t="e">
        <f>'Converted Diagram'!$H$1290</f>
        <v>#VALUE!</v>
      </c>
      <c r="L655" s="2" t="s">
        <v>863</v>
      </c>
      <c r="M655" s="2">
        <v>0</v>
      </c>
      <c r="O655" s="2" t="str">
        <f>'Converted Diagram'!$I$1290</f>
        <v>Floor</v>
      </c>
      <c r="P655" s="2" t="b">
        <v>0</v>
      </c>
    </row>
    <row r="656" spans="1:16" x14ac:dyDescent="0.3">
      <c r="A656" s="2" t="e">
        <f>'Converted Diagram'!$J$1293</f>
        <v>#VALUE!</v>
      </c>
      <c r="B656" s="1" t="s">
        <v>32</v>
      </c>
      <c r="C656" s="2">
        <v>0</v>
      </c>
      <c r="I656" s="2" t="s">
        <v>217</v>
      </c>
      <c r="J656" s="2">
        <f>'Converted Diagram'!$I$1293</f>
        <v>0</v>
      </c>
      <c r="K656" s="2" t="e">
        <f>'Converted Diagram'!$I$1292</f>
        <v>#VALUE!</v>
      </c>
      <c r="L656" s="2" t="s">
        <v>864</v>
      </c>
      <c r="M656" s="2">
        <v>0</v>
      </c>
      <c r="O656" s="2" t="str">
        <f>'Converted Diagram'!$J$1292</f>
        <v>Reduce Commute Time</v>
      </c>
      <c r="P656" s="2" t="b">
        <v>0</v>
      </c>
    </row>
    <row r="657" spans="1:16" x14ac:dyDescent="0.3">
      <c r="A657" s="2" t="e">
        <f>'Converted Diagram'!$K$1295</f>
        <v>#VALUE!</v>
      </c>
      <c r="B657" s="1" t="s">
        <v>219</v>
      </c>
      <c r="C657" s="2">
        <v>0</v>
      </c>
      <c r="I657" s="2" t="s">
        <v>217</v>
      </c>
      <c r="J657" s="2">
        <f>'Converted Diagram'!$J$1295</f>
        <v>0</v>
      </c>
      <c r="K657" s="2" t="e">
        <f>'Converted Diagram'!$J$1294</f>
        <v>#VALUE!</v>
      </c>
      <c r="L657" s="2" t="s">
        <v>865</v>
      </c>
      <c r="M657" s="2">
        <v>0</v>
      </c>
      <c r="O657" s="2" t="str">
        <f>'Converted Diagram'!$K$1294</f>
        <v>Reduce overall rent</v>
      </c>
      <c r="P657" s="2" t="b">
        <v>0</v>
      </c>
    </row>
    <row r="658" spans="1:16" x14ac:dyDescent="0.3">
      <c r="A658" s="2" t="e">
        <f>'Converted Diagram'!$L$1297</f>
        <v>#VALUE!</v>
      </c>
      <c r="B658" s="1" t="s">
        <v>219</v>
      </c>
      <c r="C658" s="2">
        <v>0</v>
      </c>
      <c r="I658" s="2" t="s">
        <v>217</v>
      </c>
      <c r="J658" s="2">
        <f>'Converted Diagram'!$K$1297</f>
        <v>0</v>
      </c>
      <c r="K658" s="2" t="e">
        <f>'Converted Diagram'!$K$1296</f>
        <v>#VALUE!</v>
      </c>
      <c r="L658" s="2" t="s">
        <v>866</v>
      </c>
      <c r="M658" s="2">
        <v>0</v>
      </c>
      <c r="O658" s="2" t="str">
        <f>'Converted Diagram'!$L$1296</f>
        <v>Increase Overall Convenience</v>
      </c>
      <c r="P658" s="2" t="b">
        <v>0</v>
      </c>
    </row>
    <row r="659" spans="1:16" x14ac:dyDescent="0.3">
      <c r="A659" s="2" t="e">
        <f>'Converted Diagram'!$M$1299</f>
        <v>#VALUE!</v>
      </c>
      <c r="B659" s="1" t="s">
        <v>219</v>
      </c>
      <c r="C659" s="2">
        <v>0</v>
      </c>
      <c r="I659" s="2" t="e">
        <v>#VALUE!</v>
      </c>
      <c r="J659" s="2">
        <f>'Converted Diagram'!$L$1299</f>
        <v>0</v>
      </c>
      <c r="K659" s="2" t="e">
        <f>'Converted Diagram'!$L$1298</f>
        <v>#VALUE!</v>
      </c>
      <c r="L659" s="2" t="s">
        <v>867</v>
      </c>
      <c r="M659" s="2">
        <v>0</v>
      </c>
      <c r="P659" s="2" t="b">
        <v>0</v>
      </c>
    </row>
    <row r="660" spans="1:16" x14ac:dyDescent="0.3">
      <c r="A660" s="2" t="e">
        <f>'Converted Diagram'!$H$1301</f>
        <v>#VALUE!</v>
      </c>
      <c r="B660" s="1" t="s">
        <v>31</v>
      </c>
      <c r="C660" s="2">
        <v>0</v>
      </c>
      <c r="I660" s="2" t="s">
        <v>217</v>
      </c>
      <c r="J660" s="2">
        <f>'Converted Diagram'!$G$1301</f>
        <v>0</v>
      </c>
      <c r="K660" s="2" t="e">
        <f>'Converted Diagram'!$G$1300</f>
        <v>#VALUE!</v>
      </c>
      <c r="L660" s="2" t="s">
        <v>868</v>
      </c>
      <c r="M660" s="2">
        <v>0</v>
      </c>
      <c r="O660" s="2" t="str">
        <f>'Converted Diagram'!$H$1300</f>
        <v>Wi-Fi &amp; Cable Ready</v>
      </c>
      <c r="P660" s="2" t="b">
        <v>0</v>
      </c>
    </row>
    <row r="661" spans="1:16" x14ac:dyDescent="0.3">
      <c r="A661" s="2" t="e">
        <f>'Converted Diagram'!$J$1303</f>
        <v>#VALUE!</v>
      </c>
      <c r="B661" s="1" t="s">
        <v>31</v>
      </c>
      <c r="C661" s="2">
        <v>0</v>
      </c>
      <c r="I661" s="2" t="s">
        <v>217</v>
      </c>
      <c r="J661" s="2">
        <f>'Converted Diagram'!$I$1303</f>
        <v>0</v>
      </c>
      <c r="K661" s="2" t="e">
        <f>'Converted Diagram'!$I$1302</f>
        <v>#VALUE!</v>
      </c>
      <c r="L661" s="2" t="s">
        <v>869</v>
      </c>
      <c r="M661" s="2">
        <v>0</v>
      </c>
      <c r="O661" s="2" t="str">
        <f>'Converted Diagram'!$J$1302</f>
        <v>Reduce Commute Time</v>
      </c>
      <c r="P661" s="2" t="b">
        <v>0</v>
      </c>
    </row>
    <row r="662" spans="1:16" x14ac:dyDescent="0.3">
      <c r="A662" s="2" t="e">
        <f>'Converted Diagram'!$K$1305</f>
        <v>#VALUE!</v>
      </c>
      <c r="B662" s="1" t="s">
        <v>219</v>
      </c>
      <c r="C662" s="2">
        <v>0</v>
      </c>
      <c r="I662" s="2" t="s">
        <v>217</v>
      </c>
      <c r="J662" s="2">
        <f>'Converted Diagram'!$J$1305</f>
        <v>0</v>
      </c>
      <c r="K662" s="2" t="e">
        <f>'Converted Diagram'!$J$1304</f>
        <v>#VALUE!</v>
      </c>
      <c r="L662" s="2" t="s">
        <v>870</v>
      </c>
      <c r="M662" s="2">
        <v>0</v>
      </c>
      <c r="O662" s="2" t="str">
        <f>'Converted Diagram'!$K$1304</f>
        <v>Reduce overall rent</v>
      </c>
      <c r="P662" s="2" t="b">
        <v>0</v>
      </c>
    </row>
    <row r="663" spans="1:16" x14ac:dyDescent="0.3">
      <c r="A663" s="2" t="e">
        <f>'Converted Diagram'!$L$1307</f>
        <v>#VALUE!</v>
      </c>
      <c r="B663" s="1" t="s">
        <v>219</v>
      </c>
      <c r="C663" s="2">
        <v>0</v>
      </c>
      <c r="I663" s="2" t="s">
        <v>217</v>
      </c>
      <c r="J663" s="2">
        <f>'Converted Diagram'!$K$1307</f>
        <v>0</v>
      </c>
      <c r="K663" s="2" t="e">
        <f>'Converted Diagram'!$K$1306</f>
        <v>#VALUE!</v>
      </c>
      <c r="L663" s="2" t="s">
        <v>871</v>
      </c>
      <c r="M663" s="2">
        <v>0</v>
      </c>
      <c r="O663" s="2" t="str">
        <f>'Converted Diagram'!$L$1306</f>
        <v>Increase Overall Convenience</v>
      </c>
      <c r="P663" s="2" t="b">
        <v>0</v>
      </c>
    </row>
    <row r="664" spans="1:16" x14ac:dyDescent="0.3">
      <c r="A664" s="2" t="e">
        <f>'Converted Diagram'!$M$1309</f>
        <v>#VALUE!</v>
      </c>
      <c r="B664" s="1" t="s">
        <v>219</v>
      </c>
      <c r="C664" s="2">
        <v>0</v>
      </c>
      <c r="I664" s="2" t="e">
        <v>#VALUE!</v>
      </c>
      <c r="J664" s="2">
        <f>'Converted Diagram'!$L$1309</f>
        <v>0</v>
      </c>
      <c r="K664" s="2" t="e">
        <f>'Converted Diagram'!$L$1308</f>
        <v>#VALUE!</v>
      </c>
      <c r="L664" s="2" t="s">
        <v>872</v>
      </c>
      <c r="M664" s="2">
        <v>0</v>
      </c>
      <c r="P664" s="2" t="b">
        <v>0</v>
      </c>
    </row>
    <row r="665" spans="1:16" x14ac:dyDescent="0.3">
      <c r="A665" s="2" t="e">
        <f>'Converted Diagram'!$I$1311</f>
        <v>#VALUE!</v>
      </c>
      <c r="B665" s="1" t="s">
        <v>32</v>
      </c>
      <c r="C665" s="2">
        <v>0</v>
      </c>
      <c r="I665" s="2" t="s">
        <v>217</v>
      </c>
      <c r="J665" s="2">
        <f>'Converted Diagram'!$H$1311</f>
        <v>0</v>
      </c>
      <c r="K665" s="2" t="e">
        <f>'Converted Diagram'!$H$1310</f>
        <v>#VALUE!</v>
      </c>
      <c r="L665" s="2" t="s">
        <v>873</v>
      </c>
      <c r="M665" s="2">
        <v>0</v>
      </c>
      <c r="O665" s="2" t="str">
        <f>'Converted Diagram'!$I$1310</f>
        <v>Floor</v>
      </c>
      <c r="P665" s="2" t="b">
        <v>0</v>
      </c>
    </row>
    <row r="666" spans="1:16" x14ac:dyDescent="0.3">
      <c r="A666" s="2" t="e">
        <f>'Converted Diagram'!$J$1313</f>
        <v>#VALUE!</v>
      </c>
      <c r="B666" s="1" t="s">
        <v>32</v>
      </c>
      <c r="C666" s="2">
        <v>0</v>
      </c>
      <c r="I666" s="2" t="s">
        <v>217</v>
      </c>
      <c r="J666" s="2">
        <f>'Converted Diagram'!$I$1313</f>
        <v>0</v>
      </c>
      <c r="K666" s="2" t="e">
        <f>'Converted Diagram'!$I$1312</f>
        <v>#VALUE!</v>
      </c>
      <c r="L666" s="2" t="s">
        <v>874</v>
      </c>
      <c r="M666" s="2">
        <v>0</v>
      </c>
      <c r="O666" s="2" t="str">
        <f>'Converted Diagram'!$J$1312</f>
        <v>Reduce Commute Time</v>
      </c>
      <c r="P666" s="2" t="b">
        <v>0</v>
      </c>
    </row>
    <row r="667" spans="1:16" x14ac:dyDescent="0.3">
      <c r="A667" s="2" t="e">
        <f>'Converted Diagram'!$K$1315</f>
        <v>#VALUE!</v>
      </c>
      <c r="B667" s="1" t="s">
        <v>219</v>
      </c>
      <c r="C667" s="2">
        <v>0</v>
      </c>
      <c r="I667" s="2" t="s">
        <v>217</v>
      </c>
      <c r="J667" s="2">
        <f>'Converted Diagram'!$J$1315</f>
        <v>0</v>
      </c>
      <c r="K667" s="2" t="e">
        <f>'Converted Diagram'!$J$1314</f>
        <v>#VALUE!</v>
      </c>
      <c r="L667" s="2" t="s">
        <v>875</v>
      </c>
      <c r="M667" s="2">
        <v>0</v>
      </c>
      <c r="O667" s="2" t="str">
        <f>'Converted Diagram'!$K$1314</f>
        <v>Reduce overall rent</v>
      </c>
      <c r="P667" s="2" t="b">
        <v>0</v>
      </c>
    </row>
    <row r="668" spans="1:16" x14ac:dyDescent="0.3">
      <c r="A668" s="2" t="e">
        <f>'Converted Diagram'!$L$1317</f>
        <v>#VALUE!</v>
      </c>
      <c r="B668" s="1" t="s">
        <v>219</v>
      </c>
      <c r="C668" s="2">
        <v>0</v>
      </c>
      <c r="I668" s="2" t="s">
        <v>217</v>
      </c>
      <c r="J668" s="2">
        <f>'Converted Diagram'!$K$1317</f>
        <v>0</v>
      </c>
      <c r="K668" s="2" t="e">
        <f>'Converted Diagram'!$K$1316</f>
        <v>#VALUE!</v>
      </c>
      <c r="L668" s="2" t="s">
        <v>876</v>
      </c>
      <c r="M668" s="2">
        <v>0</v>
      </c>
      <c r="O668" s="2" t="str">
        <f>'Converted Diagram'!$L$1316</f>
        <v>Increase Overall Convenience</v>
      </c>
      <c r="P668" s="2" t="b">
        <v>0</v>
      </c>
    </row>
    <row r="669" spans="1:16" x14ac:dyDescent="0.3">
      <c r="A669" s="2" t="e">
        <f>'Converted Diagram'!$M$1319</f>
        <v>#VALUE!</v>
      </c>
      <c r="B669" s="1" t="s">
        <v>219</v>
      </c>
      <c r="C669" s="2">
        <v>0</v>
      </c>
      <c r="I669" s="2" t="e">
        <v>#VALUE!</v>
      </c>
      <c r="J669" s="2">
        <f>'Converted Diagram'!$L$1319</f>
        <v>0</v>
      </c>
      <c r="K669" s="2" t="e">
        <f>'Converted Diagram'!$L$1318</f>
        <v>#VALUE!</v>
      </c>
      <c r="L669" s="2" t="s">
        <v>877</v>
      </c>
      <c r="M669" s="2">
        <v>0</v>
      </c>
      <c r="P669" s="2" t="b">
        <v>0</v>
      </c>
    </row>
    <row r="670" spans="1:16" x14ac:dyDescent="0.3">
      <c r="A670" s="2" t="e">
        <f>'Converted Diagram'!$G$1321</f>
        <v>#VALUE!</v>
      </c>
      <c r="B670" s="1" t="s">
        <v>31</v>
      </c>
      <c r="C670" s="2">
        <v>0</v>
      </c>
      <c r="I670" s="2" t="s">
        <v>217</v>
      </c>
      <c r="J670" s="2">
        <f>'Converted Diagram'!$F$1321</f>
        <v>0</v>
      </c>
      <c r="K670" s="2" t="e">
        <f>'Converted Diagram'!$F$1320</f>
        <v>#VALUE!</v>
      </c>
      <c r="L670" s="2" t="s">
        <v>878</v>
      </c>
      <c r="M670" s="2">
        <v>0</v>
      </c>
      <c r="O670" s="2" t="str">
        <f>'Converted Diagram'!$G$1320</f>
        <v>Grocery Store</v>
      </c>
      <c r="P670" s="2" t="b">
        <v>0</v>
      </c>
    </row>
    <row r="671" spans="1:16" x14ac:dyDescent="0.3">
      <c r="A671" s="2" t="e">
        <f>'Converted Diagram'!$J$1323</f>
        <v>#VALUE!</v>
      </c>
      <c r="B671" s="1" t="s">
        <v>31</v>
      </c>
      <c r="C671" s="2">
        <v>0</v>
      </c>
      <c r="I671" s="2" t="s">
        <v>217</v>
      </c>
      <c r="J671" s="2">
        <f>'Converted Diagram'!$I$1323</f>
        <v>0</v>
      </c>
      <c r="K671" s="2" t="e">
        <f>'Converted Diagram'!$I$1322</f>
        <v>#VALUE!</v>
      </c>
      <c r="L671" s="2" t="s">
        <v>879</v>
      </c>
      <c r="M671" s="2">
        <v>0</v>
      </c>
      <c r="O671" s="2" t="str">
        <f>'Converted Diagram'!$J$1322</f>
        <v>Reduce Commute Time</v>
      </c>
      <c r="P671" s="2" t="b">
        <v>0</v>
      </c>
    </row>
    <row r="672" spans="1:16" x14ac:dyDescent="0.3">
      <c r="A672" s="2" t="e">
        <f>'Converted Diagram'!$K$1325</f>
        <v>#VALUE!</v>
      </c>
      <c r="B672" s="1" t="s">
        <v>219</v>
      </c>
      <c r="C672" s="2">
        <v>0</v>
      </c>
      <c r="I672" s="2" t="s">
        <v>217</v>
      </c>
      <c r="J672" s="2">
        <f>'Converted Diagram'!$J$1325</f>
        <v>0</v>
      </c>
      <c r="K672" s="2" t="e">
        <f>'Converted Diagram'!$J$1324</f>
        <v>#VALUE!</v>
      </c>
      <c r="L672" s="2" t="s">
        <v>880</v>
      </c>
      <c r="M672" s="2">
        <v>0</v>
      </c>
      <c r="O672" s="2" t="str">
        <f>'Converted Diagram'!$K$1324</f>
        <v>Reduce overall rent</v>
      </c>
      <c r="P672" s="2" t="b">
        <v>0</v>
      </c>
    </row>
    <row r="673" spans="1:16" x14ac:dyDescent="0.3">
      <c r="A673" s="2" t="e">
        <f>'Converted Diagram'!$L$1327</f>
        <v>#VALUE!</v>
      </c>
      <c r="B673" s="1" t="s">
        <v>219</v>
      </c>
      <c r="C673" s="2">
        <v>0</v>
      </c>
      <c r="I673" s="2" t="s">
        <v>217</v>
      </c>
      <c r="J673" s="2">
        <f>'Converted Diagram'!$K$1327</f>
        <v>0</v>
      </c>
      <c r="K673" s="2" t="e">
        <f>'Converted Diagram'!$K$1326</f>
        <v>#VALUE!</v>
      </c>
      <c r="L673" s="2" t="s">
        <v>881</v>
      </c>
      <c r="M673" s="2">
        <v>0</v>
      </c>
      <c r="O673" s="2" t="str">
        <f>'Converted Diagram'!$L$1326</f>
        <v>Increase Overall Convenience</v>
      </c>
      <c r="P673" s="2" t="b">
        <v>0</v>
      </c>
    </row>
    <row r="674" spans="1:16" x14ac:dyDescent="0.3">
      <c r="A674" s="2" t="e">
        <f>'Converted Diagram'!$M$1329</f>
        <v>#VALUE!</v>
      </c>
      <c r="B674" s="1" t="s">
        <v>219</v>
      </c>
      <c r="C674" s="2">
        <v>0</v>
      </c>
      <c r="I674" s="2" t="e">
        <v>#VALUE!</v>
      </c>
      <c r="J674" s="2">
        <f>'Converted Diagram'!$L$1329</f>
        <v>0</v>
      </c>
      <c r="K674" s="2" t="e">
        <f>'Converted Diagram'!$L$1328</f>
        <v>#VALUE!</v>
      </c>
      <c r="L674" s="2" t="s">
        <v>882</v>
      </c>
      <c r="M674" s="2">
        <v>0</v>
      </c>
      <c r="P674" s="2" t="b">
        <v>0</v>
      </c>
    </row>
    <row r="675" spans="1:16" x14ac:dyDescent="0.3">
      <c r="A675" s="2" t="e">
        <f>'Converted Diagram'!$I$1331</f>
        <v>#VALUE!</v>
      </c>
      <c r="B675" s="1" t="s">
        <v>31</v>
      </c>
      <c r="C675" s="2">
        <v>0</v>
      </c>
      <c r="I675" s="2" t="s">
        <v>217</v>
      </c>
      <c r="J675" s="2">
        <f>'Converted Diagram'!$H$1331</f>
        <v>0</v>
      </c>
      <c r="K675" s="2" t="e">
        <f>'Converted Diagram'!$H$1330</f>
        <v>#VALUE!</v>
      </c>
      <c r="L675" s="2" t="s">
        <v>883</v>
      </c>
      <c r="M675" s="2">
        <v>0</v>
      </c>
      <c r="O675" s="2" t="str">
        <f>'Converted Diagram'!$I$1330</f>
        <v>Floor</v>
      </c>
      <c r="P675" s="2" t="b">
        <v>0</v>
      </c>
    </row>
    <row r="676" spans="1:16" x14ac:dyDescent="0.3">
      <c r="A676" s="2" t="e">
        <f>'Converted Diagram'!$J$1333</f>
        <v>#VALUE!</v>
      </c>
      <c r="B676" s="1" t="s">
        <v>32</v>
      </c>
      <c r="C676" s="2">
        <v>0</v>
      </c>
      <c r="I676" s="2" t="s">
        <v>217</v>
      </c>
      <c r="J676" s="2">
        <f>'Converted Diagram'!$I$1333</f>
        <v>0</v>
      </c>
      <c r="K676" s="2" t="e">
        <f>'Converted Diagram'!$I$1332</f>
        <v>#VALUE!</v>
      </c>
      <c r="L676" s="2" t="s">
        <v>884</v>
      </c>
      <c r="M676" s="2">
        <v>0</v>
      </c>
      <c r="O676" s="2" t="str">
        <f>'Converted Diagram'!$J$1332</f>
        <v>Reduce Commute Time</v>
      </c>
      <c r="P676" s="2" t="b">
        <v>0</v>
      </c>
    </row>
    <row r="677" spans="1:16" x14ac:dyDescent="0.3">
      <c r="A677" s="2" t="e">
        <f>'Converted Diagram'!$K$1335</f>
        <v>#VALUE!</v>
      </c>
      <c r="B677" s="1" t="s">
        <v>219</v>
      </c>
      <c r="C677" s="2">
        <v>0</v>
      </c>
      <c r="I677" s="2" t="s">
        <v>217</v>
      </c>
      <c r="J677" s="2">
        <f>'Converted Diagram'!$J$1335</f>
        <v>0</v>
      </c>
      <c r="K677" s="2" t="e">
        <f>'Converted Diagram'!$J$1334</f>
        <v>#VALUE!</v>
      </c>
      <c r="L677" s="2" t="s">
        <v>885</v>
      </c>
      <c r="M677" s="2">
        <v>0</v>
      </c>
      <c r="O677" s="2" t="str">
        <f>'Converted Diagram'!$K$1334</f>
        <v>Reduce overall rent</v>
      </c>
      <c r="P677" s="2" t="b">
        <v>0</v>
      </c>
    </row>
    <row r="678" spans="1:16" x14ac:dyDescent="0.3">
      <c r="A678" s="2" t="e">
        <f>'Converted Diagram'!$L$1337</f>
        <v>#VALUE!</v>
      </c>
      <c r="B678" s="1" t="s">
        <v>219</v>
      </c>
      <c r="C678" s="2">
        <v>0</v>
      </c>
      <c r="I678" s="2" t="s">
        <v>217</v>
      </c>
      <c r="J678" s="2">
        <f>'Converted Diagram'!$K$1337</f>
        <v>0</v>
      </c>
      <c r="K678" s="2" t="e">
        <f>'Converted Diagram'!$K$1336</f>
        <v>#VALUE!</v>
      </c>
      <c r="L678" s="2" t="s">
        <v>886</v>
      </c>
      <c r="M678" s="2">
        <v>0</v>
      </c>
      <c r="O678" s="2" t="str">
        <f>'Converted Diagram'!$L$1336</f>
        <v>Increase Overall Convenience</v>
      </c>
      <c r="P678" s="2" t="b">
        <v>0</v>
      </c>
    </row>
    <row r="679" spans="1:16" x14ac:dyDescent="0.3">
      <c r="A679" s="2" t="e">
        <f>'Converted Diagram'!$M$1339</f>
        <v>#VALUE!</v>
      </c>
      <c r="B679" s="1" t="s">
        <v>219</v>
      </c>
      <c r="C679" s="2">
        <v>0</v>
      </c>
      <c r="I679" s="2" t="e">
        <v>#VALUE!</v>
      </c>
      <c r="J679" s="2">
        <f>'Converted Diagram'!$L$1339</f>
        <v>0</v>
      </c>
      <c r="K679" s="2" t="e">
        <f>'Converted Diagram'!$L$1338</f>
        <v>#VALUE!</v>
      </c>
      <c r="L679" s="2" t="s">
        <v>887</v>
      </c>
      <c r="M679" s="2">
        <v>0</v>
      </c>
      <c r="P679" s="2" t="b">
        <v>0</v>
      </c>
    </row>
    <row r="680" spans="1:16" x14ac:dyDescent="0.3">
      <c r="A680" s="2" t="e">
        <f>'Converted Diagram'!$H$1341</f>
        <v>#VALUE!</v>
      </c>
      <c r="B680" s="1" t="s">
        <v>32</v>
      </c>
      <c r="C680" s="2">
        <v>0</v>
      </c>
      <c r="I680" s="2" t="s">
        <v>217</v>
      </c>
      <c r="J680" s="2">
        <f>'Converted Diagram'!$G$1341</f>
        <v>0</v>
      </c>
      <c r="K680" s="2" t="e">
        <f>'Converted Diagram'!$G$1340</f>
        <v>#VALUE!</v>
      </c>
      <c r="L680" s="2" t="s">
        <v>888</v>
      </c>
      <c r="M680" s="2">
        <v>0</v>
      </c>
      <c r="O680" s="2" t="str">
        <f>'Converted Diagram'!$H$1340</f>
        <v>Wi-Fi &amp; Cable Ready</v>
      </c>
      <c r="P680" s="2" t="b">
        <v>0</v>
      </c>
    </row>
    <row r="681" spans="1:16" x14ac:dyDescent="0.3">
      <c r="A681" s="2" t="e">
        <f>'Converted Diagram'!$J$1343</f>
        <v>#VALUE!</v>
      </c>
      <c r="B681" s="1" t="s">
        <v>31</v>
      </c>
      <c r="C681" s="2">
        <v>0</v>
      </c>
      <c r="I681" s="2" t="s">
        <v>217</v>
      </c>
      <c r="J681" s="2">
        <f>'Converted Diagram'!$I$1343</f>
        <v>0</v>
      </c>
      <c r="K681" s="2" t="e">
        <f>'Converted Diagram'!$I$1342</f>
        <v>#VALUE!</v>
      </c>
      <c r="L681" s="2" t="s">
        <v>889</v>
      </c>
      <c r="M681" s="2">
        <v>0</v>
      </c>
      <c r="O681" s="2" t="str">
        <f>'Converted Diagram'!$J$1342</f>
        <v>Reduce Commute Time</v>
      </c>
      <c r="P681" s="2" t="b">
        <v>0</v>
      </c>
    </row>
    <row r="682" spans="1:16" x14ac:dyDescent="0.3">
      <c r="A682" s="2" t="e">
        <f>'Converted Diagram'!$K$1345</f>
        <v>#VALUE!</v>
      </c>
      <c r="B682" s="1" t="s">
        <v>219</v>
      </c>
      <c r="C682" s="2">
        <v>0</v>
      </c>
      <c r="I682" s="2" t="s">
        <v>217</v>
      </c>
      <c r="J682" s="2">
        <f>'Converted Diagram'!$J$1345</f>
        <v>0</v>
      </c>
      <c r="K682" s="2" t="e">
        <f>'Converted Diagram'!$J$1344</f>
        <v>#VALUE!</v>
      </c>
      <c r="L682" s="2" t="s">
        <v>890</v>
      </c>
      <c r="M682" s="2">
        <v>0</v>
      </c>
      <c r="O682" s="2" t="str">
        <f>'Converted Diagram'!$K$1344</f>
        <v>Reduce overall rent</v>
      </c>
      <c r="P682" s="2" t="b">
        <v>0</v>
      </c>
    </row>
    <row r="683" spans="1:16" x14ac:dyDescent="0.3">
      <c r="A683" s="2" t="e">
        <f>'Converted Diagram'!$L$1347</f>
        <v>#VALUE!</v>
      </c>
      <c r="B683" s="1" t="s">
        <v>219</v>
      </c>
      <c r="C683" s="2">
        <v>0</v>
      </c>
      <c r="I683" s="2" t="s">
        <v>217</v>
      </c>
      <c r="J683" s="2">
        <f>'Converted Diagram'!$K$1347</f>
        <v>0</v>
      </c>
      <c r="K683" s="2" t="e">
        <f>'Converted Diagram'!$K$1346</f>
        <v>#VALUE!</v>
      </c>
      <c r="L683" s="2" t="s">
        <v>891</v>
      </c>
      <c r="M683" s="2">
        <v>0</v>
      </c>
      <c r="O683" s="2" t="str">
        <f>'Converted Diagram'!$L$1346</f>
        <v>Increase Overall Convenience</v>
      </c>
      <c r="P683" s="2" t="b">
        <v>0</v>
      </c>
    </row>
    <row r="684" spans="1:16" x14ac:dyDescent="0.3">
      <c r="A684" s="2" t="e">
        <f>'Converted Diagram'!$M$1349</f>
        <v>#VALUE!</v>
      </c>
      <c r="B684" s="1" t="s">
        <v>219</v>
      </c>
      <c r="C684" s="2">
        <v>0</v>
      </c>
      <c r="I684" s="2" t="e">
        <v>#VALUE!</v>
      </c>
      <c r="J684" s="2">
        <f>'Converted Diagram'!$L$1349</f>
        <v>0</v>
      </c>
      <c r="K684" s="2" t="e">
        <f>'Converted Diagram'!$L$1348</f>
        <v>#VALUE!</v>
      </c>
      <c r="L684" s="2" t="s">
        <v>892</v>
      </c>
      <c r="M684" s="2">
        <v>0</v>
      </c>
      <c r="P684" s="2" t="b">
        <v>0</v>
      </c>
    </row>
    <row r="685" spans="1:16" x14ac:dyDescent="0.3">
      <c r="A685" s="2" t="e">
        <f>'Converted Diagram'!$I$1351</f>
        <v>#VALUE!</v>
      </c>
      <c r="B685" s="1" t="s">
        <v>32</v>
      </c>
      <c r="C685" s="2">
        <v>0</v>
      </c>
      <c r="I685" s="2" t="s">
        <v>217</v>
      </c>
      <c r="J685" s="2">
        <f>'Converted Diagram'!$H$1351</f>
        <v>0</v>
      </c>
      <c r="K685" s="2" t="e">
        <f>'Converted Diagram'!$H$1350</f>
        <v>#VALUE!</v>
      </c>
      <c r="L685" s="2" t="s">
        <v>893</v>
      </c>
      <c r="M685" s="2">
        <v>0</v>
      </c>
      <c r="O685" s="2" t="str">
        <f>'Converted Diagram'!$I$1350</f>
        <v>Floor</v>
      </c>
      <c r="P685" s="2" t="b">
        <v>0</v>
      </c>
    </row>
    <row r="686" spans="1:16" x14ac:dyDescent="0.3">
      <c r="A686" s="2" t="e">
        <f>'Converted Diagram'!$J$1353</f>
        <v>#VALUE!</v>
      </c>
      <c r="B686" s="1" t="s">
        <v>32</v>
      </c>
      <c r="C686" s="2">
        <v>0</v>
      </c>
      <c r="I686" s="2" t="s">
        <v>217</v>
      </c>
      <c r="J686" s="2">
        <f>'Converted Diagram'!$I$1353</f>
        <v>0</v>
      </c>
      <c r="K686" s="2" t="e">
        <f>'Converted Diagram'!$I$1352</f>
        <v>#VALUE!</v>
      </c>
      <c r="L686" s="2" t="s">
        <v>894</v>
      </c>
      <c r="M686" s="2">
        <v>0</v>
      </c>
      <c r="O686" s="2" t="str">
        <f>'Converted Diagram'!$J$1352</f>
        <v>Reduce Commute Time</v>
      </c>
      <c r="P686" s="2" t="b">
        <v>0</v>
      </c>
    </row>
    <row r="687" spans="1:16" x14ac:dyDescent="0.3">
      <c r="A687" s="2" t="e">
        <f>'Converted Diagram'!$K$1355</f>
        <v>#VALUE!</v>
      </c>
      <c r="B687" s="1" t="s">
        <v>219</v>
      </c>
      <c r="C687" s="2">
        <v>0</v>
      </c>
      <c r="I687" s="2" t="s">
        <v>217</v>
      </c>
      <c r="J687" s="2">
        <f>'Converted Diagram'!$J$1355</f>
        <v>0</v>
      </c>
      <c r="K687" s="2" t="e">
        <f>'Converted Diagram'!$J$1354</f>
        <v>#VALUE!</v>
      </c>
      <c r="L687" s="2" t="s">
        <v>895</v>
      </c>
      <c r="M687" s="2">
        <v>0</v>
      </c>
      <c r="O687" s="2" t="str">
        <f>'Converted Diagram'!$K$1354</f>
        <v>Reduce overall rent</v>
      </c>
      <c r="P687" s="2" t="b">
        <v>0</v>
      </c>
    </row>
    <row r="688" spans="1:16" x14ac:dyDescent="0.3">
      <c r="A688" s="2" t="e">
        <f>'Converted Diagram'!$L$1357</f>
        <v>#VALUE!</v>
      </c>
      <c r="B688" s="1" t="s">
        <v>219</v>
      </c>
      <c r="C688" s="2">
        <v>0</v>
      </c>
      <c r="I688" s="2" t="s">
        <v>217</v>
      </c>
      <c r="J688" s="2">
        <f>'Converted Diagram'!$K$1357</f>
        <v>0</v>
      </c>
      <c r="K688" s="2" t="e">
        <f>'Converted Diagram'!$K$1356</f>
        <v>#VALUE!</v>
      </c>
      <c r="L688" s="2" t="s">
        <v>896</v>
      </c>
      <c r="M688" s="2">
        <v>0</v>
      </c>
      <c r="O688" s="2" t="str">
        <f>'Converted Diagram'!$L$1356</f>
        <v>Increase Overall Convenience</v>
      </c>
      <c r="P688" s="2" t="b">
        <v>0</v>
      </c>
    </row>
    <row r="689" spans="1:16" x14ac:dyDescent="0.3">
      <c r="A689" s="2" t="e">
        <f>'Converted Diagram'!$M$1359</f>
        <v>#VALUE!</v>
      </c>
      <c r="B689" s="1" t="s">
        <v>219</v>
      </c>
      <c r="C689" s="2">
        <v>0</v>
      </c>
      <c r="I689" s="2" t="e">
        <v>#VALUE!</v>
      </c>
      <c r="J689" s="2">
        <f>'Converted Diagram'!$L$1359</f>
        <v>0</v>
      </c>
      <c r="K689" s="2" t="e">
        <f>'Converted Diagram'!$L$1358</f>
        <v>#VALUE!</v>
      </c>
      <c r="L689" s="2" t="s">
        <v>897</v>
      </c>
      <c r="M689" s="2">
        <v>0</v>
      </c>
      <c r="P689" s="2" t="b">
        <v>0</v>
      </c>
    </row>
    <row r="690" spans="1:16" x14ac:dyDescent="0.3">
      <c r="A690" s="2" t="e">
        <f>'Converted Diagram'!$F$1361</f>
        <v>#VALUE!</v>
      </c>
      <c r="B690" s="1" t="s">
        <v>31</v>
      </c>
      <c r="C690" s="2">
        <v>0</v>
      </c>
      <c r="I690" s="2" t="s">
        <v>217</v>
      </c>
      <c r="J690" s="2">
        <f>'Converted Diagram'!$E$1361</f>
        <v>0</v>
      </c>
      <c r="K690" s="2" t="e">
        <f>'Converted Diagram'!$E$1360</f>
        <v>#VALUE!</v>
      </c>
      <c r="L690" s="2" t="s">
        <v>898</v>
      </c>
      <c r="M690" s="2">
        <v>0</v>
      </c>
      <c r="O690" s="2" t="str">
        <f>'Converted Diagram'!$F$1360</f>
        <v>Utilities</v>
      </c>
      <c r="P690" s="2" t="b">
        <v>0</v>
      </c>
    </row>
    <row r="691" spans="1:16" x14ac:dyDescent="0.3">
      <c r="A691" s="2" t="e">
        <f>'Converted Diagram'!$J$1363</f>
        <v>#VALUE!</v>
      </c>
      <c r="B691" s="1" t="s">
        <v>31</v>
      </c>
      <c r="C691" s="2">
        <v>0</v>
      </c>
      <c r="I691" s="2" t="s">
        <v>217</v>
      </c>
      <c r="J691" s="2">
        <f>'Converted Diagram'!$I$1363</f>
        <v>0</v>
      </c>
      <c r="K691" s="2" t="e">
        <f>'Converted Diagram'!$I$1362</f>
        <v>#VALUE!</v>
      </c>
      <c r="L691" s="2" t="s">
        <v>899</v>
      </c>
      <c r="M691" s="2">
        <v>0</v>
      </c>
      <c r="O691" s="2" t="str">
        <f>'Converted Diagram'!$J$1362</f>
        <v>Reduce Commute Time</v>
      </c>
      <c r="P691" s="2" t="b">
        <v>0</v>
      </c>
    </row>
    <row r="692" spans="1:16" x14ac:dyDescent="0.3">
      <c r="A692" s="2" t="e">
        <f>'Converted Diagram'!$K$1365</f>
        <v>#VALUE!</v>
      </c>
      <c r="B692" s="1" t="s">
        <v>219</v>
      </c>
      <c r="C692" s="2">
        <v>0</v>
      </c>
      <c r="I692" s="2" t="s">
        <v>217</v>
      </c>
      <c r="J692" s="2">
        <f>'Converted Diagram'!$J$1365</f>
        <v>0</v>
      </c>
      <c r="K692" s="2" t="e">
        <f>'Converted Diagram'!$J$1364</f>
        <v>#VALUE!</v>
      </c>
      <c r="L692" s="2" t="s">
        <v>900</v>
      </c>
      <c r="M692" s="2">
        <v>0</v>
      </c>
      <c r="O692" s="2" t="str">
        <f>'Converted Diagram'!$K$1364</f>
        <v>Reduce overall rent</v>
      </c>
      <c r="P692" s="2" t="b">
        <v>0</v>
      </c>
    </row>
    <row r="693" spans="1:16" x14ac:dyDescent="0.3">
      <c r="A693" s="2" t="e">
        <f>'Converted Diagram'!$L$1367</f>
        <v>#VALUE!</v>
      </c>
      <c r="B693" s="1" t="s">
        <v>219</v>
      </c>
      <c r="C693" s="2">
        <v>0</v>
      </c>
      <c r="I693" s="2" t="s">
        <v>217</v>
      </c>
      <c r="J693" s="2">
        <f>'Converted Diagram'!$K$1367</f>
        <v>0</v>
      </c>
      <c r="K693" s="2" t="e">
        <f>'Converted Diagram'!$K$1366</f>
        <v>#VALUE!</v>
      </c>
      <c r="L693" s="2" t="s">
        <v>901</v>
      </c>
      <c r="M693" s="2">
        <v>0</v>
      </c>
      <c r="O693" s="2" t="str">
        <f>'Converted Diagram'!$L$1366</f>
        <v>Increase Overall Convenience</v>
      </c>
      <c r="P693" s="2" t="b">
        <v>0</v>
      </c>
    </row>
    <row r="694" spans="1:16" x14ac:dyDescent="0.3">
      <c r="A694" s="2" t="e">
        <f>'Converted Diagram'!$M$1369</f>
        <v>#VALUE!</v>
      </c>
      <c r="B694" s="1" t="s">
        <v>219</v>
      </c>
      <c r="C694" s="2">
        <v>0</v>
      </c>
      <c r="I694" s="2" t="e">
        <v>#VALUE!</v>
      </c>
      <c r="J694" s="2">
        <f>'Converted Diagram'!$L$1369</f>
        <v>0</v>
      </c>
      <c r="K694" s="2" t="e">
        <f>'Converted Diagram'!$L$1368</f>
        <v>#VALUE!</v>
      </c>
      <c r="L694" s="2" t="s">
        <v>902</v>
      </c>
      <c r="M694" s="2">
        <v>0</v>
      </c>
      <c r="P694" s="2" t="b">
        <v>0</v>
      </c>
    </row>
    <row r="695" spans="1:16" x14ac:dyDescent="0.3">
      <c r="A695" s="2" t="e">
        <f>'Converted Diagram'!$I$1371</f>
        <v>#VALUE!</v>
      </c>
      <c r="B695" s="1" t="s">
        <v>31</v>
      </c>
      <c r="C695" s="2">
        <v>0</v>
      </c>
      <c r="I695" s="2" t="s">
        <v>217</v>
      </c>
      <c r="J695" s="2">
        <f>'Converted Diagram'!$H$1371</f>
        <v>0</v>
      </c>
      <c r="K695" s="2" t="e">
        <f>'Converted Diagram'!$H$1370</f>
        <v>#VALUE!</v>
      </c>
      <c r="L695" s="2" t="s">
        <v>903</v>
      </c>
      <c r="M695" s="2">
        <v>0</v>
      </c>
      <c r="O695" s="2" t="str">
        <f>'Converted Diagram'!$I$1370</f>
        <v>Floor</v>
      </c>
      <c r="P695" s="2" t="b">
        <v>0</v>
      </c>
    </row>
    <row r="696" spans="1:16" x14ac:dyDescent="0.3">
      <c r="A696" s="2" t="e">
        <f>'Converted Diagram'!$J$1373</f>
        <v>#VALUE!</v>
      </c>
      <c r="B696" s="1" t="s">
        <v>32</v>
      </c>
      <c r="C696" s="2">
        <v>0</v>
      </c>
      <c r="I696" s="2" t="s">
        <v>217</v>
      </c>
      <c r="J696" s="2">
        <f>'Converted Diagram'!$I$1373</f>
        <v>0</v>
      </c>
      <c r="K696" s="2" t="e">
        <f>'Converted Diagram'!$I$1372</f>
        <v>#VALUE!</v>
      </c>
      <c r="L696" s="2" t="s">
        <v>904</v>
      </c>
      <c r="M696" s="2">
        <v>0</v>
      </c>
      <c r="O696" s="2" t="str">
        <f>'Converted Diagram'!$J$1372</f>
        <v>Reduce Commute Time</v>
      </c>
      <c r="P696" s="2" t="b">
        <v>0</v>
      </c>
    </row>
    <row r="697" spans="1:16" x14ac:dyDescent="0.3">
      <c r="A697" s="2" t="e">
        <f>'Converted Diagram'!$K$1375</f>
        <v>#VALUE!</v>
      </c>
      <c r="B697" s="1" t="s">
        <v>219</v>
      </c>
      <c r="C697" s="2">
        <v>0</v>
      </c>
      <c r="I697" s="2" t="s">
        <v>217</v>
      </c>
      <c r="J697" s="2">
        <f>'Converted Diagram'!$J$1375</f>
        <v>0</v>
      </c>
      <c r="K697" s="2" t="e">
        <f>'Converted Diagram'!$J$1374</f>
        <v>#VALUE!</v>
      </c>
      <c r="L697" s="2" t="s">
        <v>905</v>
      </c>
      <c r="M697" s="2">
        <v>0</v>
      </c>
      <c r="O697" s="2" t="str">
        <f>'Converted Diagram'!$K$1374</f>
        <v>Reduce overall rent</v>
      </c>
      <c r="P697" s="2" t="b">
        <v>0</v>
      </c>
    </row>
    <row r="698" spans="1:16" x14ac:dyDescent="0.3">
      <c r="A698" s="2" t="e">
        <f>'Converted Diagram'!$L$1377</f>
        <v>#VALUE!</v>
      </c>
      <c r="B698" s="1" t="s">
        <v>219</v>
      </c>
      <c r="C698" s="2">
        <v>0</v>
      </c>
      <c r="I698" s="2" t="s">
        <v>217</v>
      </c>
      <c r="J698" s="2">
        <f>'Converted Diagram'!$K$1377</f>
        <v>0</v>
      </c>
      <c r="K698" s="2" t="e">
        <f>'Converted Diagram'!$K$1376</f>
        <v>#VALUE!</v>
      </c>
      <c r="L698" s="2" t="s">
        <v>906</v>
      </c>
      <c r="M698" s="2">
        <v>0</v>
      </c>
      <c r="O698" s="2" t="str">
        <f>'Converted Diagram'!$L$1376</f>
        <v>Increase Overall Convenience</v>
      </c>
      <c r="P698" s="2" t="b">
        <v>0</v>
      </c>
    </row>
    <row r="699" spans="1:16" x14ac:dyDescent="0.3">
      <c r="A699" s="2" t="e">
        <f>'Converted Diagram'!$M$1379</f>
        <v>#VALUE!</v>
      </c>
      <c r="B699" s="1" t="s">
        <v>219</v>
      </c>
      <c r="C699" s="2">
        <v>0</v>
      </c>
      <c r="I699" s="2" t="e">
        <v>#VALUE!</v>
      </c>
      <c r="J699" s="2">
        <f>'Converted Diagram'!$L$1379</f>
        <v>0</v>
      </c>
      <c r="K699" s="2" t="e">
        <f>'Converted Diagram'!$L$1378</f>
        <v>#VALUE!</v>
      </c>
      <c r="L699" s="2" t="s">
        <v>907</v>
      </c>
      <c r="M699" s="2">
        <v>0</v>
      </c>
      <c r="P699" s="2" t="b">
        <v>0</v>
      </c>
    </row>
    <row r="700" spans="1:16" x14ac:dyDescent="0.3">
      <c r="A700" s="2" t="e">
        <f>'Converted Diagram'!$H$1381</f>
        <v>#VALUE!</v>
      </c>
      <c r="B700" s="1" t="s">
        <v>31</v>
      </c>
      <c r="C700" s="2">
        <v>0</v>
      </c>
      <c r="I700" s="2" t="s">
        <v>217</v>
      </c>
      <c r="J700" s="2">
        <f>'Converted Diagram'!$G$1381</f>
        <v>0</v>
      </c>
      <c r="K700" s="2" t="e">
        <f>'Converted Diagram'!$G$1380</f>
        <v>#VALUE!</v>
      </c>
      <c r="L700" s="2" t="s">
        <v>908</v>
      </c>
      <c r="M700" s="2">
        <v>0</v>
      </c>
      <c r="O700" s="2" t="str">
        <f>'Converted Diagram'!$H$1380</f>
        <v>Wi-Fi &amp; Cable Ready</v>
      </c>
      <c r="P700" s="2" t="b">
        <v>0</v>
      </c>
    </row>
    <row r="701" spans="1:16" x14ac:dyDescent="0.3">
      <c r="A701" s="2" t="e">
        <f>'Converted Diagram'!$J$1383</f>
        <v>#VALUE!</v>
      </c>
      <c r="B701" s="1" t="s">
        <v>31</v>
      </c>
      <c r="C701" s="2">
        <v>0</v>
      </c>
      <c r="I701" s="2" t="s">
        <v>217</v>
      </c>
      <c r="J701" s="2">
        <f>'Converted Diagram'!$I$1383</f>
        <v>0</v>
      </c>
      <c r="K701" s="2" t="e">
        <f>'Converted Diagram'!$I$1382</f>
        <v>#VALUE!</v>
      </c>
      <c r="L701" s="2" t="s">
        <v>909</v>
      </c>
      <c r="M701" s="2">
        <v>0</v>
      </c>
      <c r="O701" s="2" t="str">
        <f>'Converted Diagram'!$J$1382</f>
        <v>Reduce Commute Time</v>
      </c>
      <c r="P701" s="2" t="b">
        <v>0</v>
      </c>
    </row>
    <row r="702" spans="1:16" x14ac:dyDescent="0.3">
      <c r="A702" s="2" t="e">
        <f>'Converted Diagram'!$K$1385</f>
        <v>#VALUE!</v>
      </c>
      <c r="B702" s="1" t="s">
        <v>219</v>
      </c>
      <c r="C702" s="2">
        <v>0</v>
      </c>
      <c r="I702" s="2" t="s">
        <v>217</v>
      </c>
      <c r="J702" s="2">
        <f>'Converted Diagram'!$J$1385</f>
        <v>0</v>
      </c>
      <c r="K702" s="2" t="e">
        <f>'Converted Diagram'!$J$1384</f>
        <v>#VALUE!</v>
      </c>
      <c r="L702" s="2" t="s">
        <v>910</v>
      </c>
      <c r="M702" s="2">
        <v>0</v>
      </c>
      <c r="O702" s="2" t="str">
        <f>'Converted Diagram'!$K$1384</f>
        <v>Reduce overall rent</v>
      </c>
      <c r="P702" s="2" t="b">
        <v>0</v>
      </c>
    </row>
    <row r="703" spans="1:16" x14ac:dyDescent="0.3">
      <c r="A703" s="2" t="e">
        <f>'Converted Diagram'!$L$1387</f>
        <v>#VALUE!</v>
      </c>
      <c r="B703" s="1" t="s">
        <v>219</v>
      </c>
      <c r="C703" s="2">
        <v>0</v>
      </c>
      <c r="I703" s="2" t="s">
        <v>217</v>
      </c>
      <c r="J703" s="2">
        <f>'Converted Diagram'!$K$1387</f>
        <v>0</v>
      </c>
      <c r="K703" s="2" t="e">
        <f>'Converted Diagram'!$K$1386</f>
        <v>#VALUE!</v>
      </c>
      <c r="L703" s="2" t="s">
        <v>911</v>
      </c>
      <c r="M703" s="2">
        <v>0</v>
      </c>
      <c r="O703" s="2" t="str">
        <f>'Converted Diagram'!$L$1386</f>
        <v>Increase Overall Convenience</v>
      </c>
      <c r="P703" s="2" t="b">
        <v>0</v>
      </c>
    </row>
    <row r="704" spans="1:16" x14ac:dyDescent="0.3">
      <c r="A704" s="2" t="e">
        <f>'Converted Diagram'!$M$1389</f>
        <v>#VALUE!</v>
      </c>
      <c r="B704" s="1" t="s">
        <v>219</v>
      </c>
      <c r="C704" s="2">
        <v>0</v>
      </c>
      <c r="I704" s="2" t="e">
        <v>#VALUE!</v>
      </c>
      <c r="J704" s="2">
        <f>'Converted Diagram'!$L$1389</f>
        <v>0</v>
      </c>
      <c r="K704" s="2" t="e">
        <f>'Converted Diagram'!$L$1388</f>
        <v>#VALUE!</v>
      </c>
      <c r="L704" s="2" t="s">
        <v>912</v>
      </c>
      <c r="M704" s="2">
        <v>0</v>
      </c>
      <c r="P704" s="2" t="b">
        <v>0</v>
      </c>
    </row>
    <row r="705" spans="1:16" x14ac:dyDescent="0.3">
      <c r="A705" s="2" t="e">
        <f>'Converted Diagram'!$I$1391</f>
        <v>#VALUE!</v>
      </c>
      <c r="B705" s="1" t="s">
        <v>32</v>
      </c>
      <c r="C705" s="2">
        <v>0</v>
      </c>
      <c r="I705" s="2" t="s">
        <v>217</v>
      </c>
      <c r="J705" s="2">
        <f>'Converted Diagram'!$H$1391</f>
        <v>0</v>
      </c>
      <c r="K705" s="2" t="e">
        <f>'Converted Diagram'!$H$1390</f>
        <v>#VALUE!</v>
      </c>
      <c r="L705" s="2" t="s">
        <v>913</v>
      </c>
      <c r="M705" s="2">
        <v>0</v>
      </c>
      <c r="O705" s="2" t="str">
        <f>'Converted Diagram'!$I$1390</f>
        <v>Floor</v>
      </c>
      <c r="P705" s="2" t="b">
        <v>0</v>
      </c>
    </row>
    <row r="706" spans="1:16" x14ac:dyDescent="0.3">
      <c r="A706" s="2" t="e">
        <f>'Converted Diagram'!$J$1393</f>
        <v>#VALUE!</v>
      </c>
      <c r="B706" s="1" t="s">
        <v>32</v>
      </c>
      <c r="C706" s="2">
        <v>0</v>
      </c>
      <c r="I706" s="2" t="s">
        <v>217</v>
      </c>
      <c r="J706" s="2">
        <f>'Converted Diagram'!$I$1393</f>
        <v>0</v>
      </c>
      <c r="K706" s="2" t="e">
        <f>'Converted Diagram'!$I$1392</f>
        <v>#VALUE!</v>
      </c>
      <c r="L706" s="2" t="s">
        <v>914</v>
      </c>
      <c r="M706" s="2">
        <v>0</v>
      </c>
      <c r="O706" s="2" t="str">
        <f>'Converted Diagram'!$J$1392</f>
        <v>Reduce Commute Time</v>
      </c>
      <c r="P706" s="2" t="b">
        <v>0</v>
      </c>
    </row>
    <row r="707" spans="1:16" x14ac:dyDescent="0.3">
      <c r="A707" s="2" t="e">
        <f>'Converted Diagram'!$K$1395</f>
        <v>#VALUE!</v>
      </c>
      <c r="B707" s="1" t="s">
        <v>219</v>
      </c>
      <c r="C707" s="2">
        <v>0</v>
      </c>
      <c r="I707" s="2" t="s">
        <v>217</v>
      </c>
      <c r="J707" s="2">
        <f>'Converted Diagram'!$J$1395</f>
        <v>0</v>
      </c>
      <c r="K707" s="2" t="e">
        <f>'Converted Diagram'!$J$1394</f>
        <v>#VALUE!</v>
      </c>
      <c r="L707" s="2" t="s">
        <v>915</v>
      </c>
      <c r="M707" s="2">
        <v>0</v>
      </c>
      <c r="O707" s="2" t="str">
        <f>'Converted Diagram'!$K$1394</f>
        <v>Reduce overall rent</v>
      </c>
      <c r="P707" s="2" t="b">
        <v>0</v>
      </c>
    </row>
    <row r="708" spans="1:16" x14ac:dyDescent="0.3">
      <c r="A708" s="2" t="e">
        <f>'Converted Diagram'!$L$1397</f>
        <v>#VALUE!</v>
      </c>
      <c r="B708" s="1" t="s">
        <v>219</v>
      </c>
      <c r="C708" s="2">
        <v>0</v>
      </c>
      <c r="I708" s="2" t="s">
        <v>217</v>
      </c>
      <c r="J708" s="2">
        <f>'Converted Diagram'!$K$1397</f>
        <v>0</v>
      </c>
      <c r="K708" s="2" t="e">
        <f>'Converted Diagram'!$K$1396</f>
        <v>#VALUE!</v>
      </c>
      <c r="L708" s="2" t="s">
        <v>916</v>
      </c>
      <c r="M708" s="2">
        <v>0</v>
      </c>
      <c r="O708" s="2" t="str">
        <f>'Converted Diagram'!$L$1396</f>
        <v>Increase Overall Convenience</v>
      </c>
      <c r="P708" s="2" t="b">
        <v>0</v>
      </c>
    </row>
    <row r="709" spans="1:16" x14ac:dyDescent="0.3">
      <c r="A709" s="2" t="e">
        <f>'Converted Diagram'!$M$1399</f>
        <v>#VALUE!</v>
      </c>
      <c r="B709" s="1" t="s">
        <v>219</v>
      </c>
      <c r="C709" s="2">
        <v>0</v>
      </c>
      <c r="I709" s="2" t="e">
        <v>#VALUE!</v>
      </c>
      <c r="J709" s="2">
        <f>'Converted Diagram'!$L$1399</f>
        <v>0</v>
      </c>
      <c r="K709" s="2" t="e">
        <f>'Converted Diagram'!$L$1398</f>
        <v>#VALUE!</v>
      </c>
      <c r="L709" s="2" t="s">
        <v>917</v>
      </c>
      <c r="M709" s="2">
        <v>0</v>
      </c>
      <c r="P709" s="2" t="b">
        <v>0</v>
      </c>
    </row>
    <row r="710" spans="1:16" x14ac:dyDescent="0.3">
      <c r="A710" s="2" t="e">
        <f>'Converted Diagram'!$G$1401</f>
        <v>#VALUE!</v>
      </c>
      <c r="B710" s="1" t="s">
        <v>32</v>
      </c>
      <c r="C710" s="2">
        <v>0</v>
      </c>
      <c r="I710" s="2" t="s">
        <v>217</v>
      </c>
      <c r="J710" s="2">
        <f>'Converted Diagram'!$F$1401</f>
        <v>0</v>
      </c>
      <c r="K710" s="2" t="e">
        <f>'Converted Diagram'!$F$1400</f>
        <v>#VALUE!</v>
      </c>
      <c r="L710" s="2" t="s">
        <v>918</v>
      </c>
      <c r="M710" s="2">
        <v>0</v>
      </c>
      <c r="O710" s="2" t="str">
        <f>'Converted Diagram'!$G$1400</f>
        <v>Grocery Store</v>
      </c>
      <c r="P710" s="2" t="b">
        <v>0</v>
      </c>
    </row>
    <row r="711" spans="1:16" x14ac:dyDescent="0.3">
      <c r="A711" s="2" t="e">
        <f>'Converted Diagram'!$J$1403</f>
        <v>#VALUE!</v>
      </c>
      <c r="B711" s="1" t="s">
        <v>31</v>
      </c>
      <c r="C711" s="2">
        <v>0</v>
      </c>
      <c r="I711" s="2" t="s">
        <v>217</v>
      </c>
      <c r="J711" s="2">
        <f>'Converted Diagram'!$I$1403</f>
        <v>0</v>
      </c>
      <c r="K711" s="2" t="e">
        <f>'Converted Diagram'!$I$1402</f>
        <v>#VALUE!</v>
      </c>
      <c r="L711" s="2" t="s">
        <v>919</v>
      </c>
      <c r="M711" s="2">
        <v>0</v>
      </c>
      <c r="O711" s="2" t="str">
        <f>'Converted Diagram'!$J$1402</f>
        <v>Reduce Commute Time</v>
      </c>
      <c r="P711" s="2" t="b">
        <v>0</v>
      </c>
    </row>
    <row r="712" spans="1:16" x14ac:dyDescent="0.3">
      <c r="A712" s="2" t="e">
        <f>'Converted Diagram'!$K$1405</f>
        <v>#VALUE!</v>
      </c>
      <c r="B712" s="1" t="s">
        <v>219</v>
      </c>
      <c r="C712" s="2">
        <v>0</v>
      </c>
      <c r="I712" s="2" t="s">
        <v>217</v>
      </c>
      <c r="J712" s="2">
        <f>'Converted Diagram'!$J$1405</f>
        <v>0</v>
      </c>
      <c r="K712" s="2" t="e">
        <f>'Converted Diagram'!$J$1404</f>
        <v>#VALUE!</v>
      </c>
      <c r="L712" s="2" t="s">
        <v>920</v>
      </c>
      <c r="M712" s="2">
        <v>0</v>
      </c>
      <c r="O712" s="2" t="str">
        <f>'Converted Diagram'!$K$1404</f>
        <v>Reduce overall rent</v>
      </c>
      <c r="P712" s="2" t="b">
        <v>0</v>
      </c>
    </row>
    <row r="713" spans="1:16" x14ac:dyDescent="0.3">
      <c r="A713" s="2" t="e">
        <f>'Converted Diagram'!$L$1407</f>
        <v>#VALUE!</v>
      </c>
      <c r="B713" s="1" t="s">
        <v>219</v>
      </c>
      <c r="C713" s="2">
        <v>0</v>
      </c>
      <c r="I713" s="2" t="s">
        <v>217</v>
      </c>
      <c r="J713" s="2">
        <f>'Converted Diagram'!$K$1407</f>
        <v>0</v>
      </c>
      <c r="K713" s="2" t="e">
        <f>'Converted Diagram'!$K$1406</f>
        <v>#VALUE!</v>
      </c>
      <c r="L713" s="2" t="s">
        <v>921</v>
      </c>
      <c r="M713" s="2">
        <v>0</v>
      </c>
      <c r="O713" s="2" t="str">
        <f>'Converted Diagram'!$L$1406</f>
        <v>Increase Overall Convenience</v>
      </c>
      <c r="P713" s="2" t="b">
        <v>0</v>
      </c>
    </row>
    <row r="714" spans="1:16" x14ac:dyDescent="0.3">
      <c r="A714" s="2" t="e">
        <f>'Converted Diagram'!$M$1409</f>
        <v>#VALUE!</v>
      </c>
      <c r="B714" s="1" t="s">
        <v>219</v>
      </c>
      <c r="C714" s="2">
        <v>0</v>
      </c>
      <c r="I714" s="2" t="e">
        <v>#VALUE!</v>
      </c>
      <c r="J714" s="2">
        <f>'Converted Diagram'!$L$1409</f>
        <v>0</v>
      </c>
      <c r="K714" s="2" t="e">
        <f>'Converted Diagram'!$L$1408</f>
        <v>#VALUE!</v>
      </c>
      <c r="L714" s="2" t="s">
        <v>922</v>
      </c>
      <c r="M714" s="2">
        <v>0</v>
      </c>
      <c r="P714" s="2" t="b">
        <v>0</v>
      </c>
    </row>
    <row r="715" spans="1:16" x14ac:dyDescent="0.3">
      <c r="A715" s="2" t="e">
        <f>'Converted Diagram'!$I$1411</f>
        <v>#VALUE!</v>
      </c>
      <c r="B715" s="1" t="s">
        <v>31</v>
      </c>
      <c r="C715" s="2">
        <v>0</v>
      </c>
      <c r="I715" s="2" t="s">
        <v>217</v>
      </c>
      <c r="J715" s="2">
        <f>'Converted Diagram'!$H$1411</f>
        <v>0</v>
      </c>
      <c r="K715" s="2" t="e">
        <f>'Converted Diagram'!$H$1410</f>
        <v>#VALUE!</v>
      </c>
      <c r="L715" s="2" t="s">
        <v>923</v>
      </c>
      <c r="M715" s="2">
        <v>0</v>
      </c>
      <c r="O715" s="2" t="str">
        <f>'Converted Diagram'!$I$1410</f>
        <v>Floor</v>
      </c>
      <c r="P715" s="2" t="b">
        <v>0</v>
      </c>
    </row>
    <row r="716" spans="1:16" x14ac:dyDescent="0.3">
      <c r="A716" s="2" t="e">
        <f>'Converted Diagram'!$J$1413</f>
        <v>#VALUE!</v>
      </c>
      <c r="B716" s="1" t="s">
        <v>32</v>
      </c>
      <c r="C716" s="2">
        <v>0</v>
      </c>
      <c r="I716" s="2" t="s">
        <v>217</v>
      </c>
      <c r="J716" s="2">
        <f>'Converted Diagram'!$I$1413</f>
        <v>0</v>
      </c>
      <c r="K716" s="2" t="e">
        <f>'Converted Diagram'!$I$1412</f>
        <v>#VALUE!</v>
      </c>
      <c r="L716" s="2" t="s">
        <v>924</v>
      </c>
      <c r="M716" s="2">
        <v>0</v>
      </c>
      <c r="O716" s="2" t="str">
        <f>'Converted Diagram'!$J$1412</f>
        <v>Reduce Commute Time</v>
      </c>
      <c r="P716" s="2" t="b">
        <v>0</v>
      </c>
    </row>
    <row r="717" spans="1:16" x14ac:dyDescent="0.3">
      <c r="A717" s="2" t="e">
        <f>'Converted Diagram'!$K$1415</f>
        <v>#VALUE!</v>
      </c>
      <c r="B717" s="1" t="s">
        <v>219</v>
      </c>
      <c r="C717" s="2">
        <v>0</v>
      </c>
      <c r="I717" s="2" t="s">
        <v>217</v>
      </c>
      <c r="J717" s="2">
        <f>'Converted Diagram'!$J$1415</f>
        <v>0</v>
      </c>
      <c r="K717" s="2" t="e">
        <f>'Converted Diagram'!$J$1414</f>
        <v>#VALUE!</v>
      </c>
      <c r="L717" s="2" t="s">
        <v>925</v>
      </c>
      <c r="M717" s="2">
        <v>0</v>
      </c>
      <c r="O717" s="2" t="str">
        <f>'Converted Diagram'!$K$1414</f>
        <v>Reduce overall rent</v>
      </c>
      <c r="P717" s="2" t="b">
        <v>0</v>
      </c>
    </row>
    <row r="718" spans="1:16" x14ac:dyDescent="0.3">
      <c r="A718" s="2" t="e">
        <f>'Converted Diagram'!$L$1417</f>
        <v>#VALUE!</v>
      </c>
      <c r="B718" s="1" t="s">
        <v>219</v>
      </c>
      <c r="C718" s="2">
        <v>0</v>
      </c>
      <c r="I718" s="2" t="s">
        <v>217</v>
      </c>
      <c r="J718" s="2">
        <f>'Converted Diagram'!$K$1417</f>
        <v>0</v>
      </c>
      <c r="K718" s="2" t="e">
        <f>'Converted Diagram'!$K$1416</f>
        <v>#VALUE!</v>
      </c>
      <c r="L718" s="2" t="s">
        <v>926</v>
      </c>
      <c r="M718" s="2">
        <v>0</v>
      </c>
      <c r="O718" s="2" t="str">
        <f>'Converted Diagram'!$L$1416</f>
        <v>Increase Overall Convenience</v>
      </c>
      <c r="P718" s="2" t="b">
        <v>0</v>
      </c>
    </row>
    <row r="719" spans="1:16" x14ac:dyDescent="0.3">
      <c r="A719" s="2" t="e">
        <f>'Converted Diagram'!$M$1419</f>
        <v>#VALUE!</v>
      </c>
      <c r="B719" s="1" t="s">
        <v>219</v>
      </c>
      <c r="C719" s="2">
        <v>0</v>
      </c>
      <c r="I719" s="2" t="e">
        <v>#VALUE!</v>
      </c>
      <c r="J719" s="2">
        <f>'Converted Diagram'!$L$1419</f>
        <v>0</v>
      </c>
      <c r="K719" s="2" t="e">
        <f>'Converted Diagram'!$L$1418</f>
        <v>#VALUE!</v>
      </c>
      <c r="L719" s="2" t="s">
        <v>927</v>
      </c>
      <c r="M719" s="2">
        <v>0</v>
      </c>
      <c r="P719" s="2" t="b">
        <v>0</v>
      </c>
    </row>
    <row r="720" spans="1:16" x14ac:dyDescent="0.3">
      <c r="A720" s="2" t="e">
        <f>'Converted Diagram'!$H$1421</f>
        <v>#VALUE!</v>
      </c>
      <c r="B720" s="1" t="s">
        <v>32</v>
      </c>
      <c r="C720" s="2">
        <v>0</v>
      </c>
      <c r="I720" s="2" t="s">
        <v>217</v>
      </c>
      <c r="J720" s="2">
        <f>'Converted Diagram'!$G$1421</f>
        <v>0</v>
      </c>
      <c r="K720" s="2" t="e">
        <f>'Converted Diagram'!$G$1420</f>
        <v>#VALUE!</v>
      </c>
      <c r="L720" s="2" t="s">
        <v>928</v>
      </c>
      <c r="M720" s="2">
        <v>0</v>
      </c>
      <c r="O720" s="2" t="str">
        <f>'Converted Diagram'!$H$1420</f>
        <v>Wi-Fi &amp; Cable Ready</v>
      </c>
      <c r="P720" s="2" t="b">
        <v>0</v>
      </c>
    </row>
    <row r="721" spans="1:16" x14ac:dyDescent="0.3">
      <c r="A721" s="2" t="e">
        <f>'Converted Diagram'!$J$1423</f>
        <v>#VALUE!</v>
      </c>
      <c r="B721" s="1" t="s">
        <v>31</v>
      </c>
      <c r="C721" s="2">
        <v>0</v>
      </c>
      <c r="I721" s="2" t="s">
        <v>217</v>
      </c>
      <c r="J721" s="2">
        <f>'Converted Diagram'!$I$1423</f>
        <v>0</v>
      </c>
      <c r="K721" s="2" t="e">
        <f>'Converted Diagram'!$I$1422</f>
        <v>#VALUE!</v>
      </c>
      <c r="L721" s="2" t="s">
        <v>929</v>
      </c>
      <c r="M721" s="2">
        <v>0</v>
      </c>
      <c r="O721" s="2" t="str">
        <f>'Converted Diagram'!$J$1422</f>
        <v>Reduce Commute Time</v>
      </c>
      <c r="P721" s="2" t="b">
        <v>0</v>
      </c>
    </row>
    <row r="722" spans="1:16" x14ac:dyDescent="0.3">
      <c r="A722" s="2" t="e">
        <f>'Converted Diagram'!$K$1425</f>
        <v>#VALUE!</v>
      </c>
      <c r="B722" s="1" t="s">
        <v>219</v>
      </c>
      <c r="C722" s="2">
        <v>0</v>
      </c>
      <c r="I722" s="2" t="s">
        <v>217</v>
      </c>
      <c r="J722" s="2">
        <f>'Converted Diagram'!$J$1425</f>
        <v>0</v>
      </c>
      <c r="K722" s="2" t="e">
        <f>'Converted Diagram'!$J$1424</f>
        <v>#VALUE!</v>
      </c>
      <c r="L722" s="2" t="s">
        <v>930</v>
      </c>
      <c r="M722" s="2">
        <v>0</v>
      </c>
      <c r="O722" s="2" t="str">
        <f>'Converted Diagram'!$K$1424</f>
        <v>Reduce overall rent</v>
      </c>
      <c r="P722" s="2" t="b">
        <v>0</v>
      </c>
    </row>
    <row r="723" spans="1:16" x14ac:dyDescent="0.3">
      <c r="A723" s="2" t="e">
        <f>'Converted Diagram'!$L$1427</f>
        <v>#VALUE!</v>
      </c>
      <c r="B723" s="1" t="s">
        <v>219</v>
      </c>
      <c r="C723" s="2">
        <v>0</v>
      </c>
      <c r="I723" s="2" t="s">
        <v>217</v>
      </c>
      <c r="J723" s="2">
        <f>'Converted Diagram'!$K$1427</f>
        <v>0</v>
      </c>
      <c r="K723" s="2" t="e">
        <f>'Converted Diagram'!$K$1426</f>
        <v>#VALUE!</v>
      </c>
      <c r="L723" s="2" t="s">
        <v>931</v>
      </c>
      <c r="M723" s="2">
        <v>0</v>
      </c>
      <c r="O723" s="2" t="str">
        <f>'Converted Diagram'!$L$1426</f>
        <v>Increase Overall Convenience</v>
      </c>
      <c r="P723" s="2" t="b">
        <v>0</v>
      </c>
    </row>
    <row r="724" spans="1:16" x14ac:dyDescent="0.3">
      <c r="A724" s="2" t="e">
        <f>'Converted Diagram'!$M$1429</f>
        <v>#VALUE!</v>
      </c>
      <c r="B724" s="1" t="s">
        <v>219</v>
      </c>
      <c r="C724" s="2">
        <v>0</v>
      </c>
      <c r="I724" s="2" t="e">
        <v>#VALUE!</v>
      </c>
      <c r="J724" s="2">
        <f>'Converted Diagram'!$L$1429</f>
        <v>0</v>
      </c>
      <c r="K724" s="2" t="e">
        <f>'Converted Diagram'!$L$1428</f>
        <v>#VALUE!</v>
      </c>
      <c r="L724" s="2" t="s">
        <v>932</v>
      </c>
      <c r="M724" s="2">
        <v>0</v>
      </c>
      <c r="P724" s="2" t="b">
        <v>0</v>
      </c>
    </row>
    <row r="725" spans="1:16" x14ac:dyDescent="0.3">
      <c r="A725" s="2" t="e">
        <f>'Converted Diagram'!$I$1431</f>
        <v>#VALUE!</v>
      </c>
      <c r="B725" s="1" t="s">
        <v>32</v>
      </c>
      <c r="C725" s="2">
        <v>0</v>
      </c>
      <c r="I725" s="2" t="s">
        <v>217</v>
      </c>
      <c r="J725" s="2">
        <f>'Converted Diagram'!$H$1431</f>
        <v>0</v>
      </c>
      <c r="K725" s="2" t="e">
        <f>'Converted Diagram'!$H$1430</f>
        <v>#VALUE!</v>
      </c>
      <c r="L725" s="2" t="s">
        <v>933</v>
      </c>
      <c r="M725" s="2">
        <v>0</v>
      </c>
      <c r="O725" s="2" t="str">
        <f>'Converted Diagram'!$I$1430</f>
        <v>Floor</v>
      </c>
      <c r="P725" s="2" t="b">
        <v>0</v>
      </c>
    </row>
    <row r="726" spans="1:16" x14ac:dyDescent="0.3">
      <c r="A726" s="2" t="e">
        <f>'Converted Diagram'!$J$1433</f>
        <v>#VALUE!</v>
      </c>
      <c r="B726" s="1" t="s">
        <v>32</v>
      </c>
      <c r="C726" s="2">
        <v>0</v>
      </c>
      <c r="I726" s="2" t="s">
        <v>217</v>
      </c>
      <c r="J726" s="2">
        <f>'Converted Diagram'!$I$1433</f>
        <v>0</v>
      </c>
      <c r="K726" s="2" t="e">
        <f>'Converted Diagram'!$I$1432</f>
        <v>#VALUE!</v>
      </c>
      <c r="L726" s="2" t="s">
        <v>934</v>
      </c>
      <c r="M726" s="2">
        <v>0</v>
      </c>
      <c r="O726" s="2" t="str">
        <f>'Converted Diagram'!$J$1432</f>
        <v>Reduce Commute Time</v>
      </c>
      <c r="P726" s="2" t="b">
        <v>0</v>
      </c>
    </row>
    <row r="727" spans="1:16" x14ac:dyDescent="0.3">
      <c r="A727" s="2" t="e">
        <f>'Converted Diagram'!$K$1435</f>
        <v>#VALUE!</v>
      </c>
      <c r="B727" s="1" t="s">
        <v>219</v>
      </c>
      <c r="C727" s="2">
        <v>0</v>
      </c>
      <c r="I727" s="2" t="s">
        <v>217</v>
      </c>
      <c r="J727" s="2">
        <f>'Converted Diagram'!$J$1435</f>
        <v>0</v>
      </c>
      <c r="K727" s="2" t="e">
        <f>'Converted Diagram'!$J$1434</f>
        <v>#VALUE!</v>
      </c>
      <c r="L727" s="2" t="s">
        <v>935</v>
      </c>
      <c r="M727" s="2">
        <v>0</v>
      </c>
      <c r="O727" s="2" t="str">
        <f>'Converted Diagram'!$K$1434</f>
        <v>Reduce overall rent</v>
      </c>
      <c r="P727" s="2" t="b">
        <v>0</v>
      </c>
    </row>
    <row r="728" spans="1:16" x14ac:dyDescent="0.3">
      <c r="A728" s="2" t="e">
        <f>'Converted Diagram'!$L$1437</f>
        <v>#VALUE!</v>
      </c>
      <c r="B728" s="1" t="s">
        <v>219</v>
      </c>
      <c r="C728" s="2">
        <v>0</v>
      </c>
      <c r="I728" s="2" t="s">
        <v>217</v>
      </c>
      <c r="J728" s="2">
        <f>'Converted Diagram'!$K$1437</f>
        <v>0</v>
      </c>
      <c r="K728" s="2" t="e">
        <f>'Converted Diagram'!$K$1436</f>
        <v>#VALUE!</v>
      </c>
      <c r="L728" s="2" t="s">
        <v>936</v>
      </c>
      <c r="M728" s="2">
        <v>0</v>
      </c>
      <c r="O728" s="2" t="str">
        <f>'Converted Diagram'!$L$1436</f>
        <v>Increase Overall Convenience</v>
      </c>
      <c r="P728" s="2" t="b">
        <v>0</v>
      </c>
    </row>
    <row r="729" spans="1:16" x14ac:dyDescent="0.3">
      <c r="A729" s="2" t="e">
        <f>'Converted Diagram'!$M$1439</f>
        <v>#VALUE!</v>
      </c>
      <c r="B729" s="1" t="s">
        <v>219</v>
      </c>
      <c r="C729" s="2">
        <v>0</v>
      </c>
      <c r="I729" s="2" t="e">
        <v>#VALUE!</v>
      </c>
      <c r="J729" s="2">
        <f>'Converted Diagram'!$L$1439</f>
        <v>0</v>
      </c>
      <c r="K729" s="2" t="e">
        <f>'Converted Diagram'!$L$1438</f>
        <v>#VALUE!</v>
      </c>
      <c r="L729" s="2" t="s">
        <v>937</v>
      </c>
      <c r="M729" s="2">
        <v>0</v>
      </c>
      <c r="P729" s="2" t="b">
        <v>0</v>
      </c>
    </row>
    <row r="730" spans="1:16" x14ac:dyDescent="0.3">
      <c r="A730" s="2" t="e">
        <f>'Converted Diagram'!$E$1441</f>
        <v>#VALUE!</v>
      </c>
      <c r="B730" s="1" t="s">
        <v>31</v>
      </c>
      <c r="C730" s="2">
        <v>0</v>
      </c>
      <c r="I730" s="2" t="s">
        <v>217</v>
      </c>
      <c r="J730" s="2">
        <f>'Converted Diagram'!$D$1441</f>
        <v>0</v>
      </c>
      <c r="L730" s="2" t="s">
        <v>938</v>
      </c>
      <c r="M730" s="2">
        <v>0</v>
      </c>
      <c r="O730" s="2" t="str">
        <f>'Converted Diagram'!$E$1440</f>
        <v>Nearest Transportation Station</v>
      </c>
      <c r="P730" s="2" t="b">
        <v>0</v>
      </c>
    </row>
    <row r="731" spans="1:16" x14ac:dyDescent="0.3">
      <c r="A731" s="2" t="e">
        <f>'Converted Diagram'!$J$1443</f>
        <v>#VALUE!</v>
      </c>
      <c r="B731" s="1" t="s">
        <v>31</v>
      </c>
      <c r="C731" s="2">
        <v>0</v>
      </c>
      <c r="I731" s="2" t="s">
        <v>217</v>
      </c>
      <c r="J731" s="2">
        <f>'Converted Diagram'!$I$1443</f>
        <v>0</v>
      </c>
      <c r="K731" s="2" t="e">
        <f>'Converted Diagram'!$I$1442</f>
        <v>#VALUE!</v>
      </c>
      <c r="L731" s="2" t="s">
        <v>939</v>
      </c>
      <c r="M731" s="2">
        <v>0</v>
      </c>
      <c r="O731" s="2" t="str">
        <f>'Converted Diagram'!$J$1442</f>
        <v>Reduce Commute Time</v>
      </c>
      <c r="P731" s="2" t="b">
        <v>0</v>
      </c>
    </row>
    <row r="732" spans="1:16" x14ac:dyDescent="0.3">
      <c r="A732" s="2" t="e">
        <f>'Converted Diagram'!$K$1445</f>
        <v>#VALUE!</v>
      </c>
      <c r="B732" s="1" t="s">
        <v>219</v>
      </c>
      <c r="C732" s="2">
        <v>0</v>
      </c>
      <c r="I732" s="2" t="s">
        <v>217</v>
      </c>
      <c r="J732" s="2">
        <f>'Converted Diagram'!$J$1445</f>
        <v>0</v>
      </c>
      <c r="K732" s="2" t="e">
        <f>'Converted Diagram'!$J$1444</f>
        <v>#VALUE!</v>
      </c>
      <c r="L732" s="2" t="s">
        <v>940</v>
      </c>
      <c r="M732" s="2">
        <v>0</v>
      </c>
      <c r="O732" s="2" t="str">
        <f>'Converted Diagram'!$K$1444</f>
        <v>Reduce overall rent</v>
      </c>
      <c r="P732" s="2" t="b">
        <v>0</v>
      </c>
    </row>
    <row r="733" spans="1:16" x14ac:dyDescent="0.3">
      <c r="A733" s="2" t="e">
        <f>'Converted Diagram'!$L$1447</f>
        <v>#VALUE!</v>
      </c>
      <c r="B733" s="1" t="s">
        <v>219</v>
      </c>
      <c r="C733" s="2">
        <v>0</v>
      </c>
      <c r="I733" s="2" t="s">
        <v>217</v>
      </c>
      <c r="J733" s="2">
        <f>'Converted Diagram'!$K$1447</f>
        <v>0</v>
      </c>
      <c r="K733" s="2" t="e">
        <f>'Converted Diagram'!$K$1446</f>
        <v>#VALUE!</v>
      </c>
      <c r="L733" s="2" t="s">
        <v>941</v>
      </c>
      <c r="M733" s="2">
        <v>0</v>
      </c>
      <c r="O733" s="2" t="str">
        <f>'Converted Diagram'!$L$1446</f>
        <v>Increase Overall Convenience</v>
      </c>
      <c r="P733" s="2" t="b">
        <v>0</v>
      </c>
    </row>
    <row r="734" spans="1:16" x14ac:dyDescent="0.3">
      <c r="A734" s="2" t="e">
        <f>'Converted Diagram'!$M$1449</f>
        <v>#VALUE!</v>
      </c>
      <c r="B734" s="1" t="s">
        <v>219</v>
      </c>
      <c r="C734" s="2">
        <v>0</v>
      </c>
      <c r="I734" s="2" t="e">
        <v>#VALUE!</v>
      </c>
      <c r="J734" s="2">
        <f>'Converted Diagram'!$L$1449</f>
        <v>0</v>
      </c>
      <c r="K734" s="2" t="e">
        <f>'Converted Diagram'!$L$1448</f>
        <v>#VALUE!</v>
      </c>
      <c r="L734" s="2" t="s">
        <v>942</v>
      </c>
      <c r="M734" s="2">
        <v>0</v>
      </c>
      <c r="P734" s="2" t="b">
        <v>0</v>
      </c>
    </row>
    <row r="735" spans="1:16" x14ac:dyDescent="0.3">
      <c r="A735" s="2" t="e">
        <f>'Converted Diagram'!$I$1451</f>
        <v>#VALUE!</v>
      </c>
      <c r="B735" s="1" t="s">
        <v>31</v>
      </c>
      <c r="C735" s="2">
        <v>0</v>
      </c>
      <c r="I735" s="2" t="s">
        <v>217</v>
      </c>
      <c r="J735" s="2">
        <f>'Converted Diagram'!$H$1451</f>
        <v>0</v>
      </c>
      <c r="K735" s="2" t="e">
        <f>'Converted Diagram'!$H$1450</f>
        <v>#VALUE!</v>
      </c>
      <c r="L735" s="2" t="s">
        <v>943</v>
      </c>
      <c r="M735" s="2">
        <v>0</v>
      </c>
      <c r="O735" s="2" t="str">
        <f>'Converted Diagram'!$I$1450</f>
        <v>Floor</v>
      </c>
      <c r="P735" s="2" t="b">
        <v>0</v>
      </c>
    </row>
    <row r="736" spans="1:16" x14ac:dyDescent="0.3">
      <c r="A736" s="2" t="e">
        <f>'Converted Diagram'!$J$1453</f>
        <v>#VALUE!</v>
      </c>
      <c r="B736" s="1" t="s">
        <v>32</v>
      </c>
      <c r="C736" s="2">
        <v>0</v>
      </c>
      <c r="I736" s="2" t="s">
        <v>217</v>
      </c>
      <c r="J736" s="2">
        <f>'Converted Diagram'!$I$1453</f>
        <v>0</v>
      </c>
      <c r="K736" s="2" t="e">
        <f>'Converted Diagram'!$I$1452</f>
        <v>#VALUE!</v>
      </c>
      <c r="L736" s="2" t="s">
        <v>944</v>
      </c>
      <c r="M736" s="2">
        <v>0</v>
      </c>
      <c r="O736" s="2" t="str">
        <f>'Converted Diagram'!$J$1452</f>
        <v>Reduce Commute Time</v>
      </c>
      <c r="P736" s="2" t="b">
        <v>0</v>
      </c>
    </row>
    <row r="737" spans="1:16" x14ac:dyDescent="0.3">
      <c r="A737" s="2" t="e">
        <f>'Converted Diagram'!$K$1455</f>
        <v>#VALUE!</v>
      </c>
      <c r="B737" s="1" t="s">
        <v>219</v>
      </c>
      <c r="C737" s="2">
        <v>0</v>
      </c>
      <c r="I737" s="2" t="s">
        <v>217</v>
      </c>
      <c r="J737" s="2">
        <f>'Converted Diagram'!$J$1455</f>
        <v>0</v>
      </c>
      <c r="K737" s="2" t="e">
        <f>'Converted Diagram'!$J$1454</f>
        <v>#VALUE!</v>
      </c>
      <c r="L737" s="2" t="s">
        <v>945</v>
      </c>
      <c r="M737" s="2">
        <v>0</v>
      </c>
      <c r="O737" s="2" t="str">
        <f>'Converted Diagram'!$K$1454</f>
        <v>Reduce overall rent</v>
      </c>
      <c r="P737" s="2" t="b">
        <v>0</v>
      </c>
    </row>
    <row r="738" spans="1:16" x14ac:dyDescent="0.3">
      <c r="A738" s="2" t="e">
        <f>'Converted Diagram'!$L$1457</f>
        <v>#VALUE!</v>
      </c>
      <c r="B738" s="1" t="s">
        <v>219</v>
      </c>
      <c r="C738" s="2">
        <v>0</v>
      </c>
      <c r="I738" s="2" t="s">
        <v>217</v>
      </c>
      <c r="J738" s="2">
        <f>'Converted Diagram'!$K$1457</f>
        <v>0</v>
      </c>
      <c r="K738" s="2" t="e">
        <f>'Converted Diagram'!$K$1456</f>
        <v>#VALUE!</v>
      </c>
      <c r="L738" s="2" t="s">
        <v>946</v>
      </c>
      <c r="M738" s="2">
        <v>0</v>
      </c>
      <c r="O738" s="2" t="str">
        <f>'Converted Diagram'!$L$1456</f>
        <v>Increase Overall Convenience</v>
      </c>
      <c r="P738" s="2" t="b">
        <v>0</v>
      </c>
    </row>
    <row r="739" spans="1:16" x14ac:dyDescent="0.3">
      <c r="A739" s="2" t="e">
        <f>'Converted Diagram'!$M$1459</f>
        <v>#VALUE!</v>
      </c>
      <c r="B739" s="1" t="s">
        <v>219</v>
      </c>
      <c r="C739" s="2">
        <v>0</v>
      </c>
      <c r="I739" s="2" t="e">
        <v>#VALUE!</v>
      </c>
      <c r="J739" s="2">
        <f>'Converted Diagram'!$L$1459</f>
        <v>0</v>
      </c>
      <c r="K739" s="2" t="e">
        <f>'Converted Diagram'!$L$1458</f>
        <v>#VALUE!</v>
      </c>
      <c r="L739" s="2" t="s">
        <v>947</v>
      </c>
      <c r="M739" s="2">
        <v>0</v>
      </c>
      <c r="P739" s="2" t="b">
        <v>0</v>
      </c>
    </row>
    <row r="740" spans="1:16" x14ac:dyDescent="0.3">
      <c r="A740" s="2" t="e">
        <f>'Converted Diagram'!$H$1461</f>
        <v>#VALUE!</v>
      </c>
      <c r="B740" s="1" t="s">
        <v>31</v>
      </c>
      <c r="C740" s="2">
        <v>0</v>
      </c>
      <c r="I740" s="2" t="s">
        <v>217</v>
      </c>
      <c r="J740" s="2">
        <f>'Converted Diagram'!$G$1461</f>
        <v>0</v>
      </c>
      <c r="K740" s="2" t="e">
        <f>'Converted Diagram'!$G$1460</f>
        <v>#VALUE!</v>
      </c>
      <c r="L740" s="2" t="s">
        <v>948</v>
      </c>
      <c r="M740" s="2">
        <v>0</v>
      </c>
      <c r="O740" s="2" t="str">
        <f>'Converted Diagram'!$H$1460</f>
        <v>Wi-Fi &amp; Cable Ready</v>
      </c>
      <c r="P740" s="2" t="b">
        <v>0</v>
      </c>
    </row>
    <row r="741" spans="1:16" x14ac:dyDescent="0.3">
      <c r="A741" s="2" t="e">
        <f>'Converted Diagram'!$J$1463</f>
        <v>#VALUE!</v>
      </c>
      <c r="B741" s="1" t="s">
        <v>31</v>
      </c>
      <c r="C741" s="2">
        <v>0</v>
      </c>
      <c r="I741" s="2" t="s">
        <v>217</v>
      </c>
      <c r="J741" s="2">
        <f>'Converted Diagram'!$I$1463</f>
        <v>0</v>
      </c>
      <c r="K741" s="2" t="e">
        <f>'Converted Diagram'!$I$1462</f>
        <v>#VALUE!</v>
      </c>
      <c r="L741" s="2" t="s">
        <v>949</v>
      </c>
      <c r="M741" s="2">
        <v>0</v>
      </c>
      <c r="O741" s="2" t="str">
        <f>'Converted Diagram'!$J$1462</f>
        <v>Reduce Commute Time</v>
      </c>
      <c r="P741" s="2" t="b">
        <v>0</v>
      </c>
    </row>
    <row r="742" spans="1:16" x14ac:dyDescent="0.3">
      <c r="A742" s="2" t="e">
        <f>'Converted Diagram'!$K$1465</f>
        <v>#VALUE!</v>
      </c>
      <c r="B742" s="1" t="s">
        <v>219</v>
      </c>
      <c r="C742" s="2">
        <v>0</v>
      </c>
      <c r="I742" s="2" t="s">
        <v>217</v>
      </c>
      <c r="J742" s="2">
        <f>'Converted Diagram'!$J$1465</f>
        <v>0</v>
      </c>
      <c r="K742" s="2" t="e">
        <f>'Converted Diagram'!$J$1464</f>
        <v>#VALUE!</v>
      </c>
      <c r="L742" s="2" t="s">
        <v>950</v>
      </c>
      <c r="M742" s="2">
        <v>0</v>
      </c>
      <c r="O742" s="2" t="str">
        <f>'Converted Diagram'!$K$1464</f>
        <v>Reduce overall rent</v>
      </c>
      <c r="P742" s="2" t="b">
        <v>0</v>
      </c>
    </row>
    <row r="743" spans="1:16" x14ac:dyDescent="0.3">
      <c r="A743" s="2" t="e">
        <f>'Converted Diagram'!$L$1467</f>
        <v>#VALUE!</v>
      </c>
      <c r="B743" s="1" t="s">
        <v>219</v>
      </c>
      <c r="C743" s="2">
        <v>0</v>
      </c>
      <c r="I743" s="2" t="s">
        <v>217</v>
      </c>
      <c r="J743" s="2">
        <f>'Converted Diagram'!$K$1467</f>
        <v>0</v>
      </c>
      <c r="K743" s="2" t="e">
        <f>'Converted Diagram'!$K$1466</f>
        <v>#VALUE!</v>
      </c>
      <c r="L743" s="2" t="s">
        <v>951</v>
      </c>
      <c r="M743" s="2">
        <v>0</v>
      </c>
      <c r="O743" s="2" t="str">
        <f>'Converted Diagram'!$L$1466</f>
        <v>Increase Overall Convenience</v>
      </c>
      <c r="P743" s="2" t="b">
        <v>0</v>
      </c>
    </row>
    <row r="744" spans="1:16" x14ac:dyDescent="0.3">
      <c r="A744" s="2" t="e">
        <f>'Converted Diagram'!$M$1469</f>
        <v>#VALUE!</v>
      </c>
      <c r="B744" s="1" t="s">
        <v>219</v>
      </c>
      <c r="C744" s="2">
        <v>0</v>
      </c>
      <c r="I744" s="2" t="e">
        <v>#VALUE!</v>
      </c>
      <c r="J744" s="2">
        <f>'Converted Diagram'!$L$1469</f>
        <v>0</v>
      </c>
      <c r="K744" s="2" t="e">
        <f>'Converted Diagram'!$L$1468</f>
        <v>#VALUE!</v>
      </c>
      <c r="L744" s="2" t="s">
        <v>952</v>
      </c>
      <c r="M744" s="2">
        <v>0</v>
      </c>
      <c r="P744" s="2" t="b">
        <v>0</v>
      </c>
    </row>
    <row r="745" spans="1:16" x14ac:dyDescent="0.3">
      <c r="A745" s="2" t="e">
        <f>'Converted Diagram'!$I$1471</f>
        <v>#VALUE!</v>
      </c>
      <c r="B745" s="1" t="s">
        <v>32</v>
      </c>
      <c r="C745" s="2">
        <v>0</v>
      </c>
      <c r="I745" s="2" t="s">
        <v>217</v>
      </c>
      <c r="J745" s="2">
        <f>'Converted Diagram'!$H$1471</f>
        <v>0</v>
      </c>
      <c r="K745" s="2" t="e">
        <f>'Converted Diagram'!$H$1470</f>
        <v>#VALUE!</v>
      </c>
      <c r="L745" s="2" t="s">
        <v>953</v>
      </c>
      <c r="M745" s="2">
        <v>0</v>
      </c>
      <c r="O745" s="2" t="str">
        <f>'Converted Diagram'!$I$1470</f>
        <v>Floor</v>
      </c>
      <c r="P745" s="2" t="b">
        <v>0</v>
      </c>
    </row>
    <row r="746" spans="1:16" x14ac:dyDescent="0.3">
      <c r="A746" s="2" t="e">
        <f>'Converted Diagram'!$J$1473</f>
        <v>#VALUE!</v>
      </c>
      <c r="B746" s="1" t="s">
        <v>32</v>
      </c>
      <c r="C746" s="2">
        <v>0</v>
      </c>
      <c r="I746" s="2" t="s">
        <v>217</v>
      </c>
      <c r="J746" s="2">
        <f>'Converted Diagram'!$I$1473</f>
        <v>0</v>
      </c>
      <c r="K746" s="2" t="e">
        <f>'Converted Diagram'!$I$1472</f>
        <v>#VALUE!</v>
      </c>
      <c r="L746" s="2" t="s">
        <v>954</v>
      </c>
      <c r="M746" s="2">
        <v>0</v>
      </c>
      <c r="O746" s="2" t="str">
        <f>'Converted Diagram'!$J$1472</f>
        <v>Reduce Commute Time</v>
      </c>
      <c r="P746" s="2" t="b">
        <v>0</v>
      </c>
    </row>
    <row r="747" spans="1:16" x14ac:dyDescent="0.3">
      <c r="A747" s="2" t="e">
        <f>'Converted Diagram'!$K$1475</f>
        <v>#VALUE!</v>
      </c>
      <c r="B747" s="1" t="s">
        <v>219</v>
      </c>
      <c r="C747" s="2">
        <v>0</v>
      </c>
      <c r="I747" s="2" t="s">
        <v>217</v>
      </c>
      <c r="J747" s="2">
        <f>'Converted Diagram'!$J$1475</f>
        <v>0</v>
      </c>
      <c r="K747" s="2" t="e">
        <f>'Converted Diagram'!$J$1474</f>
        <v>#VALUE!</v>
      </c>
      <c r="L747" s="2" t="s">
        <v>955</v>
      </c>
      <c r="M747" s="2">
        <v>0</v>
      </c>
      <c r="O747" s="2" t="str">
        <f>'Converted Diagram'!$K$1474</f>
        <v>Reduce overall rent</v>
      </c>
      <c r="P747" s="2" t="b">
        <v>0</v>
      </c>
    </row>
    <row r="748" spans="1:16" x14ac:dyDescent="0.3">
      <c r="A748" s="2" t="e">
        <f>'Converted Diagram'!$L$1477</f>
        <v>#VALUE!</v>
      </c>
      <c r="B748" s="1" t="s">
        <v>219</v>
      </c>
      <c r="C748" s="2">
        <v>0</v>
      </c>
      <c r="I748" s="2" t="s">
        <v>217</v>
      </c>
      <c r="J748" s="2">
        <f>'Converted Diagram'!$K$1477</f>
        <v>0</v>
      </c>
      <c r="K748" s="2" t="e">
        <f>'Converted Diagram'!$K$1476</f>
        <v>#VALUE!</v>
      </c>
      <c r="L748" s="2" t="s">
        <v>956</v>
      </c>
      <c r="M748" s="2">
        <v>0</v>
      </c>
      <c r="O748" s="2" t="str">
        <f>'Converted Diagram'!$L$1476</f>
        <v>Increase Overall Convenience</v>
      </c>
      <c r="P748" s="2" t="b">
        <v>0</v>
      </c>
    </row>
    <row r="749" spans="1:16" x14ac:dyDescent="0.3">
      <c r="A749" s="2" t="e">
        <f>'Converted Diagram'!$M$1479</f>
        <v>#VALUE!</v>
      </c>
      <c r="B749" s="1" t="s">
        <v>219</v>
      </c>
      <c r="C749" s="2">
        <v>0</v>
      </c>
      <c r="I749" s="2" t="e">
        <v>#VALUE!</v>
      </c>
      <c r="J749" s="2">
        <f>'Converted Diagram'!$L$1479</f>
        <v>0</v>
      </c>
      <c r="K749" s="2" t="e">
        <f>'Converted Diagram'!$L$1478</f>
        <v>#VALUE!</v>
      </c>
      <c r="L749" s="2" t="s">
        <v>957</v>
      </c>
      <c r="M749" s="2">
        <v>0</v>
      </c>
      <c r="P749" s="2" t="b">
        <v>0</v>
      </c>
    </row>
    <row r="750" spans="1:16" x14ac:dyDescent="0.3">
      <c r="A750" s="2" t="e">
        <f>'Converted Diagram'!$G$1481</f>
        <v>#VALUE!</v>
      </c>
      <c r="B750" s="1" t="s">
        <v>31</v>
      </c>
      <c r="C750" s="2">
        <v>0</v>
      </c>
      <c r="I750" s="2" t="s">
        <v>217</v>
      </c>
      <c r="J750" s="2">
        <f>'Converted Diagram'!$F$1481</f>
        <v>0</v>
      </c>
      <c r="K750" s="2" t="e">
        <f>'Converted Diagram'!$F$1480</f>
        <v>#VALUE!</v>
      </c>
      <c r="L750" s="2" t="s">
        <v>958</v>
      </c>
      <c r="M750" s="2">
        <v>0</v>
      </c>
      <c r="O750" s="2" t="str">
        <f>'Converted Diagram'!$G$1480</f>
        <v>Grocery Store</v>
      </c>
      <c r="P750" s="2" t="b">
        <v>0</v>
      </c>
    </row>
    <row r="751" spans="1:16" x14ac:dyDescent="0.3">
      <c r="A751" s="2" t="e">
        <f>'Converted Diagram'!$J$1483</f>
        <v>#VALUE!</v>
      </c>
      <c r="B751" s="1" t="s">
        <v>31</v>
      </c>
      <c r="C751" s="2">
        <v>0</v>
      </c>
      <c r="I751" s="2" t="s">
        <v>217</v>
      </c>
      <c r="J751" s="2">
        <f>'Converted Diagram'!$I$1483</f>
        <v>0</v>
      </c>
      <c r="K751" s="2" t="e">
        <f>'Converted Diagram'!$I$1482</f>
        <v>#VALUE!</v>
      </c>
      <c r="L751" s="2" t="s">
        <v>959</v>
      </c>
      <c r="M751" s="2">
        <v>0</v>
      </c>
      <c r="O751" s="2" t="str">
        <f>'Converted Diagram'!$J$1482</f>
        <v>Reduce Commute Time</v>
      </c>
      <c r="P751" s="2" t="b">
        <v>0</v>
      </c>
    </row>
    <row r="752" spans="1:16" x14ac:dyDescent="0.3">
      <c r="A752" s="2" t="e">
        <f>'Converted Diagram'!$K$1485</f>
        <v>#VALUE!</v>
      </c>
      <c r="B752" s="1" t="s">
        <v>219</v>
      </c>
      <c r="C752" s="2">
        <v>0</v>
      </c>
      <c r="I752" s="2" t="s">
        <v>217</v>
      </c>
      <c r="J752" s="2">
        <f>'Converted Diagram'!$J$1485</f>
        <v>0</v>
      </c>
      <c r="K752" s="2" t="e">
        <f>'Converted Diagram'!$J$1484</f>
        <v>#VALUE!</v>
      </c>
      <c r="L752" s="2" t="s">
        <v>960</v>
      </c>
      <c r="M752" s="2">
        <v>0</v>
      </c>
      <c r="O752" s="2" t="str">
        <f>'Converted Diagram'!$K$1484</f>
        <v>Reduce overall rent</v>
      </c>
      <c r="P752" s="2" t="b">
        <v>0</v>
      </c>
    </row>
    <row r="753" spans="1:16" x14ac:dyDescent="0.3">
      <c r="A753" s="2" t="e">
        <f>'Converted Diagram'!$L$1487</f>
        <v>#VALUE!</v>
      </c>
      <c r="B753" s="1" t="s">
        <v>219</v>
      </c>
      <c r="C753" s="2">
        <v>0</v>
      </c>
      <c r="I753" s="2" t="s">
        <v>217</v>
      </c>
      <c r="J753" s="2">
        <f>'Converted Diagram'!$K$1487</f>
        <v>0</v>
      </c>
      <c r="K753" s="2" t="e">
        <f>'Converted Diagram'!$K$1486</f>
        <v>#VALUE!</v>
      </c>
      <c r="L753" s="2" t="s">
        <v>961</v>
      </c>
      <c r="M753" s="2">
        <v>0</v>
      </c>
      <c r="O753" s="2" t="str">
        <f>'Converted Diagram'!$L$1486</f>
        <v>Increase Overall Convenience</v>
      </c>
      <c r="P753" s="2" t="b">
        <v>0</v>
      </c>
    </row>
    <row r="754" spans="1:16" x14ac:dyDescent="0.3">
      <c r="A754" s="2" t="e">
        <f>'Converted Diagram'!$M$1489</f>
        <v>#VALUE!</v>
      </c>
      <c r="B754" s="1" t="s">
        <v>219</v>
      </c>
      <c r="C754" s="2">
        <v>0</v>
      </c>
      <c r="I754" s="2" t="e">
        <v>#VALUE!</v>
      </c>
      <c r="J754" s="2">
        <f>'Converted Diagram'!$L$1489</f>
        <v>0</v>
      </c>
      <c r="K754" s="2" t="e">
        <f>'Converted Diagram'!$L$1488</f>
        <v>#VALUE!</v>
      </c>
      <c r="L754" s="2" t="s">
        <v>962</v>
      </c>
      <c r="M754" s="2">
        <v>0</v>
      </c>
      <c r="P754" s="2" t="b">
        <v>0</v>
      </c>
    </row>
    <row r="755" spans="1:16" x14ac:dyDescent="0.3">
      <c r="A755" s="2" t="e">
        <f>'Converted Diagram'!$I$1491</f>
        <v>#VALUE!</v>
      </c>
      <c r="B755" s="1" t="s">
        <v>31</v>
      </c>
      <c r="C755" s="2">
        <v>0</v>
      </c>
      <c r="I755" s="2" t="s">
        <v>217</v>
      </c>
      <c r="J755" s="2">
        <f>'Converted Diagram'!$H$1491</f>
        <v>0</v>
      </c>
      <c r="K755" s="2" t="e">
        <f>'Converted Diagram'!$H$1490</f>
        <v>#VALUE!</v>
      </c>
      <c r="L755" s="2" t="s">
        <v>963</v>
      </c>
      <c r="M755" s="2">
        <v>0</v>
      </c>
      <c r="O755" s="2" t="str">
        <f>'Converted Diagram'!$I$1490</f>
        <v>Floor</v>
      </c>
      <c r="P755" s="2" t="b">
        <v>0</v>
      </c>
    </row>
    <row r="756" spans="1:16" x14ac:dyDescent="0.3">
      <c r="A756" s="2" t="e">
        <f>'Converted Diagram'!$J$1493</f>
        <v>#VALUE!</v>
      </c>
      <c r="B756" s="1" t="s">
        <v>32</v>
      </c>
      <c r="C756" s="2">
        <v>0</v>
      </c>
      <c r="I756" s="2" t="s">
        <v>217</v>
      </c>
      <c r="J756" s="2">
        <f>'Converted Diagram'!$I$1493</f>
        <v>0</v>
      </c>
      <c r="K756" s="2" t="e">
        <f>'Converted Diagram'!$I$1492</f>
        <v>#VALUE!</v>
      </c>
      <c r="L756" s="2" t="s">
        <v>964</v>
      </c>
      <c r="M756" s="2">
        <v>0</v>
      </c>
      <c r="O756" s="2" t="str">
        <f>'Converted Diagram'!$J$1492</f>
        <v>Reduce Commute Time</v>
      </c>
      <c r="P756" s="2" t="b">
        <v>0</v>
      </c>
    </row>
    <row r="757" spans="1:16" x14ac:dyDescent="0.3">
      <c r="A757" s="2" t="e">
        <f>'Converted Diagram'!$K$1495</f>
        <v>#VALUE!</v>
      </c>
      <c r="B757" s="1" t="s">
        <v>219</v>
      </c>
      <c r="C757" s="2">
        <v>0</v>
      </c>
      <c r="I757" s="2" t="s">
        <v>217</v>
      </c>
      <c r="J757" s="2">
        <f>'Converted Diagram'!$J$1495</f>
        <v>0</v>
      </c>
      <c r="K757" s="2" t="e">
        <f>'Converted Diagram'!$J$1494</f>
        <v>#VALUE!</v>
      </c>
      <c r="L757" s="2" t="s">
        <v>965</v>
      </c>
      <c r="M757" s="2">
        <v>0</v>
      </c>
      <c r="O757" s="2" t="str">
        <f>'Converted Diagram'!$K$1494</f>
        <v>Reduce overall rent</v>
      </c>
      <c r="P757" s="2" t="b">
        <v>0</v>
      </c>
    </row>
    <row r="758" spans="1:16" x14ac:dyDescent="0.3">
      <c r="A758" s="2" t="e">
        <f>'Converted Diagram'!$L$1497</f>
        <v>#VALUE!</v>
      </c>
      <c r="B758" s="1" t="s">
        <v>219</v>
      </c>
      <c r="C758" s="2">
        <v>0</v>
      </c>
      <c r="I758" s="2" t="s">
        <v>217</v>
      </c>
      <c r="J758" s="2">
        <f>'Converted Diagram'!$K$1497</f>
        <v>0</v>
      </c>
      <c r="K758" s="2" t="e">
        <f>'Converted Diagram'!$K$1496</f>
        <v>#VALUE!</v>
      </c>
      <c r="L758" s="2" t="s">
        <v>966</v>
      </c>
      <c r="M758" s="2">
        <v>0</v>
      </c>
      <c r="O758" s="2" t="str">
        <f>'Converted Diagram'!$L$1496</f>
        <v>Increase Overall Convenience</v>
      </c>
      <c r="P758" s="2" t="b">
        <v>0</v>
      </c>
    </row>
    <row r="759" spans="1:16" x14ac:dyDescent="0.3">
      <c r="A759" s="2" t="e">
        <f>'Converted Diagram'!$M$1499</f>
        <v>#VALUE!</v>
      </c>
      <c r="B759" s="1" t="s">
        <v>219</v>
      </c>
      <c r="C759" s="2">
        <v>0</v>
      </c>
      <c r="I759" s="2" t="e">
        <v>#VALUE!</v>
      </c>
      <c r="J759" s="2">
        <f>'Converted Diagram'!$L$1499</f>
        <v>0</v>
      </c>
      <c r="K759" s="2" t="e">
        <f>'Converted Diagram'!$L$1498</f>
        <v>#VALUE!</v>
      </c>
      <c r="L759" s="2" t="s">
        <v>967</v>
      </c>
      <c r="M759" s="2">
        <v>0</v>
      </c>
      <c r="P759" s="2" t="b">
        <v>0</v>
      </c>
    </row>
    <row r="760" spans="1:16" x14ac:dyDescent="0.3">
      <c r="A760" s="2" t="e">
        <f>'Converted Diagram'!$H$1501</f>
        <v>#VALUE!</v>
      </c>
      <c r="B760" s="1" t="s">
        <v>32</v>
      </c>
      <c r="C760" s="2">
        <v>0</v>
      </c>
      <c r="I760" s="2" t="s">
        <v>217</v>
      </c>
      <c r="J760" s="2">
        <f>'Converted Diagram'!$G$1501</f>
        <v>0</v>
      </c>
      <c r="K760" s="2" t="e">
        <f>'Converted Diagram'!$G$1500</f>
        <v>#VALUE!</v>
      </c>
      <c r="L760" s="2" t="s">
        <v>968</v>
      </c>
      <c r="M760" s="2">
        <v>0</v>
      </c>
      <c r="O760" s="2" t="str">
        <f>'Converted Diagram'!$H$1500</f>
        <v>Wi-Fi &amp; Cable Ready</v>
      </c>
      <c r="P760" s="2" t="b">
        <v>0</v>
      </c>
    </row>
    <row r="761" spans="1:16" x14ac:dyDescent="0.3">
      <c r="A761" s="2" t="e">
        <f>'Converted Diagram'!$J$1503</f>
        <v>#VALUE!</v>
      </c>
      <c r="B761" s="1" t="s">
        <v>31</v>
      </c>
      <c r="C761" s="2">
        <v>0</v>
      </c>
      <c r="I761" s="2" t="s">
        <v>217</v>
      </c>
      <c r="J761" s="2">
        <f>'Converted Diagram'!$I$1503</f>
        <v>0</v>
      </c>
      <c r="K761" s="2" t="e">
        <f>'Converted Diagram'!$I$1502</f>
        <v>#VALUE!</v>
      </c>
      <c r="L761" s="2" t="s">
        <v>969</v>
      </c>
      <c r="M761" s="2">
        <v>0</v>
      </c>
      <c r="O761" s="2" t="str">
        <f>'Converted Diagram'!$J$1502</f>
        <v>Reduce Commute Time</v>
      </c>
      <c r="P761" s="2" t="b">
        <v>0</v>
      </c>
    </row>
    <row r="762" spans="1:16" x14ac:dyDescent="0.3">
      <c r="A762" s="2" t="e">
        <f>'Converted Diagram'!$K$1505</f>
        <v>#VALUE!</v>
      </c>
      <c r="B762" s="1" t="s">
        <v>219</v>
      </c>
      <c r="C762" s="2">
        <v>0</v>
      </c>
      <c r="I762" s="2" t="s">
        <v>217</v>
      </c>
      <c r="J762" s="2">
        <f>'Converted Diagram'!$J$1505</f>
        <v>0</v>
      </c>
      <c r="K762" s="2" t="e">
        <f>'Converted Diagram'!$J$1504</f>
        <v>#VALUE!</v>
      </c>
      <c r="L762" s="2" t="s">
        <v>970</v>
      </c>
      <c r="M762" s="2">
        <v>0</v>
      </c>
      <c r="O762" s="2" t="str">
        <f>'Converted Diagram'!$K$1504</f>
        <v>Reduce overall rent</v>
      </c>
      <c r="P762" s="2" t="b">
        <v>0</v>
      </c>
    </row>
    <row r="763" spans="1:16" x14ac:dyDescent="0.3">
      <c r="A763" s="2" t="e">
        <f>'Converted Diagram'!$L$1507</f>
        <v>#VALUE!</v>
      </c>
      <c r="B763" s="1" t="s">
        <v>219</v>
      </c>
      <c r="C763" s="2">
        <v>0</v>
      </c>
      <c r="I763" s="2" t="s">
        <v>217</v>
      </c>
      <c r="J763" s="2">
        <f>'Converted Diagram'!$K$1507</f>
        <v>0</v>
      </c>
      <c r="K763" s="2" t="e">
        <f>'Converted Diagram'!$K$1506</f>
        <v>#VALUE!</v>
      </c>
      <c r="L763" s="2" t="s">
        <v>971</v>
      </c>
      <c r="M763" s="2">
        <v>0</v>
      </c>
      <c r="O763" s="2" t="str">
        <f>'Converted Diagram'!$L$1506</f>
        <v>Increase Overall Convenience</v>
      </c>
      <c r="P763" s="2" t="b">
        <v>0</v>
      </c>
    </row>
    <row r="764" spans="1:16" x14ac:dyDescent="0.3">
      <c r="A764" s="2" t="e">
        <f>'Converted Diagram'!$M$1509</f>
        <v>#VALUE!</v>
      </c>
      <c r="B764" s="1" t="s">
        <v>219</v>
      </c>
      <c r="C764" s="2">
        <v>0</v>
      </c>
      <c r="I764" s="2" t="e">
        <v>#VALUE!</v>
      </c>
      <c r="J764" s="2">
        <f>'Converted Diagram'!$L$1509</f>
        <v>0</v>
      </c>
      <c r="K764" s="2" t="e">
        <f>'Converted Diagram'!$L$1508</f>
        <v>#VALUE!</v>
      </c>
      <c r="L764" s="2" t="s">
        <v>972</v>
      </c>
      <c r="M764" s="2">
        <v>0</v>
      </c>
      <c r="P764" s="2" t="b">
        <v>0</v>
      </c>
    </row>
    <row r="765" spans="1:16" x14ac:dyDescent="0.3">
      <c r="A765" s="2" t="e">
        <f>'Converted Diagram'!$I$1511</f>
        <v>#VALUE!</v>
      </c>
      <c r="B765" s="1" t="s">
        <v>32</v>
      </c>
      <c r="C765" s="2">
        <v>0</v>
      </c>
      <c r="I765" s="2" t="s">
        <v>217</v>
      </c>
      <c r="J765" s="2">
        <f>'Converted Diagram'!$H$1511</f>
        <v>0</v>
      </c>
      <c r="K765" s="2" t="e">
        <f>'Converted Diagram'!$H$1510</f>
        <v>#VALUE!</v>
      </c>
      <c r="L765" s="2" t="s">
        <v>973</v>
      </c>
      <c r="M765" s="2">
        <v>0</v>
      </c>
      <c r="O765" s="2" t="str">
        <f>'Converted Diagram'!$I$1510</f>
        <v>Floor</v>
      </c>
      <c r="P765" s="2" t="b">
        <v>0</v>
      </c>
    </row>
    <row r="766" spans="1:16" x14ac:dyDescent="0.3">
      <c r="A766" s="2" t="e">
        <f>'Converted Diagram'!$J$1513</f>
        <v>#VALUE!</v>
      </c>
      <c r="B766" s="1" t="s">
        <v>32</v>
      </c>
      <c r="C766" s="2">
        <v>0</v>
      </c>
      <c r="I766" s="2" t="s">
        <v>217</v>
      </c>
      <c r="J766" s="2">
        <f>'Converted Diagram'!$I$1513</f>
        <v>0</v>
      </c>
      <c r="K766" s="2" t="e">
        <f>'Converted Diagram'!$I$1512</f>
        <v>#VALUE!</v>
      </c>
      <c r="L766" s="2" t="s">
        <v>974</v>
      </c>
      <c r="M766" s="2">
        <v>0</v>
      </c>
      <c r="O766" s="2" t="str">
        <f>'Converted Diagram'!$J$1512</f>
        <v>Reduce Commute Time</v>
      </c>
      <c r="P766" s="2" t="b">
        <v>0</v>
      </c>
    </row>
    <row r="767" spans="1:16" x14ac:dyDescent="0.3">
      <c r="A767" s="2" t="e">
        <f>'Converted Diagram'!$K$1515</f>
        <v>#VALUE!</v>
      </c>
      <c r="B767" s="1" t="s">
        <v>219</v>
      </c>
      <c r="C767" s="2">
        <v>0</v>
      </c>
      <c r="I767" s="2" t="s">
        <v>217</v>
      </c>
      <c r="J767" s="2">
        <f>'Converted Diagram'!$J$1515</f>
        <v>0</v>
      </c>
      <c r="K767" s="2" t="e">
        <f>'Converted Diagram'!$J$1514</f>
        <v>#VALUE!</v>
      </c>
      <c r="L767" s="2" t="s">
        <v>975</v>
      </c>
      <c r="M767" s="2">
        <v>0</v>
      </c>
      <c r="O767" s="2" t="str">
        <f>'Converted Diagram'!$K$1514</f>
        <v>Reduce overall rent</v>
      </c>
      <c r="P767" s="2" t="b">
        <v>0</v>
      </c>
    </row>
    <row r="768" spans="1:16" x14ac:dyDescent="0.3">
      <c r="A768" s="2" t="e">
        <f>'Converted Diagram'!$L$1517</f>
        <v>#VALUE!</v>
      </c>
      <c r="B768" s="1" t="s">
        <v>219</v>
      </c>
      <c r="C768" s="2">
        <v>0</v>
      </c>
      <c r="I768" s="2" t="s">
        <v>217</v>
      </c>
      <c r="J768" s="2">
        <f>'Converted Diagram'!$K$1517</f>
        <v>0</v>
      </c>
      <c r="K768" s="2" t="e">
        <f>'Converted Diagram'!$K$1516</f>
        <v>#VALUE!</v>
      </c>
      <c r="L768" s="2" t="s">
        <v>976</v>
      </c>
      <c r="M768" s="2">
        <v>0</v>
      </c>
      <c r="O768" s="2" t="str">
        <f>'Converted Diagram'!$L$1516</f>
        <v>Increase Overall Convenience</v>
      </c>
      <c r="P768" s="2" t="b">
        <v>0</v>
      </c>
    </row>
    <row r="769" spans="1:16" x14ac:dyDescent="0.3">
      <c r="A769" s="2" t="e">
        <f>'Converted Diagram'!$M$1519</f>
        <v>#VALUE!</v>
      </c>
      <c r="B769" s="1" t="s">
        <v>219</v>
      </c>
      <c r="C769" s="2">
        <v>0</v>
      </c>
      <c r="I769" s="2" t="e">
        <v>#VALUE!</v>
      </c>
      <c r="J769" s="2">
        <f>'Converted Diagram'!$L$1519</f>
        <v>0</v>
      </c>
      <c r="K769" s="2" t="e">
        <f>'Converted Diagram'!$L$1518</f>
        <v>#VALUE!</v>
      </c>
      <c r="L769" s="2" t="s">
        <v>977</v>
      </c>
      <c r="M769" s="2">
        <v>0</v>
      </c>
      <c r="P769" s="2" t="b">
        <v>0</v>
      </c>
    </row>
    <row r="770" spans="1:16" x14ac:dyDescent="0.3">
      <c r="A770" s="2" t="e">
        <f>'Converted Diagram'!$F$1521</f>
        <v>#VALUE!</v>
      </c>
      <c r="B770" s="1" t="s">
        <v>32</v>
      </c>
      <c r="C770" s="2">
        <v>0</v>
      </c>
      <c r="I770" s="2" t="s">
        <v>217</v>
      </c>
      <c r="J770" s="2">
        <f>'Converted Diagram'!$E$1521</f>
        <v>0</v>
      </c>
      <c r="K770" s="2" t="e">
        <f>'Converted Diagram'!$E$1520</f>
        <v>#VALUE!</v>
      </c>
      <c r="L770" s="2" t="s">
        <v>978</v>
      </c>
      <c r="M770" s="2">
        <v>0</v>
      </c>
      <c r="O770" s="2" t="str">
        <f>'Converted Diagram'!$F$1520</f>
        <v>Utilities</v>
      </c>
      <c r="P770" s="2" t="b">
        <v>0</v>
      </c>
    </row>
    <row r="771" spans="1:16" x14ac:dyDescent="0.3">
      <c r="A771" s="2" t="e">
        <f>'Converted Diagram'!$J$1523</f>
        <v>#VALUE!</v>
      </c>
      <c r="B771" s="1" t="s">
        <v>31</v>
      </c>
      <c r="C771" s="2">
        <v>0</v>
      </c>
      <c r="I771" s="2" t="s">
        <v>217</v>
      </c>
      <c r="J771" s="2">
        <f>'Converted Diagram'!$I$1523</f>
        <v>0</v>
      </c>
      <c r="K771" s="2" t="e">
        <f>'Converted Diagram'!$I$1522</f>
        <v>#VALUE!</v>
      </c>
      <c r="L771" s="2" t="s">
        <v>979</v>
      </c>
      <c r="M771" s="2">
        <v>0</v>
      </c>
      <c r="O771" s="2" t="str">
        <f>'Converted Diagram'!$J$1522</f>
        <v>Reduce Commute Time</v>
      </c>
      <c r="P771" s="2" t="b">
        <v>0</v>
      </c>
    </row>
    <row r="772" spans="1:16" x14ac:dyDescent="0.3">
      <c r="A772" s="2" t="e">
        <f>'Converted Diagram'!$K$1525</f>
        <v>#VALUE!</v>
      </c>
      <c r="B772" s="1" t="s">
        <v>219</v>
      </c>
      <c r="C772" s="2">
        <v>0</v>
      </c>
      <c r="I772" s="2" t="s">
        <v>217</v>
      </c>
      <c r="J772" s="2">
        <f>'Converted Diagram'!$J$1525</f>
        <v>0</v>
      </c>
      <c r="K772" s="2" t="e">
        <f>'Converted Diagram'!$J$1524</f>
        <v>#VALUE!</v>
      </c>
      <c r="L772" s="2" t="s">
        <v>980</v>
      </c>
      <c r="M772" s="2">
        <v>0</v>
      </c>
      <c r="O772" s="2" t="str">
        <f>'Converted Diagram'!$K$1524</f>
        <v>Reduce overall rent</v>
      </c>
      <c r="P772" s="2" t="b">
        <v>0</v>
      </c>
    </row>
    <row r="773" spans="1:16" x14ac:dyDescent="0.3">
      <c r="A773" s="2" t="e">
        <f>'Converted Diagram'!$L$1527</f>
        <v>#VALUE!</v>
      </c>
      <c r="B773" s="1" t="s">
        <v>219</v>
      </c>
      <c r="C773" s="2">
        <v>0</v>
      </c>
      <c r="I773" s="2" t="s">
        <v>217</v>
      </c>
      <c r="J773" s="2">
        <f>'Converted Diagram'!$K$1527</f>
        <v>0</v>
      </c>
      <c r="K773" s="2" t="e">
        <f>'Converted Diagram'!$K$1526</f>
        <v>#VALUE!</v>
      </c>
      <c r="L773" s="2" t="s">
        <v>981</v>
      </c>
      <c r="M773" s="2">
        <v>0</v>
      </c>
      <c r="O773" s="2" t="str">
        <f>'Converted Diagram'!$L$1526</f>
        <v>Increase Overall Convenience</v>
      </c>
      <c r="P773" s="2" t="b">
        <v>0</v>
      </c>
    </row>
    <row r="774" spans="1:16" x14ac:dyDescent="0.3">
      <c r="A774" s="2" t="e">
        <f>'Converted Diagram'!$M$1529</f>
        <v>#VALUE!</v>
      </c>
      <c r="B774" s="1" t="s">
        <v>219</v>
      </c>
      <c r="C774" s="2">
        <v>0</v>
      </c>
      <c r="I774" s="2" t="e">
        <v>#VALUE!</v>
      </c>
      <c r="J774" s="2">
        <f>'Converted Diagram'!$L$1529</f>
        <v>0</v>
      </c>
      <c r="K774" s="2" t="e">
        <f>'Converted Diagram'!$L$1528</f>
        <v>#VALUE!</v>
      </c>
      <c r="L774" s="2" t="s">
        <v>982</v>
      </c>
      <c r="M774" s="2">
        <v>0</v>
      </c>
      <c r="P774" s="2" t="b">
        <v>0</v>
      </c>
    </row>
    <row r="775" spans="1:16" x14ac:dyDescent="0.3">
      <c r="A775" s="2" t="e">
        <f>'Converted Diagram'!$I$1531</f>
        <v>#VALUE!</v>
      </c>
      <c r="B775" s="1" t="s">
        <v>31</v>
      </c>
      <c r="C775" s="2">
        <v>0</v>
      </c>
      <c r="I775" s="2" t="s">
        <v>217</v>
      </c>
      <c r="J775" s="2">
        <f>'Converted Diagram'!$H$1531</f>
        <v>0</v>
      </c>
      <c r="K775" s="2" t="e">
        <f>'Converted Diagram'!$H$1530</f>
        <v>#VALUE!</v>
      </c>
      <c r="L775" s="2" t="s">
        <v>983</v>
      </c>
      <c r="M775" s="2">
        <v>0</v>
      </c>
      <c r="O775" s="2" t="str">
        <f>'Converted Diagram'!$I$1530</f>
        <v>Floor</v>
      </c>
      <c r="P775" s="2" t="b">
        <v>0</v>
      </c>
    </row>
    <row r="776" spans="1:16" x14ac:dyDescent="0.3">
      <c r="A776" s="2" t="e">
        <f>'Converted Diagram'!$J$1533</f>
        <v>#VALUE!</v>
      </c>
      <c r="B776" s="1" t="s">
        <v>32</v>
      </c>
      <c r="C776" s="2">
        <v>0</v>
      </c>
      <c r="I776" s="2" t="s">
        <v>217</v>
      </c>
      <c r="J776" s="2">
        <f>'Converted Diagram'!$I$1533</f>
        <v>0</v>
      </c>
      <c r="K776" s="2" t="e">
        <f>'Converted Diagram'!$I$1532</f>
        <v>#VALUE!</v>
      </c>
      <c r="L776" s="2" t="s">
        <v>984</v>
      </c>
      <c r="M776" s="2">
        <v>0</v>
      </c>
      <c r="O776" s="2" t="str">
        <f>'Converted Diagram'!$J$1532</f>
        <v>Reduce Commute Time</v>
      </c>
      <c r="P776" s="2" t="b">
        <v>0</v>
      </c>
    </row>
    <row r="777" spans="1:16" x14ac:dyDescent="0.3">
      <c r="A777" s="2" t="e">
        <f>'Converted Diagram'!$K$1535</f>
        <v>#VALUE!</v>
      </c>
      <c r="B777" s="1" t="s">
        <v>219</v>
      </c>
      <c r="C777" s="2">
        <v>0</v>
      </c>
      <c r="I777" s="2" t="s">
        <v>217</v>
      </c>
      <c r="J777" s="2">
        <f>'Converted Diagram'!$J$1535</f>
        <v>0</v>
      </c>
      <c r="K777" s="2" t="e">
        <f>'Converted Diagram'!$J$1534</f>
        <v>#VALUE!</v>
      </c>
      <c r="L777" s="2" t="s">
        <v>985</v>
      </c>
      <c r="M777" s="2">
        <v>0</v>
      </c>
      <c r="O777" s="2" t="str">
        <f>'Converted Diagram'!$K$1534</f>
        <v>Reduce overall rent</v>
      </c>
      <c r="P777" s="2" t="b">
        <v>0</v>
      </c>
    </row>
    <row r="778" spans="1:16" x14ac:dyDescent="0.3">
      <c r="A778" s="2" t="e">
        <f>'Converted Diagram'!$L$1537</f>
        <v>#VALUE!</v>
      </c>
      <c r="B778" s="1" t="s">
        <v>219</v>
      </c>
      <c r="C778" s="2">
        <v>0</v>
      </c>
      <c r="I778" s="2" t="s">
        <v>217</v>
      </c>
      <c r="J778" s="2">
        <f>'Converted Diagram'!$K$1537</f>
        <v>0</v>
      </c>
      <c r="K778" s="2" t="e">
        <f>'Converted Diagram'!$K$1536</f>
        <v>#VALUE!</v>
      </c>
      <c r="L778" s="2" t="s">
        <v>986</v>
      </c>
      <c r="M778" s="2">
        <v>0</v>
      </c>
      <c r="O778" s="2" t="str">
        <f>'Converted Diagram'!$L$1536</f>
        <v>Increase Overall Convenience</v>
      </c>
      <c r="P778" s="2" t="b">
        <v>0</v>
      </c>
    </row>
    <row r="779" spans="1:16" x14ac:dyDescent="0.3">
      <c r="A779" s="2" t="e">
        <f>'Converted Diagram'!$M$1539</f>
        <v>#VALUE!</v>
      </c>
      <c r="B779" s="1" t="s">
        <v>219</v>
      </c>
      <c r="C779" s="2">
        <v>0</v>
      </c>
      <c r="I779" s="2" t="e">
        <v>#VALUE!</v>
      </c>
      <c r="J779" s="2">
        <f>'Converted Diagram'!$L$1539</f>
        <v>0</v>
      </c>
      <c r="K779" s="2" t="e">
        <f>'Converted Diagram'!$L$1538</f>
        <v>#VALUE!</v>
      </c>
      <c r="L779" s="2" t="s">
        <v>987</v>
      </c>
      <c r="M779" s="2">
        <v>0</v>
      </c>
      <c r="P779" s="2" t="b">
        <v>0</v>
      </c>
    </row>
    <row r="780" spans="1:16" x14ac:dyDescent="0.3">
      <c r="A780" s="2" t="e">
        <f>'Converted Diagram'!$H$1541</f>
        <v>#VALUE!</v>
      </c>
      <c r="B780" s="1" t="s">
        <v>31</v>
      </c>
      <c r="C780" s="2">
        <v>0</v>
      </c>
      <c r="I780" s="2" t="s">
        <v>217</v>
      </c>
      <c r="J780" s="2">
        <f>'Converted Diagram'!$G$1541</f>
        <v>0</v>
      </c>
      <c r="K780" s="2" t="e">
        <f>'Converted Diagram'!$G$1540</f>
        <v>#VALUE!</v>
      </c>
      <c r="L780" s="2" t="s">
        <v>988</v>
      </c>
      <c r="M780" s="2">
        <v>0</v>
      </c>
      <c r="O780" s="2" t="str">
        <f>'Converted Diagram'!$H$1540</f>
        <v>Wi-Fi &amp; Cable Ready</v>
      </c>
      <c r="P780" s="2" t="b">
        <v>0</v>
      </c>
    </row>
    <row r="781" spans="1:16" x14ac:dyDescent="0.3">
      <c r="A781" s="2" t="e">
        <f>'Converted Diagram'!$J$1543</f>
        <v>#VALUE!</v>
      </c>
      <c r="B781" s="1" t="s">
        <v>31</v>
      </c>
      <c r="C781" s="2">
        <v>0</v>
      </c>
      <c r="I781" s="2" t="s">
        <v>217</v>
      </c>
      <c r="J781" s="2">
        <f>'Converted Diagram'!$I$1543</f>
        <v>0</v>
      </c>
      <c r="K781" s="2" t="e">
        <f>'Converted Diagram'!$I$1542</f>
        <v>#VALUE!</v>
      </c>
      <c r="L781" s="2" t="s">
        <v>989</v>
      </c>
      <c r="M781" s="2">
        <v>0</v>
      </c>
      <c r="O781" s="2" t="str">
        <f>'Converted Diagram'!$J$1542</f>
        <v>Reduce Commute Time</v>
      </c>
      <c r="P781" s="2" t="b">
        <v>0</v>
      </c>
    </row>
    <row r="782" spans="1:16" x14ac:dyDescent="0.3">
      <c r="A782" s="2" t="e">
        <f>'Converted Diagram'!$K$1545</f>
        <v>#VALUE!</v>
      </c>
      <c r="B782" s="1" t="s">
        <v>219</v>
      </c>
      <c r="C782" s="2">
        <v>0</v>
      </c>
      <c r="I782" s="2" t="s">
        <v>217</v>
      </c>
      <c r="J782" s="2">
        <f>'Converted Diagram'!$J$1545</f>
        <v>0</v>
      </c>
      <c r="K782" s="2" t="e">
        <f>'Converted Diagram'!$J$1544</f>
        <v>#VALUE!</v>
      </c>
      <c r="L782" s="2" t="s">
        <v>990</v>
      </c>
      <c r="M782" s="2">
        <v>0</v>
      </c>
      <c r="O782" s="2" t="str">
        <f>'Converted Diagram'!$K$1544</f>
        <v>Reduce overall rent</v>
      </c>
      <c r="P782" s="2" t="b">
        <v>0</v>
      </c>
    </row>
    <row r="783" spans="1:16" x14ac:dyDescent="0.3">
      <c r="A783" s="2" t="e">
        <f>'Converted Diagram'!$L$1547</f>
        <v>#VALUE!</v>
      </c>
      <c r="B783" s="1" t="s">
        <v>219</v>
      </c>
      <c r="C783" s="2">
        <v>0</v>
      </c>
      <c r="I783" s="2" t="s">
        <v>217</v>
      </c>
      <c r="J783" s="2">
        <f>'Converted Diagram'!$K$1547</f>
        <v>0</v>
      </c>
      <c r="K783" s="2" t="e">
        <f>'Converted Diagram'!$K$1546</f>
        <v>#VALUE!</v>
      </c>
      <c r="L783" s="2" t="s">
        <v>991</v>
      </c>
      <c r="M783" s="2">
        <v>0</v>
      </c>
      <c r="O783" s="2" t="str">
        <f>'Converted Diagram'!$L$1546</f>
        <v>Increase Overall Convenience</v>
      </c>
      <c r="P783" s="2" t="b">
        <v>0</v>
      </c>
    </row>
    <row r="784" spans="1:16" x14ac:dyDescent="0.3">
      <c r="A784" s="2" t="e">
        <f>'Converted Diagram'!$M$1549</f>
        <v>#VALUE!</v>
      </c>
      <c r="B784" s="1" t="s">
        <v>219</v>
      </c>
      <c r="C784" s="2">
        <v>0</v>
      </c>
      <c r="I784" s="2" t="e">
        <v>#VALUE!</v>
      </c>
      <c r="J784" s="2">
        <f>'Converted Diagram'!$L$1549</f>
        <v>0</v>
      </c>
      <c r="K784" s="2" t="e">
        <f>'Converted Diagram'!$L$1548</f>
        <v>#VALUE!</v>
      </c>
      <c r="L784" s="2" t="s">
        <v>992</v>
      </c>
      <c r="M784" s="2">
        <v>0</v>
      </c>
      <c r="P784" s="2" t="b">
        <v>0</v>
      </c>
    </row>
    <row r="785" spans="1:16" x14ac:dyDescent="0.3">
      <c r="A785" s="2" t="e">
        <f>'Converted Diagram'!$I$1551</f>
        <v>#VALUE!</v>
      </c>
      <c r="B785" s="1" t="s">
        <v>32</v>
      </c>
      <c r="C785" s="2">
        <v>0</v>
      </c>
      <c r="I785" s="2" t="s">
        <v>217</v>
      </c>
      <c r="J785" s="2">
        <f>'Converted Diagram'!$H$1551</f>
        <v>0</v>
      </c>
      <c r="K785" s="2" t="e">
        <f>'Converted Diagram'!$H$1550</f>
        <v>#VALUE!</v>
      </c>
      <c r="L785" s="2" t="s">
        <v>993</v>
      </c>
      <c r="M785" s="2">
        <v>0</v>
      </c>
      <c r="O785" s="2" t="str">
        <f>'Converted Diagram'!$I$1550</f>
        <v>Floor</v>
      </c>
      <c r="P785" s="2" t="b">
        <v>0</v>
      </c>
    </row>
    <row r="786" spans="1:16" x14ac:dyDescent="0.3">
      <c r="A786" s="2" t="e">
        <f>'Converted Diagram'!$J$1553</f>
        <v>#VALUE!</v>
      </c>
      <c r="B786" s="1" t="s">
        <v>32</v>
      </c>
      <c r="C786" s="2">
        <v>0</v>
      </c>
      <c r="I786" s="2" t="s">
        <v>217</v>
      </c>
      <c r="J786" s="2">
        <f>'Converted Diagram'!$I$1553</f>
        <v>0</v>
      </c>
      <c r="K786" s="2" t="e">
        <f>'Converted Diagram'!$I$1552</f>
        <v>#VALUE!</v>
      </c>
      <c r="L786" s="2" t="s">
        <v>994</v>
      </c>
      <c r="M786" s="2">
        <v>0</v>
      </c>
      <c r="O786" s="2" t="str">
        <f>'Converted Diagram'!$J$1552</f>
        <v>Reduce Commute Time</v>
      </c>
      <c r="P786" s="2" t="b">
        <v>0</v>
      </c>
    </row>
    <row r="787" spans="1:16" x14ac:dyDescent="0.3">
      <c r="A787" s="2" t="e">
        <f>'Converted Diagram'!$K$1555</f>
        <v>#VALUE!</v>
      </c>
      <c r="B787" s="1" t="s">
        <v>219</v>
      </c>
      <c r="C787" s="2">
        <v>0</v>
      </c>
      <c r="I787" s="2" t="s">
        <v>217</v>
      </c>
      <c r="J787" s="2">
        <f>'Converted Diagram'!$J$1555</f>
        <v>0</v>
      </c>
      <c r="K787" s="2" t="e">
        <f>'Converted Diagram'!$J$1554</f>
        <v>#VALUE!</v>
      </c>
      <c r="L787" s="2" t="s">
        <v>995</v>
      </c>
      <c r="M787" s="2">
        <v>0</v>
      </c>
      <c r="O787" s="2" t="str">
        <f>'Converted Diagram'!$K$1554</f>
        <v>Reduce overall rent</v>
      </c>
      <c r="P787" s="2" t="b">
        <v>0</v>
      </c>
    </row>
    <row r="788" spans="1:16" x14ac:dyDescent="0.3">
      <c r="A788" s="2" t="e">
        <f>'Converted Diagram'!$L$1557</f>
        <v>#VALUE!</v>
      </c>
      <c r="B788" s="1" t="s">
        <v>219</v>
      </c>
      <c r="C788" s="2">
        <v>0</v>
      </c>
      <c r="I788" s="2" t="s">
        <v>217</v>
      </c>
      <c r="J788" s="2">
        <f>'Converted Diagram'!$K$1557</f>
        <v>0</v>
      </c>
      <c r="K788" s="2" t="e">
        <f>'Converted Diagram'!$K$1556</f>
        <v>#VALUE!</v>
      </c>
      <c r="L788" s="2" t="s">
        <v>996</v>
      </c>
      <c r="M788" s="2">
        <v>0</v>
      </c>
      <c r="O788" s="2" t="str">
        <f>'Converted Diagram'!$L$1556</f>
        <v>Increase Overall Convenience</v>
      </c>
      <c r="P788" s="2" t="b">
        <v>0</v>
      </c>
    </row>
    <row r="789" spans="1:16" x14ac:dyDescent="0.3">
      <c r="A789" s="2" t="e">
        <f>'Converted Diagram'!$M$1559</f>
        <v>#VALUE!</v>
      </c>
      <c r="B789" s="1" t="s">
        <v>219</v>
      </c>
      <c r="C789" s="2">
        <v>0</v>
      </c>
      <c r="I789" s="2" t="e">
        <v>#VALUE!</v>
      </c>
      <c r="J789" s="2">
        <f>'Converted Diagram'!$L$1559</f>
        <v>0</v>
      </c>
      <c r="K789" s="2" t="e">
        <f>'Converted Diagram'!$L$1558</f>
        <v>#VALUE!</v>
      </c>
      <c r="L789" s="2" t="s">
        <v>997</v>
      </c>
      <c r="M789" s="2">
        <v>0</v>
      </c>
      <c r="P789" s="2" t="b">
        <v>0</v>
      </c>
    </row>
    <row r="790" spans="1:16" x14ac:dyDescent="0.3">
      <c r="A790" s="2" t="e">
        <f>'Converted Diagram'!$G$1561</f>
        <v>#VALUE!</v>
      </c>
      <c r="B790" s="1" t="s">
        <v>32</v>
      </c>
      <c r="C790" s="2">
        <v>0</v>
      </c>
      <c r="I790" s="2" t="s">
        <v>217</v>
      </c>
      <c r="J790" s="2">
        <f>'Converted Diagram'!$F$1561</f>
        <v>0</v>
      </c>
      <c r="K790" s="2" t="e">
        <f>'Converted Diagram'!$F$1560</f>
        <v>#VALUE!</v>
      </c>
      <c r="L790" s="2" t="s">
        <v>998</v>
      </c>
      <c r="M790" s="2">
        <v>0</v>
      </c>
      <c r="O790" s="2" t="str">
        <f>'Converted Diagram'!$G$1560</f>
        <v>Grocery Store</v>
      </c>
      <c r="P790" s="2" t="b">
        <v>0</v>
      </c>
    </row>
    <row r="791" spans="1:16" x14ac:dyDescent="0.3">
      <c r="A791" s="2" t="e">
        <f>'Converted Diagram'!$J$1563</f>
        <v>#VALUE!</v>
      </c>
      <c r="B791" s="1" t="s">
        <v>31</v>
      </c>
      <c r="C791" s="2">
        <v>0</v>
      </c>
      <c r="I791" s="2" t="s">
        <v>217</v>
      </c>
      <c r="J791" s="2">
        <f>'Converted Diagram'!$I$1563</f>
        <v>0</v>
      </c>
      <c r="K791" s="2" t="e">
        <f>'Converted Diagram'!$I$1562</f>
        <v>#VALUE!</v>
      </c>
      <c r="L791" s="2" t="s">
        <v>999</v>
      </c>
      <c r="M791" s="2">
        <v>0</v>
      </c>
      <c r="O791" s="2" t="str">
        <f>'Converted Diagram'!$J$1562</f>
        <v>Reduce Commute Time</v>
      </c>
      <c r="P791" s="2" t="b">
        <v>0</v>
      </c>
    </row>
    <row r="792" spans="1:16" x14ac:dyDescent="0.3">
      <c r="A792" s="2" t="e">
        <f>'Converted Diagram'!$K$1565</f>
        <v>#VALUE!</v>
      </c>
      <c r="B792" s="1" t="s">
        <v>219</v>
      </c>
      <c r="C792" s="2">
        <v>0</v>
      </c>
      <c r="I792" s="2" t="s">
        <v>217</v>
      </c>
      <c r="J792" s="2">
        <f>'Converted Diagram'!$J$1565</f>
        <v>0</v>
      </c>
      <c r="K792" s="2" t="e">
        <f>'Converted Diagram'!$J$1564</f>
        <v>#VALUE!</v>
      </c>
      <c r="L792" s="2" t="s">
        <v>1000</v>
      </c>
      <c r="M792" s="2">
        <v>0</v>
      </c>
      <c r="O792" s="2" t="str">
        <f>'Converted Diagram'!$K$1564</f>
        <v>Reduce overall rent</v>
      </c>
      <c r="P792" s="2" t="b">
        <v>0</v>
      </c>
    </row>
    <row r="793" spans="1:16" x14ac:dyDescent="0.3">
      <c r="A793" s="2" t="e">
        <f>'Converted Diagram'!$L$1567</f>
        <v>#VALUE!</v>
      </c>
      <c r="B793" s="1" t="s">
        <v>219</v>
      </c>
      <c r="C793" s="2">
        <v>0</v>
      </c>
      <c r="I793" s="2" t="s">
        <v>217</v>
      </c>
      <c r="J793" s="2">
        <f>'Converted Diagram'!$K$1567</f>
        <v>0</v>
      </c>
      <c r="K793" s="2" t="e">
        <f>'Converted Diagram'!$K$1566</f>
        <v>#VALUE!</v>
      </c>
      <c r="L793" s="2" t="s">
        <v>1001</v>
      </c>
      <c r="M793" s="2">
        <v>0</v>
      </c>
      <c r="O793" s="2" t="str">
        <f>'Converted Diagram'!$L$1566</f>
        <v>Increase Overall Convenience</v>
      </c>
      <c r="P793" s="2" t="b">
        <v>0</v>
      </c>
    </row>
    <row r="794" spans="1:16" x14ac:dyDescent="0.3">
      <c r="A794" s="2" t="e">
        <f>'Converted Diagram'!$M$1569</f>
        <v>#VALUE!</v>
      </c>
      <c r="B794" s="1" t="s">
        <v>219</v>
      </c>
      <c r="C794" s="2">
        <v>0</v>
      </c>
      <c r="I794" s="2" t="e">
        <v>#VALUE!</v>
      </c>
      <c r="J794" s="2">
        <f>'Converted Diagram'!$L$1569</f>
        <v>0</v>
      </c>
      <c r="K794" s="2" t="e">
        <f>'Converted Diagram'!$L$1568</f>
        <v>#VALUE!</v>
      </c>
      <c r="L794" s="2" t="s">
        <v>1002</v>
      </c>
      <c r="M794" s="2">
        <v>0</v>
      </c>
      <c r="P794" s="2" t="b">
        <v>0</v>
      </c>
    </row>
    <row r="795" spans="1:16" x14ac:dyDescent="0.3">
      <c r="A795" s="2" t="e">
        <f>'Converted Diagram'!$I$1571</f>
        <v>#VALUE!</v>
      </c>
      <c r="B795" s="1" t="s">
        <v>31</v>
      </c>
      <c r="C795" s="2">
        <v>0</v>
      </c>
      <c r="I795" s="2" t="s">
        <v>217</v>
      </c>
      <c r="J795" s="2">
        <f>'Converted Diagram'!$H$1571</f>
        <v>0</v>
      </c>
      <c r="K795" s="2" t="e">
        <f>'Converted Diagram'!$H$1570</f>
        <v>#VALUE!</v>
      </c>
      <c r="L795" s="2" t="s">
        <v>1003</v>
      </c>
      <c r="M795" s="2">
        <v>0</v>
      </c>
      <c r="O795" s="2" t="str">
        <f>'Converted Diagram'!$I$1570</f>
        <v>Floor</v>
      </c>
      <c r="P795" s="2" t="b">
        <v>0</v>
      </c>
    </row>
    <row r="796" spans="1:16" x14ac:dyDescent="0.3">
      <c r="A796" s="2" t="e">
        <f>'Converted Diagram'!$J$1573</f>
        <v>#VALUE!</v>
      </c>
      <c r="B796" s="1" t="s">
        <v>32</v>
      </c>
      <c r="C796" s="2">
        <v>0</v>
      </c>
      <c r="I796" s="2" t="s">
        <v>217</v>
      </c>
      <c r="J796" s="2">
        <f>'Converted Diagram'!$I$1573</f>
        <v>0</v>
      </c>
      <c r="K796" s="2" t="e">
        <f>'Converted Diagram'!$I$1572</f>
        <v>#VALUE!</v>
      </c>
      <c r="L796" s="2" t="s">
        <v>1004</v>
      </c>
      <c r="M796" s="2">
        <v>0</v>
      </c>
      <c r="O796" s="2" t="str">
        <f>'Converted Diagram'!$J$1572</f>
        <v>Reduce Commute Time</v>
      </c>
      <c r="P796" s="2" t="b">
        <v>0</v>
      </c>
    </row>
    <row r="797" spans="1:16" x14ac:dyDescent="0.3">
      <c r="A797" s="2" t="e">
        <f>'Converted Diagram'!$K$1575</f>
        <v>#VALUE!</v>
      </c>
      <c r="B797" s="1" t="s">
        <v>219</v>
      </c>
      <c r="C797" s="2">
        <v>0</v>
      </c>
      <c r="I797" s="2" t="s">
        <v>217</v>
      </c>
      <c r="J797" s="2">
        <f>'Converted Diagram'!$J$1575</f>
        <v>0</v>
      </c>
      <c r="K797" s="2" t="e">
        <f>'Converted Diagram'!$J$1574</f>
        <v>#VALUE!</v>
      </c>
      <c r="L797" s="2" t="s">
        <v>1005</v>
      </c>
      <c r="M797" s="2">
        <v>0</v>
      </c>
      <c r="O797" s="2" t="str">
        <f>'Converted Diagram'!$K$1574</f>
        <v>Reduce overall rent</v>
      </c>
      <c r="P797" s="2" t="b">
        <v>0</v>
      </c>
    </row>
    <row r="798" spans="1:16" x14ac:dyDescent="0.3">
      <c r="A798" s="2" t="e">
        <f>'Converted Diagram'!$L$1577</f>
        <v>#VALUE!</v>
      </c>
      <c r="B798" s="1" t="s">
        <v>219</v>
      </c>
      <c r="C798" s="2">
        <v>0</v>
      </c>
      <c r="I798" s="2" t="s">
        <v>217</v>
      </c>
      <c r="J798" s="2">
        <f>'Converted Diagram'!$K$1577</f>
        <v>0</v>
      </c>
      <c r="K798" s="2" t="e">
        <f>'Converted Diagram'!$K$1576</f>
        <v>#VALUE!</v>
      </c>
      <c r="L798" s="2" t="s">
        <v>1006</v>
      </c>
      <c r="M798" s="2">
        <v>0</v>
      </c>
      <c r="O798" s="2" t="str">
        <f>'Converted Diagram'!$L$1576</f>
        <v>Increase Overall Convenience</v>
      </c>
      <c r="P798" s="2" t="b">
        <v>0</v>
      </c>
    </row>
    <row r="799" spans="1:16" x14ac:dyDescent="0.3">
      <c r="A799" s="2" t="e">
        <f>'Converted Diagram'!$M$1579</f>
        <v>#VALUE!</v>
      </c>
      <c r="B799" s="1" t="s">
        <v>219</v>
      </c>
      <c r="C799" s="2">
        <v>0</v>
      </c>
      <c r="I799" s="2" t="e">
        <v>#VALUE!</v>
      </c>
      <c r="J799" s="2">
        <f>'Converted Diagram'!$L$1579</f>
        <v>0</v>
      </c>
      <c r="K799" s="2" t="e">
        <f>'Converted Diagram'!$L$1578</f>
        <v>#VALUE!</v>
      </c>
      <c r="L799" s="2" t="s">
        <v>1007</v>
      </c>
      <c r="M799" s="2">
        <v>0</v>
      </c>
      <c r="P799" s="2" t="b">
        <v>0</v>
      </c>
    </row>
    <row r="800" spans="1:16" x14ac:dyDescent="0.3">
      <c r="A800" s="2" t="e">
        <f>'Converted Diagram'!$H$1581</f>
        <v>#VALUE!</v>
      </c>
      <c r="B800" s="1" t="s">
        <v>32</v>
      </c>
      <c r="C800" s="2">
        <v>0</v>
      </c>
      <c r="I800" s="2" t="s">
        <v>217</v>
      </c>
      <c r="J800" s="2">
        <f>'Converted Diagram'!$G$1581</f>
        <v>0</v>
      </c>
      <c r="K800" s="2" t="e">
        <f>'Converted Diagram'!$G$1580</f>
        <v>#VALUE!</v>
      </c>
      <c r="L800" s="2" t="s">
        <v>1008</v>
      </c>
      <c r="M800" s="2">
        <v>0</v>
      </c>
      <c r="O800" s="2" t="str">
        <f>'Converted Diagram'!$H$1580</f>
        <v>Wi-Fi &amp; Cable Ready</v>
      </c>
      <c r="P800" s="2" t="b">
        <v>0</v>
      </c>
    </row>
    <row r="801" spans="1:16" x14ac:dyDescent="0.3">
      <c r="A801" s="2" t="e">
        <f>'Converted Diagram'!$J$1583</f>
        <v>#VALUE!</v>
      </c>
      <c r="B801" s="1" t="s">
        <v>31</v>
      </c>
      <c r="C801" s="2">
        <v>0</v>
      </c>
      <c r="I801" s="2" t="s">
        <v>217</v>
      </c>
      <c r="J801" s="2">
        <f>'Converted Diagram'!$I$1583</f>
        <v>0</v>
      </c>
      <c r="K801" s="2" t="e">
        <f>'Converted Diagram'!$I$1582</f>
        <v>#VALUE!</v>
      </c>
      <c r="L801" s="2" t="s">
        <v>1009</v>
      </c>
      <c r="M801" s="2">
        <v>0</v>
      </c>
      <c r="O801" s="2" t="str">
        <f>'Converted Diagram'!$J$1582</f>
        <v>Reduce Commute Time</v>
      </c>
      <c r="P801" s="2" t="b">
        <v>0</v>
      </c>
    </row>
    <row r="802" spans="1:16" x14ac:dyDescent="0.3">
      <c r="A802" s="2" t="e">
        <f>'Converted Diagram'!$K$1585</f>
        <v>#VALUE!</v>
      </c>
      <c r="B802" s="1" t="s">
        <v>219</v>
      </c>
      <c r="C802" s="2">
        <v>0</v>
      </c>
      <c r="I802" s="2" t="s">
        <v>217</v>
      </c>
      <c r="J802" s="2">
        <f>'Converted Diagram'!$J$1585</f>
        <v>0</v>
      </c>
      <c r="K802" s="2" t="e">
        <f>'Converted Diagram'!$J$1584</f>
        <v>#VALUE!</v>
      </c>
      <c r="L802" s="2" t="s">
        <v>1010</v>
      </c>
      <c r="M802" s="2">
        <v>0</v>
      </c>
      <c r="O802" s="2" t="str">
        <f>'Converted Diagram'!$K$1584</f>
        <v>Reduce overall rent</v>
      </c>
      <c r="P802" s="2" t="b">
        <v>0</v>
      </c>
    </row>
    <row r="803" spans="1:16" x14ac:dyDescent="0.3">
      <c r="A803" s="2" t="e">
        <f>'Converted Diagram'!$L$1587</f>
        <v>#VALUE!</v>
      </c>
      <c r="B803" s="1" t="s">
        <v>219</v>
      </c>
      <c r="C803" s="2">
        <v>0</v>
      </c>
      <c r="I803" s="2" t="s">
        <v>217</v>
      </c>
      <c r="J803" s="2">
        <f>'Converted Diagram'!$K$1587</f>
        <v>0</v>
      </c>
      <c r="K803" s="2" t="e">
        <f>'Converted Diagram'!$K$1586</f>
        <v>#VALUE!</v>
      </c>
      <c r="L803" s="2" t="s">
        <v>1011</v>
      </c>
      <c r="M803" s="2">
        <v>0</v>
      </c>
      <c r="O803" s="2" t="str">
        <f>'Converted Diagram'!$L$1586</f>
        <v>Increase Overall Convenience</v>
      </c>
      <c r="P803" s="2" t="b">
        <v>0</v>
      </c>
    </row>
    <row r="804" spans="1:16" x14ac:dyDescent="0.3">
      <c r="A804" s="2" t="e">
        <f>'Converted Diagram'!$M$1589</f>
        <v>#VALUE!</v>
      </c>
      <c r="B804" s="1" t="s">
        <v>219</v>
      </c>
      <c r="C804" s="2">
        <v>0</v>
      </c>
      <c r="I804" s="2" t="e">
        <v>#VALUE!</v>
      </c>
      <c r="J804" s="2">
        <f>'Converted Diagram'!$L$1589</f>
        <v>0</v>
      </c>
      <c r="K804" s="2" t="e">
        <f>'Converted Diagram'!$L$1588</f>
        <v>#VALUE!</v>
      </c>
      <c r="L804" s="2" t="s">
        <v>1012</v>
      </c>
      <c r="M804" s="2">
        <v>0</v>
      </c>
      <c r="P804" s="2" t="b">
        <v>0</v>
      </c>
    </row>
    <row r="805" spans="1:16" x14ac:dyDescent="0.3">
      <c r="A805" s="2" t="e">
        <f>'Converted Diagram'!$I$1591</f>
        <v>#VALUE!</v>
      </c>
      <c r="B805" s="1" t="s">
        <v>32</v>
      </c>
      <c r="C805" s="2">
        <v>0</v>
      </c>
      <c r="I805" s="2" t="s">
        <v>217</v>
      </c>
      <c r="J805" s="2">
        <f>'Converted Diagram'!$H$1591</f>
        <v>0</v>
      </c>
      <c r="K805" s="2" t="e">
        <f>'Converted Diagram'!$H$1590</f>
        <v>#VALUE!</v>
      </c>
      <c r="L805" s="2" t="s">
        <v>1013</v>
      </c>
      <c r="M805" s="2">
        <v>0</v>
      </c>
      <c r="O805" s="2" t="str">
        <f>'Converted Diagram'!$I$1590</f>
        <v>Floor</v>
      </c>
      <c r="P805" s="2" t="b">
        <v>0</v>
      </c>
    </row>
    <row r="806" spans="1:16" x14ac:dyDescent="0.3">
      <c r="A806" s="2" t="e">
        <f>'Converted Diagram'!$J$1593</f>
        <v>#VALUE!</v>
      </c>
      <c r="B806" s="1" t="s">
        <v>32</v>
      </c>
      <c r="C806" s="2">
        <v>0</v>
      </c>
      <c r="I806" s="2" t="s">
        <v>217</v>
      </c>
      <c r="J806" s="2">
        <f>'Converted Diagram'!$I$1593</f>
        <v>0</v>
      </c>
      <c r="K806" s="2" t="e">
        <f>'Converted Diagram'!$I$1592</f>
        <v>#VALUE!</v>
      </c>
      <c r="L806" s="2" t="s">
        <v>1014</v>
      </c>
      <c r="M806" s="2">
        <v>0</v>
      </c>
      <c r="O806" s="2" t="str">
        <f>'Converted Diagram'!$J$1592</f>
        <v>Reduce Commute Time</v>
      </c>
      <c r="P806" s="2" t="b">
        <v>0</v>
      </c>
    </row>
    <row r="807" spans="1:16" x14ac:dyDescent="0.3">
      <c r="A807" s="2" t="e">
        <f>'Converted Diagram'!$K$1595</f>
        <v>#VALUE!</v>
      </c>
      <c r="B807" s="1" t="s">
        <v>219</v>
      </c>
      <c r="C807" s="2">
        <v>0</v>
      </c>
      <c r="I807" s="2" t="s">
        <v>217</v>
      </c>
      <c r="J807" s="2">
        <f>'Converted Diagram'!$J$1595</f>
        <v>0</v>
      </c>
      <c r="K807" s="2" t="e">
        <f>'Converted Diagram'!$J$1594</f>
        <v>#VALUE!</v>
      </c>
      <c r="L807" s="2" t="s">
        <v>1015</v>
      </c>
      <c r="M807" s="2">
        <v>0</v>
      </c>
      <c r="O807" s="2" t="str">
        <f>'Converted Diagram'!$K$1594</f>
        <v>Reduce overall rent</v>
      </c>
      <c r="P807" s="2" t="b">
        <v>0</v>
      </c>
    </row>
    <row r="808" spans="1:16" x14ac:dyDescent="0.3">
      <c r="A808" s="2" t="e">
        <f>'Converted Diagram'!$L$1597</f>
        <v>#VALUE!</v>
      </c>
      <c r="B808" s="1" t="s">
        <v>219</v>
      </c>
      <c r="C808" s="2">
        <v>0</v>
      </c>
      <c r="I808" s="2" t="s">
        <v>217</v>
      </c>
      <c r="J808" s="2">
        <f>'Converted Diagram'!$K$1597</f>
        <v>0</v>
      </c>
      <c r="K808" s="2" t="e">
        <f>'Converted Diagram'!$K$1596</f>
        <v>#VALUE!</v>
      </c>
      <c r="L808" s="2" t="s">
        <v>1016</v>
      </c>
      <c r="M808" s="2">
        <v>0</v>
      </c>
      <c r="O808" s="2" t="str">
        <f>'Converted Diagram'!$L$1596</f>
        <v>Increase Overall Convenience</v>
      </c>
      <c r="P808" s="2" t="b">
        <v>0</v>
      </c>
    </row>
    <row r="809" spans="1:16" x14ac:dyDescent="0.3">
      <c r="A809" s="2" t="e">
        <f>'Converted Diagram'!$M$1599</f>
        <v>#VALUE!</v>
      </c>
      <c r="B809" s="1" t="s">
        <v>219</v>
      </c>
      <c r="C809" s="2">
        <v>0</v>
      </c>
      <c r="I809" s="2" t="e">
        <v>#VALUE!</v>
      </c>
      <c r="J809" s="2">
        <f>'Converted Diagram'!$L$1599</f>
        <v>0</v>
      </c>
      <c r="K809" s="2" t="e">
        <f>'Converted Diagram'!$L$1598</f>
        <v>#VALUE!</v>
      </c>
      <c r="L809" s="2" t="s">
        <v>1017</v>
      </c>
      <c r="M809" s="2">
        <v>0</v>
      </c>
      <c r="P809" s="2" t="b">
        <v>0</v>
      </c>
    </row>
    <row r="810" spans="1:16" x14ac:dyDescent="0.3">
      <c r="A810" s="2" t="e">
        <f>'Converted Diagram'!$D$1601</f>
        <v>#VALUE!</v>
      </c>
      <c r="B810" s="1" t="s">
        <v>31</v>
      </c>
      <c r="C810" s="2">
        <v>0</v>
      </c>
      <c r="I810" s="2" t="s">
        <v>217</v>
      </c>
      <c r="J810" s="2">
        <f>'Converted Diagram'!$C$1601</f>
        <v>0</v>
      </c>
      <c r="L810" s="2" t="s">
        <v>1018</v>
      </c>
      <c r="M810" s="2">
        <v>0</v>
      </c>
      <c r="O810" s="2" t="str">
        <f>'Converted Diagram'!$D$1600</f>
        <v>Number of Rooms and Restrooms</v>
      </c>
      <c r="P810" s="2" t="b">
        <v>0</v>
      </c>
    </row>
    <row r="811" spans="1:16" x14ac:dyDescent="0.3">
      <c r="A811" s="2" t="e">
        <f>'Converted Diagram'!$J$1603</f>
        <v>#VALUE!</v>
      </c>
      <c r="B811" s="1" t="s">
        <v>31</v>
      </c>
      <c r="C811" s="2">
        <v>0</v>
      </c>
      <c r="I811" s="2" t="s">
        <v>217</v>
      </c>
      <c r="J811" s="2">
        <f>'Converted Diagram'!$I$1603</f>
        <v>0</v>
      </c>
      <c r="K811" s="2" t="e">
        <f>'Converted Diagram'!$I$1602</f>
        <v>#VALUE!</v>
      </c>
      <c r="L811" s="2" t="s">
        <v>1019</v>
      </c>
      <c r="M811" s="2">
        <v>0</v>
      </c>
      <c r="O811" s="2" t="str">
        <f>'Converted Diagram'!$J$1602</f>
        <v>Reduce Commute Time</v>
      </c>
      <c r="P811" s="2" t="b">
        <v>0</v>
      </c>
    </row>
    <row r="812" spans="1:16" x14ac:dyDescent="0.3">
      <c r="A812" s="2" t="e">
        <f>'Converted Diagram'!$K$1605</f>
        <v>#VALUE!</v>
      </c>
      <c r="B812" s="1" t="s">
        <v>219</v>
      </c>
      <c r="C812" s="2">
        <v>0</v>
      </c>
      <c r="I812" s="2" t="s">
        <v>217</v>
      </c>
      <c r="J812" s="2">
        <f>'Converted Diagram'!$J$1605</f>
        <v>0</v>
      </c>
      <c r="K812" s="2" t="e">
        <f>'Converted Diagram'!$J$1604</f>
        <v>#VALUE!</v>
      </c>
      <c r="L812" s="2" t="s">
        <v>1020</v>
      </c>
      <c r="M812" s="2">
        <v>0</v>
      </c>
      <c r="O812" s="2" t="str">
        <f>'Converted Diagram'!$K$1604</f>
        <v>Reduce overall rent</v>
      </c>
      <c r="P812" s="2" t="b">
        <v>0</v>
      </c>
    </row>
    <row r="813" spans="1:16" x14ac:dyDescent="0.3">
      <c r="A813" s="2" t="e">
        <f>'Converted Diagram'!$L$1607</f>
        <v>#VALUE!</v>
      </c>
      <c r="B813" s="1" t="s">
        <v>219</v>
      </c>
      <c r="C813" s="2">
        <v>0</v>
      </c>
      <c r="I813" s="2" t="s">
        <v>217</v>
      </c>
      <c r="J813" s="2">
        <f>'Converted Diagram'!$K$1607</f>
        <v>0</v>
      </c>
      <c r="K813" s="2" t="e">
        <f>'Converted Diagram'!$K$1606</f>
        <v>#VALUE!</v>
      </c>
      <c r="L813" s="2" t="s">
        <v>1021</v>
      </c>
      <c r="M813" s="2">
        <v>0</v>
      </c>
      <c r="O813" s="2" t="str">
        <f>'Converted Diagram'!$L$1606</f>
        <v>Increase Overall Convenience</v>
      </c>
      <c r="P813" s="2" t="b">
        <v>0</v>
      </c>
    </row>
    <row r="814" spans="1:16" x14ac:dyDescent="0.3">
      <c r="A814" s="2" t="e">
        <f>'Converted Diagram'!$M$1609</f>
        <v>#VALUE!</v>
      </c>
      <c r="B814" s="1" t="s">
        <v>219</v>
      </c>
      <c r="C814" s="2">
        <v>0</v>
      </c>
      <c r="I814" s="2" t="e">
        <v>#VALUE!</v>
      </c>
      <c r="J814" s="2">
        <f>'Converted Diagram'!$L$1609</f>
        <v>0</v>
      </c>
      <c r="K814" s="2" t="e">
        <f>'Converted Diagram'!$L$1608</f>
        <v>#VALUE!</v>
      </c>
      <c r="L814" s="2" t="s">
        <v>1022</v>
      </c>
      <c r="M814" s="2">
        <v>0</v>
      </c>
      <c r="P814" s="2" t="b">
        <v>0</v>
      </c>
    </row>
    <row r="815" spans="1:16" x14ac:dyDescent="0.3">
      <c r="A815" s="2" t="e">
        <f>'Converted Diagram'!$I$1611</f>
        <v>#VALUE!</v>
      </c>
      <c r="B815" s="1" t="s">
        <v>31</v>
      </c>
      <c r="C815" s="2">
        <v>0</v>
      </c>
      <c r="I815" s="2" t="s">
        <v>217</v>
      </c>
      <c r="J815" s="2">
        <f>'Converted Diagram'!$H$1611</f>
        <v>0</v>
      </c>
      <c r="K815" s="2" t="e">
        <f>'Converted Diagram'!$H$1610</f>
        <v>#VALUE!</v>
      </c>
      <c r="L815" s="2" t="s">
        <v>1023</v>
      </c>
      <c r="M815" s="2">
        <v>0</v>
      </c>
      <c r="O815" s="2" t="str">
        <f>'Converted Diagram'!$I$1610</f>
        <v>Floor</v>
      </c>
      <c r="P815" s="2" t="b">
        <v>0</v>
      </c>
    </row>
    <row r="816" spans="1:16" x14ac:dyDescent="0.3">
      <c r="A816" s="2" t="e">
        <f>'Converted Diagram'!$J$1613</f>
        <v>#VALUE!</v>
      </c>
      <c r="B816" s="1" t="s">
        <v>32</v>
      </c>
      <c r="C816" s="2">
        <v>0</v>
      </c>
      <c r="I816" s="2" t="s">
        <v>217</v>
      </c>
      <c r="J816" s="2">
        <f>'Converted Diagram'!$I$1613</f>
        <v>0</v>
      </c>
      <c r="K816" s="2" t="e">
        <f>'Converted Diagram'!$I$1612</f>
        <v>#VALUE!</v>
      </c>
      <c r="L816" s="2" t="s">
        <v>1024</v>
      </c>
      <c r="M816" s="2">
        <v>0</v>
      </c>
      <c r="O816" s="2" t="str">
        <f>'Converted Diagram'!$J$1612</f>
        <v>Reduce Commute Time</v>
      </c>
      <c r="P816" s="2" t="b">
        <v>0</v>
      </c>
    </row>
    <row r="817" spans="1:16" x14ac:dyDescent="0.3">
      <c r="A817" s="2" t="e">
        <f>'Converted Diagram'!$K$1615</f>
        <v>#VALUE!</v>
      </c>
      <c r="B817" s="1" t="s">
        <v>219</v>
      </c>
      <c r="C817" s="2">
        <v>0</v>
      </c>
      <c r="I817" s="2" t="s">
        <v>217</v>
      </c>
      <c r="J817" s="2">
        <f>'Converted Diagram'!$J$1615</f>
        <v>0</v>
      </c>
      <c r="K817" s="2" t="e">
        <f>'Converted Diagram'!$J$1614</f>
        <v>#VALUE!</v>
      </c>
      <c r="L817" s="2" t="s">
        <v>1025</v>
      </c>
      <c r="M817" s="2">
        <v>0</v>
      </c>
      <c r="O817" s="2" t="str">
        <f>'Converted Diagram'!$K$1614</f>
        <v>Reduce overall rent</v>
      </c>
      <c r="P817" s="2" t="b">
        <v>0</v>
      </c>
    </row>
    <row r="818" spans="1:16" x14ac:dyDescent="0.3">
      <c r="A818" s="2" t="e">
        <f>'Converted Diagram'!$L$1617</f>
        <v>#VALUE!</v>
      </c>
      <c r="B818" s="1" t="s">
        <v>219</v>
      </c>
      <c r="C818" s="2">
        <v>0</v>
      </c>
      <c r="I818" s="2" t="s">
        <v>217</v>
      </c>
      <c r="J818" s="2">
        <f>'Converted Diagram'!$K$1617</f>
        <v>0</v>
      </c>
      <c r="K818" s="2" t="e">
        <f>'Converted Diagram'!$K$1616</f>
        <v>#VALUE!</v>
      </c>
      <c r="L818" s="2" t="s">
        <v>1026</v>
      </c>
      <c r="M818" s="2">
        <v>0</v>
      </c>
      <c r="O818" s="2" t="str">
        <f>'Converted Diagram'!$L$1616</f>
        <v>Increase Overall Convenience</v>
      </c>
      <c r="P818" s="2" t="b">
        <v>0</v>
      </c>
    </row>
    <row r="819" spans="1:16" x14ac:dyDescent="0.3">
      <c r="A819" s="2" t="e">
        <f>'Converted Diagram'!$M$1619</f>
        <v>#VALUE!</v>
      </c>
      <c r="B819" s="1" t="s">
        <v>219</v>
      </c>
      <c r="C819" s="2">
        <v>0</v>
      </c>
      <c r="I819" s="2" t="e">
        <v>#VALUE!</v>
      </c>
      <c r="J819" s="2">
        <f>'Converted Diagram'!$L$1619</f>
        <v>0</v>
      </c>
      <c r="K819" s="2" t="e">
        <f>'Converted Diagram'!$L$1618</f>
        <v>#VALUE!</v>
      </c>
      <c r="L819" s="2" t="s">
        <v>1027</v>
      </c>
      <c r="M819" s="2">
        <v>0</v>
      </c>
      <c r="P819" s="2" t="b">
        <v>0</v>
      </c>
    </row>
    <row r="820" spans="1:16" x14ac:dyDescent="0.3">
      <c r="A820" s="2" t="e">
        <f>'Converted Diagram'!$H$1621</f>
        <v>#VALUE!</v>
      </c>
      <c r="B820" s="1" t="s">
        <v>31</v>
      </c>
      <c r="C820" s="2">
        <v>0</v>
      </c>
      <c r="I820" s="2" t="s">
        <v>217</v>
      </c>
      <c r="J820" s="2">
        <f>'Converted Diagram'!$G$1621</f>
        <v>0</v>
      </c>
      <c r="K820" s="2" t="e">
        <f>'Converted Diagram'!$G$1620</f>
        <v>#VALUE!</v>
      </c>
      <c r="L820" s="2" t="s">
        <v>1028</v>
      </c>
      <c r="M820" s="2">
        <v>0</v>
      </c>
      <c r="O820" s="2" t="str">
        <f>'Converted Diagram'!$H$1620</f>
        <v>Wi-Fi &amp; Cable Ready</v>
      </c>
      <c r="P820" s="2" t="b">
        <v>0</v>
      </c>
    </row>
    <row r="821" spans="1:16" x14ac:dyDescent="0.3">
      <c r="A821" s="2" t="e">
        <f>'Converted Diagram'!$J$1623</f>
        <v>#VALUE!</v>
      </c>
      <c r="B821" s="1" t="s">
        <v>31</v>
      </c>
      <c r="C821" s="2">
        <v>0</v>
      </c>
      <c r="I821" s="2" t="s">
        <v>217</v>
      </c>
      <c r="J821" s="2">
        <f>'Converted Diagram'!$I$1623</f>
        <v>0</v>
      </c>
      <c r="K821" s="2" t="e">
        <f>'Converted Diagram'!$I$1622</f>
        <v>#VALUE!</v>
      </c>
      <c r="L821" s="2" t="s">
        <v>1029</v>
      </c>
      <c r="M821" s="2">
        <v>0</v>
      </c>
      <c r="O821" s="2" t="str">
        <f>'Converted Diagram'!$J$1622</f>
        <v>Reduce Commute Time</v>
      </c>
      <c r="P821" s="2" t="b">
        <v>0</v>
      </c>
    </row>
    <row r="822" spans="1:16" x14ac:dyDescent="0.3">
      <c r="A822" s="2" t="e">
        <f>'Converted Diagram'!$K$1625</f>
        <v>#VALUE!</v>
      </c>
      <c r="B822" s="1" t="s">
        <v>219</v>
      </c>
      <c r="C822" s="2">
        <v>0</v>
      </c>
      <c r="I822" s="2" t="s">
        <v>217</v>
      </c>
      <c r="J822" s="2">
        <f>'Converted Diagram'!$J$1625</f>
        <v>0</v>
      </c>
      <c r="K822" s="2" t="e">
        <f>'Converted Diagram'!$J$1624</f>
        <v>#VALUE!</v>
      </c>
      <c r="L822" s="2" t="s">
        <v>1030</v>
      </c>
      <c r="M822" s="2">
        <v>0</v>
      </c>
      <c r="O822" s="2" t="str">
        <f>'Converted Diagram'!$K$1624</f>
        <v>Reduce overall rent</v>
      </c>
      <c r="P822" s="2" t="b">
        <v>0</v>
      </c>
    </row>
    <row r="823" spans="1:16" x14ac:dyDescent="0.3">
      <c r="A823" s="2" t="e">
        <f>'Converted Diagram'!$L$1627</f>
        <v>#VALUE!</v>
      </c>
      <c r="B823" s="1" t="s">
        <v>219</v>
      </c>
      <c r="C823" s="2">
        <v>0</v>
      </c>
      <c r="I823" s="2" t="s">
        <v>217</v>
      </c>
      <c r="J823" s="2">
        <f>'Converted Diagram'!$K$1627</f>
        <v>0</v>
      </c>
      <c r="K823" s="2" t="e">
        <f>'Converted Diagram'!$K$1626</f>
        <v>#VALUE!</v>
      </c>
      <c r="L823" s="2" t="s">
        <v>1031</v>
      </c>
      <c r="M823" s="2">
        <v>0</v>
      </c>
      <c r="O823" s="2" t="str">
        <f>'Converted Diagram'!$L$1626</f>
        <v>Increase Overall Convenience</v>
      </c>
      <c r="P823" s="2" t="b">
        <v>0</v>
      </c>
    </row>
    <row r="824" spans="1:16" x14ac:dyDescent="0.3">
      <c r="A824" s="2" t="e">
        <f>'Converted Diagram'!$M$1629</f>
        <v>#VALUE!</v>
      </c>
      <c r="B824" s="1" t="s">
        <v>219</v>
      </c>
      <c r="C824" s="2">
        <v>0</v>
      </c>
      <c r="I824" s="2" t="e">
        <v>#VALUE!</v>
      </c>
      <c r="J824" s="2">
        <f>'Converted Diagram'!$L$1629</f>
        <v>0</v>
      </c>
      <c r="K824" s="2" t="e">
        <f>'Converted Diagram'!$L$1628</f>
        <v>#VALUE!</v>
      </c>
      <c r="L824" s="2" t="s">
        <v>1032</v>
      </c>
      <c r="M824" s="2">
        <v>0</v>
      </c>
      <c r="P824" s="2" t="b">
        <v>0</v>
      </c>
    </row>
    <row r="825" spans="1:16" x14ac:dyDescent="0.3">
      <c r="A825" s="2" t="e">
        <f>'Converted Diagram'!$I$1631</f>
        <v>#VALUE!</v>
      </c>
      <c r="B825" s="1" t="s">
        <v>32</v>
      </c>
      <c r="C825" s="2">
        <v>0</v>
      </c>
      <c r="I825" s="2" t="s">
        <v>217</v>
      </c>
      <c r="J825" s="2">
        <f>'Converted Diagram'!$H$1631</f>
        <v>0</v>
      </c>
      <c r="K825" s="2" t="e">
        <f>'Converted Diagram'!$H$1630</f>
        <v>#VALUE!</v>
      </c>
      <c r="L825" s="2" t="s">
        <v>1033</v>
      </c>
      <c r="M825" s="2">
        <v>0</v>
      </c>
      <c r="O825" s="2" t="str">
        <f>'Converted Diagram'!$I$1630</f>
        <v>Floor</v>
      </c>
      <c r="P825" s="2" t="b">
        <v>0</v>
      </c>
    </row>
    <row r="826" spans="1:16" x14ac:dyDescent="0.3">
      <c r="A826" s="2" t="e">
        <f>'Converted Diagram'!$J$1633</f>
        <v>#VALUE!</v>
      </c>
      <c r="B826" s="1" t="s">
        <v>32</v>
      </c>
      <c r="C826" s="2">
        <v>0</v>
      </c>
      <c r="I826" s="2" t="s">
        <v>217</v>
      </c>
      <c r="J826" s="2">
        <f>'Converted Diagram'!$I$1633</f>
        <v>0</v>
      </c>
      <c r="K826" s="2" t="e">
        <f>'Converted Diagram'!$I$1632</f>
        <v>#VALUE!</v>
      </c>
      <c r="L826" s="2" t="s">
        <v>1034</v>
      </c>
      <c r="M826" s="2">
        <v>0</v>
      </c>
      <c r="O826" s="2" t="str">
        <f>'Converted Diagram'!$J$1632</f>
        <v>Reduce Commute Time</v>
      </c>
      <c r="P826" s="2" t="b">
        <v>0</v>
      </c>
    </row>
    <row r="827" spans="1:16" x14ac:dyDescent="0.3">
      <c r="A827" s="2" t="e">
        <f>'Converted Diagram'!$K$1635</f>
        <v>#VALUE!</v>
      </c>
      <c r="B827" s="1" t="s">
        <v>219</v>
      </c>
      <c r="C827" s="2">
        <v>0</v>
      </c>
      <c r="I827" s="2" t="s">
        <v>217</v>
      </c>
      <c r="J827" s="2">
        <f>'Converted Diagram'!$J$1635</f>
        <v>0</v>
      </c>
      <c r="K827" s="2" t="e">
        <f>'Converted Diagram'!$J$1634</f>
        <v>#VALUE!</v>
      </c>
      <c r="L827" s="2" t="s">
        <v>1035</v>
      </c>
      <c r="M827" s="2">
        <v>0</v>
      </c>
      <c r="O827" s="2" t="str">
        <f>'Converted Diagram'!$K$1634</f>
        <v>Reduce overall rent</v>
      </c>
      <c r="P827" s="2" t="b">
        <v>0</v>
      </c>
    </row>
    <row r="828" spans="1:16" x14ac:dyDescent="0.3">
      <c r="A828" s="2" t="e">
        <f>'Converted Diagram'!$L$1637</f>
        <v>#VALUE!</v>
      </c>
      <c r="B828" s="1" t="s">
        <v>219</v>
      </c>
      <c r="C828" s="2">
        <v>0</v>
      </c>
      <c r="I828" s="2" t="s">
        <v>217</v>
      </c>
      <c r="J828" s="2">
        <f>'Converted Diagram'!$K$1637</f>
        <v>0</v>
      </c>
      <c r="K828" s="2" t="e">
        <f>'Converted Diagram'!$K$1636</f>
        <v>#VALUE!</v>
      </c>
      <c r="L828" s="2" t="s">
        <v>1036</v>
      </c>
      <c r="M828" s="2">
        <v>0</v>
      </c>
      <c r="O828" s="2" t="str">
        <f>'Converted Diagram'!$L$1636</f>
        <v>Increase Overall Convenience</v>
      </c>
      <c r="P828" s="2" t="b">
        <v>0</v>
      </c>
    </row>
    <row r="829" spans="1:16" x14ac:dyDescent="0.3">
      <c r="A829" s="2" t="e">
        <f>'Converted Diagram'!$M$1639</f>
        <v>#VALUE!</v>
      </c>
      <c r="B829" s="1" t="s">
        <v>219</v>
      </c>
      <c r="C829" s="2">
        <v>0</v>
      </c>
      <c r="I829" s="2" t="e">
        <v>#VALUE!</v>
      </c>
      <c r="J829" s="2">
        <f>'Converted Diagram'!$L$1639</f>
        <v>0</v>
      </c>
      <c r="K829" s="2" t="e">
        <f>'Converted Diagram'!$L$1638</f>
        <v>#VALUE!</v>
      </c>
      <c r="L829" s="2" t="s">
        <v>1037</v>
      </c>
      <c r="M829" s="2">
        <v>0</v>
      </c>
      <c r="P829" s="2" t="b">
        <v>0</v>
      </c>
    </row>
    <row r="830" spans="1:16" x14ac:dyDescent="0.3">
      <c r="A830" s="2" t="e">
        <f>'Converted Diagram'!$G$1641</f>
        <v>#VALUE!</v>
      </c>
      <c r="B830" s="1" t="s">
        <v>31</v>
      </c>
      <c r="C830" s="2">
        <v>0</v>
      </c>
      <c r="I830" s="2" t="s">
        <v>217</v>
      </c>
      <c r="J830" s="2">
        <f>'Converted Diagram'!$F$1641</f>
        <v>0</v>
      </c>
      <c r="K830" s="2" t="e">
        <f>'Converted Diagram'!$F$1640</f>
        <v>#VALUE!</v>
      </c>
      <c r="L830" s="2" t="s">
        <v>1038</v>
      </c>
      <c r="M830" s="2">
        <v>0</v>
      </c>
      <c r="O830" s="2" t="str">
        <f>'Converted Diagram'!$G$1640</f>
        <v>Grocery Store</v>
      </c>
      <c r="P830" s="2" t="b">
        <v>0</v>
      </c>
    </row>
    <row r="831" spans="1:16" x14ac:dyDescent="0.3">
      <c r="A831" s="2" t="e">
        <f>'Converted Diagram'!$J$1643</f>
        <v>#VALUE!</v>
      </c>
      <c r="B831" s="1" t="s">
        <v>31</v>
      </c>
      <c r="C831" s="2">
        <v>0</v>
      </c>
      <c r="I831" s="2" t="s">
        <v>217</v>
      </c>
      <c r="J831" s="2">
        <f>'Converted Diagram'!$I$1643</f>
        <v>0</v>
      </c>
      <c r="K831" s="2" t="e">
        <f>'Converted Diagram'!$I$1642</f>
        <v>#VALUE!</v>
      </c>
      <c r="L831" s="2" t="s">
        <v>1039</v>
      </c>
      <c r="M831" s="2">
        <v>0</v>
      </c>
      <c r="O831" s="2" t="str">
        <f>'Converted Diagram'!$J$1642</f>
        <v>Reduce Commute Time</v>
      </c>
      <c r="P831" s="2" t="b">
        <v>0</v>
      </c>
    </row>
    <row r="832" spans="1:16" x14ac:dyDescent="0.3">
      <c r="A832" s="2" t="e">
        <f>'Converted Diagram'!$K$1645</f>
        <v>#VALUE!</v>
      </c>
      <c r="B832" s="1" t="s">
        <v>219</v>
      </c>
      <c r="C832" s="2">
        <v>0</v>
      </c>
      <c r="I832" s="2" t="s">
        <v>217</v>
      </c>
      <c r="J832" s="2">
        <f>'Converted Diagram'!$J$1645</f>
        <v>0</v>
      </c>
      <c r="K832" s="2" t="e">
        <f>'Converted Diagram'!$J$1644</f>
        <v>#VALUE!</v>
      </c>
      <c r="L832" s="2" t="s">
        <v>1040</v>
      </c>
      <c r="M832" s="2">
        <v>0</v>
      </c>
      <c r="O832" s="2" t="str">
        <f>'Converted Diagram'!$K$1644</f>
        <v>Reduce overall rent</v>
      </c>
      <c r="P832" s="2" t="b">
        <v>0</v>
      </c>
    </row>
    <row r="833" spans="1:16" x14ac:dyDescent="0.3">
      <c r="A833" s="2" t="e">
        <f>'Converted Diagram'!$L$1647</f>
        <v>#VALUE!</v>
      </c>
      <c r="B833" s="1" t="s">
        <v>219</v>
      </c>
      <c r="C833" s="2">
        <v>0</v>
      </c>
      <c r="I833" s="2" t="s">
        <v>217</v>
      </c>
      <c r="J833" s="2">
        <f>'Converted Diagram'!$K$1647</f>
        <v>0</v>
      </c>
      <c r="K833" s="2" t="e">
        <f>'Converted Diagram'!$K$1646</f>
        <v>#VALUE!</v>
      </c>
      <c r="L833" s="2" t="s">
        <v>1041</v>
      </c>
      <c r="M833" s="2">
        <v>0</v>
      </c>
      <c r="O833" s="2" t="str">
        <f>'Converted Diagram'!$L$1646</f>
        <v>Increase Overall Convenience</v>
      </c>
      <c r="P833" s="2" t="b">
        <v>0</v>
      </c>
    </row>
    <row r="834" spans="1:16" x14ac:dyDescent="0.3">
      <c r="A834" s="2" t="e">
        <f>'Converted Diagram'!$M$1649</f>
        <v>#VALUE!</v>
      </c>
      <c r="B834" s="1" t="s">
        <v>219</v>
      </c>
      <c r="C834" s="2">
        <v>0</v>
      </c>
      <c r="I834" s="2" t="e">
        <v>#VALUE!</v>
      </c>
      <c r="J834" s="2">
        <f>'Converted Diagram'!$L$1649</f>
        <v>0</v>
      </c>
      <c r="K834" s="2" t="e">
        <f>'Converted Diagram'!$L$1648</f>
        <v>#VALUE!</v>
      </c>
      <c r="L834" s="2" t="s">
        <v>1042</v>
      </c>
      <c r="M834" s="2">
        <v>0</v>
      </c>
      <c r="P834" s="2" t="b">
        <v>0</v>
      </c>
    </row>
    <row r="835" spans="1:16" x14ac:dyDescent="0.3">
      <c r="A835" s="2" t="e">
        <f>'Converted Diagram'!$I$1651</f>
        <v>#VALUE!</v>
      </c>
      <c r="B835" s="1" t="s">
        <v>31</v>
      </c>
      <c r="C835" s="2">
        <v>0</v>
      </c>
      <c r="I835" s="2" t="s">
        <v>217</v>
      </c>
      <c r="J835" s="2">
        <f>'Converted Diagram'!$H$1651</f>
        <v>0</v>
      </c>
      <c r="K835" s="2" t="e">
        <f>'Converted Diagram'!$H$1650</f>
        <v>#VALUE!</v>
      </c>
      <c r="L835" s="2" t="s">
        <v>1043</v>
      </c>
      <c r="M835" s="2">
        <v>0</v>
      </c>
      <c r="O835" s="2" t="str">
        <f>'Converted Diagram'!$I$1650</f>
        <v>Floor</v>
      </c>
      <c r="P835" s="2" t="b">
        <v>0</v>
      </c>
    </row>
    <row r="836" spans="1:16" x14ac:dyDescent="0.3">
      <c r="A836" s="2" t="e">
        <f>'Converted Diagram'!$J$1653</f>
        <v>#VALUE!</v>
      </c>
      <c r="B836" s="1" t="s">
        <v>32</v>
      </c>
      <c r="C836" s="2">
        <v>0</v>
      </c>
      <c r="I836" s="2" t="s">
        <v>217</v>
      </c>
      <c r="J836" s="2">
        <f>'Converted Diagram'!$I$1653</f>
        <v>0</v>
      </c>
      <c r="K836" s="2" t="e">
        <f>'Converted Diagram'!$I$1652</f>
        <v>#VALUE!</v>
      </c>
      <c r="L836" s="2" t="s">
        <v>1044</v>
      </c>
      <c r="M836" s="2">
        <v>0</v>
      </c>
      <c r="O836" s="2" t="str">
        <f>'Converted Diagram'!$J$1652</f>
        <v>Reduce Commute Time</v>
      </c>
      <c r="P836" s="2" t="b">
        <v>0</v>
      </c>
    </row>
    <row r="837" spans="1:16" x14ac:dyDescent="0.3">
      <c r="A837" s="2" t="e">
        <f>'Converted Diagram'!$K$1655</f>
        <v>#VALUE!</v>
      </c>
      <c r="B837" s="1" t="s">
        <v>219</v>
      </c>
      <c r="C837" s="2">
        <v>0</v>
      </c>
      <c r="I837" s="2" t="s">
        <v>217</v>
      </c>
      <c r="J837" s="2">
        <f>'Converted Diagram'!$J$1655</f>
        <v>0</v>
      </c>
      <c r="K837" s="2" t="e">
        <f>'Converted Diagram'!$J$1654</f>
        <v>#VALUE!</v>
      </c>
      <c r="L837" s="2" t="s">
        <v>1045</v>
      </c>
      <c r="M837" s="2">
        <v>0</v>
      </c>
      <c r="O837" s="2" t="str">
        <f>'Converted Diagram'!$K$1654</f>
        <v>Reduce overall rent</v>
      </c>
      <c r="P837" s="2" t="b">
        <v>0</v>
      </c>
    </row>
    <row r="838" spans="1:16" x14ac:dyDescent="0.3">
      <c r="A838" s="2" t="e">
        <f>'Converted Diagram'!$L$1657</f>
        <v>#VALUE!</v>
      </c>
      <c r="B838" s="1" t="s">
        <v>219</v>
      </c>
      <c r="C838" s="2">
        <v>0</v>
      </c>
      <c r="I838" s="2" t="s">
        <v>217</v>
      </c>
      <c r="J838" s="2">
        <f>'Converted Diagram'!$K$1657</f>
        <v>0</v>
      </c>
      <c r="K838" s="2" t="e">
        <f>'Converted Diagram'!$K$1656</f>
        <v>#VALUE!</v>
      </c>
      <c r="L838" s="2" t="s">
        <v>1046</v>
      </c>
      <c r="M838" s="2">
        <v>0</v>
      </c>
      <c r="O838" s="2" t="str">
        <f>'Converted Diagram'!$L$1656</f>
        <v>Increase Overall Convenience</v>
      </c>
      <c r="P838" s="2" t="b">
        <v>0</v>
      </c>
    </row>
    <row r="839" spans="1:16" x14ac:dyDescent="0.3">
      <c r="A839" s="2" t="e">
        <f>'Converted Diagram'!$M$1659</f>
        <v>#VALUE!</v>
      </c>
      <c r="B839" s="1" t="s">
        <v>219</v>
      </c>
      <c r="C839" s="2">
        <v>0</v>
      </c>
      <c r="I839" s="2" t="e">
        <v>#VALUE!</v>
      </c>
      <c r="J839" s="2">
        <f>'Converted Diagram'!$L$1659</f>
        <v>0</v>
      </c>
      <c r="K839" s="2" t="e">
        <f>'Converted Diagram'!$L$1658</f>
        <v>#VALUE!</v>
      </c>
      <c r="L839" s="2" t="s">
        <v>1047</v>
      </c>
      <c r="M839" s="2">
        <v>0</v>
      </c>
      <c r="P839" s="2" t="b">
        <v>0</v>
      </c>
    </row>
    <row r="840" spans="1:16" x14ac:dyDescent="0.3">
      <c r="A840" s="2" t="e">
        <f>'Converted Diagram'!$H$1661</f>
        <v>#VALUE!</v>
      </c>
      <c r="B840" s="1" t="s">
        <v>32</v>
      </c>
      <c r="C840" s="2">
        <v>0</v>
      </c>
      <c r="I840" s="2" t="s">
        <v>217</v>
      </c>
      <c r="J840" s="2">
        <f>'Converted Diagram'!$G$1661</f>
        <v>0</v>
      </c>
      <c r="K840" s="2" t="e">
        <f>'Converted Diagram'!$G$1660</f>
        <v>#VALUE!</v>
      </c>
      <c r="L840" s="2" t="s">
        <v>1048</v>
      </c>
      <c r="M840" s="2">
        <v>0</v>
      </c>
      <c r="O840" s="2" t="str">
        <f>'Converted Diagram'!$H$1660</f>
        <v>Wi-Fi &amp; Cable Ready</v>
      </c>
      <c r="P840" s="2" t="b">
        <v>0</v>
      </c>
    </row>
    <row r="841" spans="1:16" x14ac:dyDescent="0.3">
      <c r="A841" s="2" t="e">
        <f>'Converted Diagram'!$J$1663</f>
        <v>#VALUE!</v>
      </c>
      <c r="B841" s="1" t="s">
        <v>31</v>
      </c>
      <c r="C841" s="2">
        <v>0</v>
      </c>
      <c r="I841" s="2" t="s">
        <v>217</v>
      </c>
      <c r="J841" s="2">
        <f>'Converted Diagram'!$I$1663</f>
        <v>0</v>
      </c>
      <c r="K841" s="2" t="e">
        <f>'Converted Diagram'!$I$1662</f>
        <v>#VALUE!</v>
      </c>
      <c r="L841" s="2" t="s">
        <v>1049</v>
      </c>
      <c r="M841" s="2">
        <v>0</v>
      </c>
      <c r="O841" s="2" t="str">
        <f>'Converted Diagram'!$J$1662</f>
        <v>Reduce Commute Time</v>
      </c>
      <c r="P841" s="2" t="b">
        <v>0</v>
      </c>
    </row>
    <row r="842" spans="1:16" x14ac:dyDescent="0.3">
      <c r="A842" s="2" t="e">
        <f>'Converted Diagram'!$K$1665</f>
        <v>#VALUE!</v>
      </c>
      <c r="B842" s="1" t="s">
        <v>219</v>
      </c>
      <c r="C842" s="2">
        <v>0</v>
      </c>
      <c r="I842" s="2" t="s">
        <v>217</v>
      </c>
      <c r="J842" s="2">
        <f>'Converted Diagram'!$J$1665</f>
        <v>0</v>
      </c>
      <c r="K842" s="2" t="e">
        <f>'Converted Diagram'!$J$1664</f>
        <v>#VALUE!</v>
      </c>
      <c r="L842" s="2" t="s">
        <v>1050</v>
      </c>
      <c r="M842" s="2">
        <v>0</v>
      </c>
      <c r="O842" s="2" t="str">
        <f>'Converted Diagram'!$K$1664</f>
        <v>Reduce overall rent</v>
      </c>
      <c r="P842" s="2" t="b">
        <v>0</v>
      </c>
    </row>
    <row r="843" spans="1:16" x14ac:dyDescent="0.3">
      <c r="A843" s="2" t="e">
        <f>'Converted Diagram'!$L$1667</f>
        <v>#VALUE!</v>
      </c>
      <c r="B843" s="1" t="s">
        <v>219</v>
      </c>
      <c r="C843" s="2">
        <v>0</v>
      </c>
      <c r="I843" s="2" t="s">
        <v>217</v>
      </c>
      <c r="J843" s="2">
        <f>'Converted Diagram'!$K$1667</f>
        <v>0</v>
      </c>
      <c r="K843" s="2" t="e">
        <f>'Converted Diagram'!$K$1666</f>
        <v>#VALUE!</v>
      </c>
      <c r="L843" s="2" t="s">
        <v>1051</v>
      </c>
      <c r="M843" s="2">
        <v>0</v>
      </c>
      <c r="O843" s="2" t="str">
        <f>'Converted Diagram'!$L$1666</f>
        <v>Increase Overall Convenience</v>
      </c>
      <c r="P843" s="2" t="b">
        <v>0</v>
      </c>
    </row>
    <row r="844" spans="1:16" x14ac:dyDescent="0.3">
      <c r="A844" s="2" t="e">
        <f>'Converted Diagram'!$M$1669</f>
        <v>#VALUE!</v>
      </c>
      <c r="B844" s="1" t="s">
        <v>219</v>
      </c>
      <c r="C844" s="2">
        <v>0</v>
      </c>
      <c r="I844" s="2" t="e">
        <v>#VALUE!</v>
      </c>
      <c r="J844" s="2">
        <f>'Converted Diagram'!$L$1669</f>
        <v>0</v>
      </c>
      <c r="K844" s="2" t="e">
        <f>'Converted Diagram'!$L$1668</f>
        <v>#VALUE!</v>
      </c>
      <c r="L844" s="2" t="s">
        <v>1052</v>
      </c>
      <c r="M844" s="2">
        <v>0</v>
      </c>
      <c r="P844" s="2" t="b">
        <v>0</v>
      </c>
    </row>
    <row r="845" spans="1:16" x14ac:dyDescent="0.3">
      <c r="A845" s="2" t="e">
        <f>'Converted Diagram'!$I$1671</f>
        <v>#VALUE!</v>
      </c>
      <c r="B845" s="1" t="s">
        <v>32</v>
      </c>
      <c r="C845" s="2">
        <v>0</v>
      </c>
      <c r="I845" s="2" t="s">
        <v>217</v>
      </c>
      <c r="J845" s="2">
        <f>'Converted Diagram'!$H$1671</f>
        <v>0</v>
      </c>
      <c r="K845" s="2" t="e">
        <f>'Converted Diagram'!$H$1670</f>
        <v>#VALUE!</v>
      </c>
      <c r="L845" s="2" t="s">
        <v>1053</v>
      </c>
      <c r="M845" s="2">
        <v>0</v>
      </c>
      <c r="O845" s="2" t="str">
        <f>'Converted Diagram'!$I$1670</f>
        <v>Floor</v>
      </c>
      <c r="P845" s="2" t="b">
        <v>0</v>
      </c>
    </row>
    <row r="846" spans="1:16" x14ac:dyDescent="0.3">
      <c r="A846" s="2" t="e">
        <f>'Converted Diagram'!$J$1673</f>
        <v>#VALUE!</v>
      </c>
      <c r="B846" s="1" t="s">
        <v>32</v>
      </c>
      <c r="C846" s="2">
        <v>0</v>
      </c>
      <c r="I846" s="2" t="s">
        <v>217</v>
      </c>
      <c r="J846" s="2">
        <f>'Converted Diagram'!$I$1673</f>
        <v>0</v>
      </c>
      <c r="K846" s="2" t="e">
        <f>'Converted Diagram'!$I$1672</f>
        <v>#VALUE!</v>
      </c>
      <c r="L846" s="2" t="s">
        <v>1054</v>
      </c>
      <c r="M846" s="2">
        <v>0</v>
      </c>
      <c r="O846" s="2" t="str">
        <f>'Converted Diagram'!$J$1672</f>
        <v>Reduce Commute Time</v>
      </c>
      <c r="P846" s="2" t="b">
        <v>0</v>
      </c>
    </row>
    <row r="847" spans="1:16" x14ac:dyDescent="0.3">
      <c r="A847" s="2" t="e">
        <f>'Converted Diagram'!$K$1675</f>
        <v>#VALUE!</v>
      </c>
      <c r="B847" s="1" t="s">
        <v>219</v>
      </c>
      <c r="C847" s="2">
        <v>0</v>
      </c>
      <c r="I847" s="2" t="s">
        <v>217</v>
      </c>
      <c r="J847" s="2">
        <f>'Converted Diagram'!$J$1675</f>
        <v>0</v>
      </c>
      <c r="K847" s="2" t="e">
        <f>'Converted Diagram'!$J$1674</f>
        <v>#VALUE!</v>
      </c>
      <c r="L847" s="2" t="s">
        <v>1055</v>
      </c>
      <c r="M847" s="2">
        <v>0</v>
      </c>
      <c r="O847" s="2" t="str">
        <f>'Converted Diagram'!$K$1674</f>
        <v>Reduce overall rent</v>
      </c>
      <c r="P847" s="2" t="b">
        <v>0</v>
      </c>
    </row>
    <row r="848" spans="1:16" x14ac:dyDescent="0.3">
      <c r="A848" s="2" t="e">
        <f>'Converted Diagram'!$L$1677</f>
        <v>#VALUE!</v>
      </c>
      <c r="B848" s="1" t="s">
        <v>219</v>
      </c>
      <c r="C848" s="2">
        <v>0</v>
      </c>
      <c r="I848" s="2" t="s">
        <v>217</v>
      </c>
      <c r="J848" s="2">
        <f>'Converted Diagram'!$K$1677</f>
        <v>0</v>
      </c>
      <c r="K848" s="2" t="e">
        <f>'Converted Diagram'!$K$1676</f>
        <v>#VALUE!</v>
      </c>
      <c r="L848" s="2" t="s">
        <v>1056</v>
      </c>
      <c r="M848" s="2">
        <v>0</v>
      </c>
      <c r="O848" s="2" t="str">
        <f>'Converted Diagram'!$L$1676</f>
        <v>Increase Overall Convenience</v>
      </c>
      <c r="P848" s="2" t="b">
        <v>0</v>
      </c>
    </row>
    <row r="849" spans="1:16" x14ac:dyDescent="0.3">
      <c r="A849" s="2" t="e">
        <f>'Converted Diagram'!$M$1679</f>
        <v>#VALUE!</v>
      </c>
      <c r="B849" s="1" t="s">
        <v>219</v>
      </c>
      <c r="C849" s="2">
        <v>0</v>
      </c>
      <c r="I849" s="2" t="e">
        <v>#VALUE!</v>
      </c>
      <c r="J849" s="2">
        <f>'Converted Diagram'!$L$1679</f>
        <v>0</v>
      </c>
      <c r="K849" s="2" t="e">
        <f>'Converted Diagram'!$L$1678</f>
        <v>#VALUE!</v>
      </c>
      <c r="L849" s="2" t="s">
        <v>1057</v>
      </c>
      <c r="M849" s="2">
        <v>0</v>
      </c>
      <c r="P849" s="2" t="b">
        <v>0</v>
      </c>
    </row>
    <row r="850" spans="1:16" x14ac:dyDescent="0.3">
      <c r="A850" s="2" t="e">
        <f>'Converted Diagram'!$F$1681</f>
        <v>#VALUE!</v>
      </c>
      <c r="B850" s="1" t="s">
        <v>31</v>
      </c>
      <c r="C850" s="2">
        <v>0</v>
      </c>
      <c r="I850" s="2" t="s">
        <v>217</v>
      </c>
      <c r="J850" s="2">
        <f>'Converted Diagram'!$E$1681</f>
        <v>0</v>
      </c>
      <c r="K850" s="2" t="e">
        <f>'Converted Diagram'!$E$1680</f>
        <v>#VALUE!</v>
      </c>
      <c r="L850" s="2" t="s">
        <v>1058</v>
      </c>
      <c r="M850" s="2">
        <v>0</v>
      </c>
      <c r="O850" s="2" t="str">
        <f>'Converted Diagram'!$F$1680</f>
        <v>Utilities</v>
      </c>
      <c r="P850" s="2" t="b">
        <v>0</v>
      </c>
    </row>
    <row r="851" spans="1:16" x14ac:dyDescent="0.3">
      <c r="A851" s="2" t="e">
        <f>'Converted Diagram'!$J$1683</f>
        <v>#VALUE!</v>
      </c>
      <c r="B851" s="1" t="s">
        <v>31</v>
      </c>
      <c r="C851" s="2">
        <v>0</v>
      </c>
      <c r="I851" s="2" t="s">
        <v>217</v>
      </c>
      <c r="J851" s="2">
        <f>'Converted Diagram'!$I$1683</f>
        <v>0</v>
      </c>
      <c r="K851" s="2" t="e">
        <f>'Converted Diagram'!$I$1682</f>
        <v>#VALUE!</v>
      </c>
      <c r="L851" s="2" t="s">
        <v>1059</v>
      </c>
      <c r="M851" s="2">
        <v>0</v>
      </c>
      <c r="O851" s="2" t="str">
        <f>'Converted Diagram'!$J$1682</f>
        <v>Reduce Commute Time</v>
      </c>
      <c r="P851" s="2" t="b">
        <v>0</v>
      </c>
    </row>
    <row r="852" spans="1:16" x14ac:dyDescent="0.3">
      <c r="A852" s="2" t="e">
        <f>'Converted Diagram'!$K$1685</f>
        <v>#VALUE!</v>
      </c>
      <c r="B852" s="1" t="s">
        <v>219</v>
      </c>
      <c r="C852" s="2">
        <v>0</v>
      </c>
      <c r="I852" s="2" t="s">
        <v>217</v>
      </c>
      <c r="J852" s="2">
        <f>'Converted Diagram'!$J$1685</f>
        <v>0</v>
      </c>
      <c r="K852" s="2" t="e">
        <f>'Converted Diagram'!$J$1684</f>
        <v>#VALUE!</v>
      </c>
      <c r="L852" s="2" t="s">
        <v>1060</v>
      </c>
      <c r="M852" s="2">
        <v>0</v>
      </c>
      <c r="O852" s="2" t="str">
        <f>'Converted Diagram'!$K$1684</f>
        <v>Reduce overall rent</v>
      </c>
      <c r="P852" s="2" t="b">
        <v>0</v>
      </c>
    </row>
    <row r="853" spans="1:16" x14ac:dyDescent="0.3">
      <c r="A853" s="2" t="e">
        <f>'Converted Diagram'!$L$1687</f>
        <v>#VALUE!</v>
      </c>
      <c r="B853" s="1" t="s">
        <v>219</v>
      </c>
      <c r="C853" s="2">
        <v>0</v>
      </c>
      <c r="I853" s="2" t="s">
        <v>217</v>
      </c>
      <c r="J853" s="2">
        <f>'Converted Diagram'!$K$1687</f>
        <v>0</v>
      </c>
      <c r="K853" s="2" t="e">
        <f>'Converted Diagram'!$K$1686</f>
        <v>#VALUE!</v>
      </c>
      <c r="L853" s="2" t="s">
        <v>1061</v>
      </c>
      <c r="M853" s="2">
        <v>0</v>
      </c>
      <c r="O853" s="2" t="str">
        <f>'Converted Diagram'!$L$1686</f>
        <v>Increase Overall Convenience</v>
      </c>
      <c r="P853" s="2" t="b">
        <v>0</v>
      </c>
    </row>
    <row r="854" spans="1:16" x14ac:dyDescent="0.3">
      <c r="A854" s="2" t="e">
        <f>'Converted Diagram'!$M$1689</f>
        <v>#VALUE!</v>
      </c>
      <c r="B854" s="1" t="s">
        <v>219</v>
      </c>
      <c r="C854" s="2">
        <v>0</v>
      </c>
      <c r="I854" s="2" t="e">
        <v>#VALUE!</v>
      </c>
      <c r="J854" s="2">
        <f>'Converted Diagram'!$L$1689</f>
        <v>0</v>
      </c>
      <c r="K854" s="2" t="e">
        <f>'Converted Diagram'!$L$1688</f>
        <v>#VALUE!</v>
      </c>
      <c r="L854" s="2" t="s">
        <v>1062</v>
      </c>
      <c r="M854" s="2">
        <v>0</v>
      </c>
      <c r="P854" s="2" t="b">
        <v>0</v>
      </c>
    </row>
    <row r="855" spans="1:16" x14ac:dyDescent="0.3">
      <c r="A855" s="2" t="e">
        <f>'Converted Diagram'!$I$1691</f>
        <v>#VALUE!</v>
      </c>
      <c r="B855" s="1" t="s">
        <v>31</v>
      </c>
      <c r="C855" s="2">
        <v>0</v>
      </c>
      <c r="I855" s="2" t="s">
        <v>217</v>
      </c>
      <c r="J855" s="2">
        <f>'Converted Diagram'!$H$1691</f>
        <v>0</v>
      </c>
      <c r="K855" s="2" t="e">
        <f>'Converted Diagram'!$H$1690</f>
        <v>#VALUE!</v>
      </c>
      <c r="L855" s="2" t="s">
        <v>1063</v>
      </c>
      <c r="M855" s="2">
        <v>0</v>
      </c>
      <c r="O855" s="2" t="str">
        <f>'Converted Diagram'!$I$1690</f>
        <v>Floor</v>
      </c>
      <c r="P855" s="2" t="b">
        <v>0</v>
      </c>
    </row>
    <row r="856" spans="1:16" x14ac:dyDescent="0.3">
      <c r="A856" s="2" t="e">
        <f>'Converted Diagram'!$J$1693</f>
        <v>#VALUE!</v>
      </c>
      <c r="B856" s="1" t="s">
        <v>32</v>
      </c>
      <c r="C856" s="2">
        <v>0</v>
      </c>
      <c r="I856" s="2" t="s">
        <v>217</v>
      </c>
      <c r="J856" s="2">
        <f>'Converted Diagram'!$I$1693</f>
        <v>0</v>
      </c>
      <c r="K856" s="2" t="e">
        <f>'Converted Diagram'!$I$1692</f>
        <v>#VALUE!</v>
      </c>
      <c r="L856" s="2" t="s">
        <v>1064</v>
      </c>
      <c r="M856" s="2">
        <v>0</v>
      </c>
      <c r="O856" s="2" t="str">
        <f>'Converted Diagram'!$J$1692</f>
        <v>Reduce Commute Time</v>
      </c>
      <c r="P856" s="2" t="b">
        <v>0</v>
      </c>
    </row>
    <row r="857" spans="1:16" x14ac:dyDescent="0.3">
      <c r="A857" s="2" t="e">
        <f>'Converted Diagram'!$K$1695</f>
        <v>#VALUE!</v>
      </c>
      <c r="B857" s="1" t="s">
        <v>219</v>
      </c>
      <c r="C857" s="2">
        <v>0</v>
      </c>
      <c r="I857" s="2" t="s">
        <v>217</v>
      </c>
      <c r="J857" s="2">
        <f>'Converted Diagram'!$J$1695</f>
        <v>0</v>
      </c>
      <c r="K857" s="2" t="e">
        <f>'Converted Diagram'!$J$1694</f>
        <v>#VALUE!</v>
      </c>
      <c r="L857" s="2" t="s">
        <v>1065</v>
      </c>
      <c r="M857" s="2">
        <v>0</v>
      </c>
      <c r="O857" s="2" t="str">
        <f>'Converted Diagram'!$K$1694</f>
        <v>Reduce overall rent</v>
      </c>
      <c r="P857" s="2" t="b">
        <v>0</v>
      </c>
    </row>
    <row r="858" spans="1:16" x14ac:dyDescent="0.3">
      <c r="A858" s="2" t="e">
        <f>'Converted Diagram'!$L$1697</f>
        <v>#VALUE!</v>
      </c>
      <c r="B858" s="1" t="s">
        <v>219</v>
      </c>
      <c r="C858" s="2">
        <v>0</v>
      </c>
      <c r="I858" s="2" t="s">
        <v>217</v>
      </c>
      <c r="J858" s="2">
        <f>'Converted Diagram'!$K$1697</f>
        <v>0</v>
      </c>
      <c r="K858" s="2" t="e">
        <f>'Converted Diagram'!$K$1696</f>
        <v>#VALUE!</v>
      </c>
      <c r="L858" s="2" t="s">
        <v>1066</v>
      </c>
      <c r="M858" s="2">
        <v>0</v>
      </c>
      <c r="O858" s="2" t="str">
        <f>'Converted Diagram'!$L$1696</f>
        <v>Increase Overall Convenience</v>
      </c>
      <c r="P858" s="2" t="b">
        <v>0</v>
      </c>
    </row>
    <row r="859" spans="1:16" x14ac:dyDescent="0.3">
      <c r="A859" s="2" t="e">
        <f>'Converted Diagram'!$M$1699</f>
        <v>#VALUE!</v>
      </c>
      <c r="B859" s="1" t="s">
        <v>219</v>
      </c>
      <c r="C859" s="2">
        <v>0</v>
      </c>
      <c r="I859" s="2" t="e">
        <v>#VALUE!</v>
      </c>
      <c r="J859" s="2">
        <f>'Converted Diagram'!$L$1699</f>
        <v>0</v>
      </c>
      <c r="K859" s="2" t="e">
        <f>'Converted Diagram'!$L$1698</f>
        <v>#VALUE!</v>
      </c>
      <c r="L859" s="2" t="s">
        <v>1067</v>
      </c>
      <c r="M859" s="2">
        <v>0</v>
      </c>
      <c r="P859" s="2" t="b">
        <v>0</v>
      </c>
    </row>
    <row r="860" spans="1:16" x14ac:dyDescent="0.3">
      <c r="A860" s="2" t="e">
        <f>'Converted Diagram'!$H$1701</f>
        <v>#VALUE!</v>
      </c>
      <c r="B860" s="1" t="s">
        <v>31</v>
      </c>
      <c r="C860" s="2">
        <v>0</v>
      </c>
      <c r="I860" s="2" t="s">
        <v>217</v>
      </c>
      <c r="J860" s="2">
        <f>'Converted Diagram'!$G$1701</f>
        <v>0</v>
      </c>
      <c r="K860" s="2" t="e">
        <f>'Converted Diagram'!$G$1700</f>
        <v>#VALUE!</v>
      </c>
      <c r="L860" s="2" t="s">
        <v>1068</v>
      </c>
      <c r="M860" s="2">
        <v>0</v>
      </c>
      <c r="O860" s="2" t="str">
        <f>'Converted Diagram'!$H$1700</f>
        <v>Wi-Fi &amp; Cable Ready</v>
      </c>
      <c r="P860" s="2" t="b">
        <v>0</v>
      </c>
    </row>
    <row r="861" spans="1:16" x14ac:dyDescent="0.3">
      <c r="A861" s="2" t="e">
        <f>'Converted Diagram'!$J$1703</f>
        <v>#VALUE!</v>
      </c>
      <c r="B861" s="1" t="s">
        <v>31</v>
      </c>
      <c r="C861" s="2">
        <v>0</v>
      </c>
      <c r="I861" s="2" t="s">
        <v>217</v>
      </c>
      <c r="J861" s="2">
        <f>'Converted Diagram'!$I$1703</f>
        <v>0</v>
      </c>
      <c r="K861" s="2" t="e">
        <f>'Converted Diagram'!$I$1702</f>
        <v>#VALUE!</v>
      </c>
      <c r="L861" s="2" t="s">
        <v>1069</v>
      </c>
      <c r="M861" s="2">
        <v>0</v>
      </c>
      <c r="O861" s="2" t="str">
        <f>'Converted Diagram'!$J$1702</f>
        <v>Reduce Commute Time</v>
      </c>
      <c r="P861" s="2" t="b">
        <v>0</v>
      </c>
    </row>
    <row r="862" spans="1:16" x14ac:dyDescent="0.3">
      <c r="A862" s="2" t="e">
        <f>'Converted Diagram'!$K$1705</f>
        <v>#VALUE!</v>
      </c>
      <c r="B862" s="1" t="s">
        <v>219</v>
      </c>
      <c r="C862" s="2">
        <v>0</v>
      </c>
      <c r="I862" s="2" t="s">
        <v>217</v>
      </c>
      <c r="J862" s="2">
        <f>'Converted Diagram'!$J$1705</f>
        <v>0</v>
      </c>
      <c r="K862" s="2" t="e">
        <f>'Converted Diagram'!$J$1704</f>
        <v>#VALUE!</v>
      </c>
      <c r="L862" s="2" t="s">
        <v>1070</v>
      </c>
      <c r="M862" s="2">
        <v>0</v>
      </c>
      <c r="O862" s="2" t="str">
        <f>'Converted Diagram'!$K$1704</f>
        <v>Reduce overall rent</v>
      </c>
      <c r="P862" s="2" t="b">
        <v>0</v>
      </c>
    </row>
    <row r="863" spans="1:16" x14ac:dyDescent="0.3">
      <c r="A863" s="2" t="e">
        <f>'Converted Diagram'!$L$1707</f>
        <v>#VALUE!</v>
      </c>
      <c r="B863" s="1" t="s">
        <v>219</v>
      </c>
      <c r="C863" s="2">
        <v>0</v>
      </c>
      <c r="I863" s="2" t="s">
        <v>217</v>
      </c>
      <c r="J863" s="2">
        <f>'Converted Diagram'!$K$1707</f>
        <v>0</v>
      </c>
      <c r="K863" s="2" t="e">
        <f>'Converted Diagram'!$K$1706</f>
        <v>#VALUE!</v>
      </c>
      <c r="L863" s="2" t="s">
        <v>1071</v>
      </c>
      <c r="M863" s="2">
        <v>0</v>
      </c>
      <c r="O863" s="2" t="str">
        <f>'Converted Diagram'!$L$1706</f>
        <v>Increase Overall Convenience</v>
      </c>
      <c r="P863" s="2" t="b">
        <v>0</v>
      </c>
    </row>
    <row r="864" spans="1:16" x14ac:dyDescent="0.3">
      <c r="A864" s="2" t="e">
        <f>'Converted Diagram'!$M$1709</f>
        <v>#VALUE!</v>
      </c>
      <c r="B864" s="1" t="s">
        <v>219</v>
      </c>
      <c r="C864" s="2">
        <v>0</v>
      </c>
      <c r="I864" s="2" t="e">
        <v>#VALUE!</v>
      </c>
      <c r="J864" s="2">
        <f>'Converted Diagram'!$L$1709</f>
        <v>0</v>
      </c>
      <c r="K864" s="2" t="e">
        <f>'Converted Diagram'!$L$1708</f>
        <v>#VALUE!</v>
      </c>
      <c r="L864" s="2" t="s">
        <v>1072</v>
      </c>
      <c r="M864" s="2">
        <v>0</v>
      </c>
      <c r="P864" s="2" t="b">
        <v>0</v>
      </c>
    </row>
    <row r="865" spans="1:16" x14ac:dyDescent="0.3">
      <c r="A865" s="2" t="e">
        <f>'Converted Diagram'!$I$1711</f>
        <v>#VALUE!</v>
      </c>
      <c r="B865" s="1" t="s">
        <v>32</v>
      </c>
      <c r="C865" s="2">
        <v>0</v>
      </c>
      <c r="I865" s="2" t="s">
        <v>217</v>
      </c>
      <c r="J865" s="2">
        <f>'Converted Diagram'!$H$1711</f>
        <v>0</v>
      </c>
      <c r="K865" s="2" t="e">
        <f>'Converted Diagram'!$H$1710</f>
        <v>#VALUE!</v>
      </c>
      <c r="L865" s="2" t="s">
        <v>1073</v>
      </c>
      <c r="M865" s="2">
        <v>0</v>
      </c>
      <c r="O865" s="2" t="str">
        <f>'Converted Diagram'!$I$1710</f>
        <v>Floor</v>
      </c>
      <c r="P865" s="2" t="b">
        <v>0</v>
      </c>
    </row>
    <row r="866" spans="1:16" x14ac:dyDescent="0.3">
      <c r="A866" s="2" t="e">
        <f>'Converted Diagram'!$J$1713</f>
        <v>#VALUE!</v>
      </c>
      <c r="B866" s="1" t="s">
        <v>32</v>
      </c>
      <c r="C866" s="2">
        <v>0</v>
      </c>
      <c r="I866" s="2" t="s">
        <v>217</v>
      </c>
      <c r="J866" s="2">
        <f>'Converted Diagram'!$I$1713</f>
        <v>0</v>
      </c>
      <c r="K866" s="2" t="e">
        <f>'Converted Diagram'!$I$1712</f>
        <v>#VALUE!</v>
      </c>
      <c r="L866" s="2" t="s">
        <v>1074</v>
      </c>
      <c r="M866" s="2">
        <v>0</v>
      </c>
      <c r="O866" s="2" t="str">
        <f>'Converted Diagram'!$J$1712</f>
        <v>Reduce Commute Time</v>
      </c>
      <c r="P866" s="2" t="b">
        <v>0</v>
      </c>
    </row>
    <row r="867" spans="1:16" x14ac:dyDescent="0.3">
      <c r="A867" s="2" t="e">
        <f>'Converted Diagram'!$K$1715</f>
        <v>#VALUE!</v>
      </c>
      <c r="B867" s="1" t="s">
        <v>219</v>
      </c>
      <c r="C867" s="2">
        <v>0</v>
      </c>
      <c r="I867" s="2" t="s">
        <v>217</v>
      </c>
      <c r="J867" s="2">
        <f>'Converted Diagram'!$J$1715</f>
        <v>0</v>
      </c>
      <c r="K867" s="2" t="e">
        <f>'Converted Diagram'!$J$1714</f>
        <v>#VALUE!</v>
      </c>
      <c r="L867" s="2" t="s">
        <v>1075</v>
      </c>
      <c r="M867" s="2">
        <v>0</v>
      </c>
      <c r="O867" s="2" t="str">
        <f>'Converted Diagram'!$K$1714</f>
        <v>Reduce overall rent</v>
      </c>
      <c r="P867" s="2" t="b">
        <v>0</v>
      </c>
    </row>
    <row r="868" spans="1:16" x14ac:dyDescent="0.3">
      <c r="A868" s="2" t="e">
        <f>'Converted Diagram'!$L$1717</f>
        <v>#VALUE!</v>
      </c>
      <c r="B868" s="1" t="s">
        <v>219</v>
      </c>
      <c r="C868" s="2">
        <v>0</v>
      </c>
      <c r="I868" s="2" t="s">
        <v>217</v>
      </c>
      <c r="J868" s="2">
        <f>'Converted Diagram'!$K$1717</f>
        <v>0</v>
      </c>
      <c r="K868" s="2" t="e">
        <f>'Converted Diagram'!$K$1716</f>
        <v>#VALUE!</v>
      </c>
      <c r="L868" s="2" t="s">
        <v>1076</v>
      </c>
      <c r="M868" s="2">
        <v>0</v>
      </c>
      <c r="O868" s="2" t="str">
        <f>'Converted Diagram'!$L$1716</f>
        <v>Increase Overall Convenience</v>
      </c>
      <c r="P868" s="2" t="b">
        <v>0</v>
      </c>
    </row>
    <row r="869" spans="1:16" x14ac:dyDescent="0.3">
      <c r="A869" s="2" t="e">
        <f>'Converted Diagram'!$M$1719</f>
        <v>#VALUE!</v>
      </c>
      <c r="B869" s="1" t="s">
        <v>219</v>
      </c>
      <c r="C869" s="2">
        <v>0</v>
      </c>
      <c r="I869" s="2" t="e">
        <v>#VALUE!</v>
      </c>
      <c r="J869" s="2">
        <f>'Converted Diagram'!$L$1719</f>
        <v>0</v>
      </c>
      <c r="K869" s="2" t="e">
        <f>'Converted Diagram'!$L$1718</f>
        <v>#VALUE!</v>
      </c>
      <c r="L869" s="2" t="s">
        <v>1077</v>
      </c>
      <c r="M869" s="2">
        <v>0</v>
      </c>
      <c r="P869" s="2" t="b">
        <v>0</v>
      </c>
    </row>
    <row r="870" spans="1:16" x14ac:dyDescent="0.3">
      <c r="A870" s="2" t="e">
        <f>'Converted Diagram'!$G$1721</f>
        <v>#VALUE!</v>
      </c>
      <c r="B870" s="1" t="s">
        <v>32</v>
      </c>
      <c r="C870" s="2">
        <v>0</v>
      </c>
      <c r="I870" s="2" t="s">
        <v>217</v>
      </c>
      <c r="J870" s="2">
        <f>'Converted Diagram'!$F$1721</f>
        <v>0</v>
      </c>
      <c r="K870" s="2" t="e">
        <f>'Converted Diagram'!$F$1720</f>
        <v>#VALUE!</v>
      </c>
      <c r="L870" s="2" t="s">
        <v>1078</v>
      </c>
      <c r="M870" s="2">
        <v>0</v>
      </c>
      <c r="O870" s="2" t="str">
        <f>'Converted Diagram'!$G$1720</f>
        <v>Grocery Store</v>
      </c>
      <c r="P870" s="2" t="b">
        <v>0</v>
      </c>
    </row>
    <row r="871" spans="1:16" x14ac:dyDescent="0.3">
      <c r="A871" s="2" t="e">
        <f>'Converted Diagram'!$J$1723</f>
        <v>#VALUE!</v>
      </c>
      <c r="B871" s="1" t="s">
        <v>31</v>
      </c>
      <c r="C871" s="2">
        <v>0</v>
      </c>
      <c r="I871" s="2" t="s">
        <v>217</v>
      </c>
      <c r="J871" s="2">
        <f>'Converted Diagram'!$I$1723</f>
        <v>0</v>
      </c>
      <c r="K871" s="2" t="e">
        <f>'Converted Diagram'!$I$1722</f>
        <v>#VALUE!</v>
      </c>
      <c r="L871" s="2" t="s">
        <v>1079</v>
      </c>
      <c r="M871" s="2">
        <v>0</v>
      </c>
      <c r="O871" s="2" t="str">
        <f>'Converted Diagram'!$J$1722</f>
        <v>Reduce Commute Time</v>
      </c>
      <c r="P871" s="2" t="b">
        <v>0</v>
      </c>
    </row>
    <row r="872" spans="1:16" x14ac:dyDescent="0.3">
      <c r="A872" s="2" t="e">
        <f>'Converted Diagram'!$K$1725</f>
        <v>#VALUE!</v>
      </c>
      <c r="B872" s="1" t="s">
        <v>219</v>
      </c>
      <c r="C872" s="2">
        <v>0</v>
      </c>
      <c r="I872" s="2" t="s">
        <v>217</v>
      </c>
      <c r="J872" s="2">
        <f>'Converted Diagram'!$J$1725</f>
        <v>0</v>
      </c>
      <c r="K872" s="2" t="e">
        <f>'Converted Diagram'!$J$1724</f>
        <v>#VALUE!</v>
      </c>
      <c r="L872" s="2" t="s">
        <v>1080</v>
      </c>
      <c r="M872" s="2">
        <v>0</v>
      </c>
      <c r="O872" s="2" t="str">
        <f>'Converted Diagram'!$K$1724</f>
        <v>Reduce overall rent</v>
      </c>
      <c r="P872" s="2" t="b">
        <v>0</v>
      </c>
    </row>
    <row r="873" spans="1:16" x14ac:dyDescent="0.3">
      <c r="A873" s="2" t="e">
        <f>'Converted Diagram'!$L$1727</f>
        <v>#VALUE!</v>
      </c>
      <c r="B873" s="1" t="s">
        <v>219</v>
      </c>
      <c r="C873" s="2">
        <v>0</v>
      </c>
      <c r="I873" s="2" t="s">
        <v>217</v>
      </c>
      <c r="J873" s="2">
        <f>'Converted Diagram'!$K$1727</f>
        <v>0</v>
      </c>
      <c r="K873" s="2" t="e">
        <f>'Converted Diagram'!$K$1726</f>
        <v>#VALUE!</v>
      </c>
      <c r="L873" s="2" t="s">
        <v>1081</v>
      </c>
      <c r="M873" s="2">
        <v>0</v>
      </c>
      <c r="O873" s="2" t="str">
        <f>'Converted Diagram'!$L$1726</f>
        <v>Increase Overall Convenience</v>
      </c>
      <c r="P873" s="2" t="b">
        <v>0</v>
      </c>
    </row>
    <row r="874" spans="1:16" x14ac:dyDescent="0.3">
      <c r="A874" s="2" t="e">
        <f>'Converted Diagram'!$M$1729</f>
        <v>#VALUE!</v>
      </c>
      <c r="B874" s="1" t="s">
        <v>219</v>
      </c>
      <c r="C874" s="2">
        <v>0</v>
      </c>
      <c r="I874" s="2" t="e">
        <v>#VALUE!</v>
      </c>
      <c r="J874" s="2">
        <f>'Converted Diagram'!$L$1729</f>
        <v>0</v>
      </c>
      <c r="K874" s="2" t="e">
        <f>'Converted Diagram'!$L$1728</f>
        <v>#VALUE!</v>
      </c>
      <c r="L874" s="2" t="s">
        <v>1082</v>
      </c>
      <c r="M874" s="2">
        <v>0</v>
      </c>
      <c r="P874" s="2" t="b">
        <v>0</v>
      </c>
    </row>
    <row r="875" spans="1:16" x14ac:dyDescent="0.3">
      <c r="A875" s="2" t="e">
        <f>'Converted Diagram'!$I$1731</f>
        <v>#VALUE!</v>
      </c>
      <c r="B875" s="1" t="s">
        <v>31</v>
      </c>
      <c r="C875" s="2">
        <v>0</v>
      </c>
      <c r="I875" s="2" t="s">
        <v>217</v>
      </c>
      <c r="J875" s="2">
        <f>'Converted Diagram'!$H$1731</f>
        <v>0</v>
      </c>
      <c r="K875" s="2" t="e">
        <f>'Converted Diagram'!$H$1730</f>
        <v>#VALUE!</v>
      </c>
      <c r="L875" s="2" t="s">
        <v>1083</v>
      </c>
      <c r="M875" s="2">
        <v>0</v>
      </c>
      <c r="O875" s="2" t="str">
        <f>'Converted Diagram'!$I$1730</f>
        <v>Floor</v>
      </c>
      <c r="P875" s="2" t="b">
        <v>0</v>
      </c>
    </row>
    <row r="876" spans="1:16" x14ac:dyDescent="0.3">
      <c r="A876" s="2" t="e">
        <f>'Converted Diagram'!$J$1733</f>
        <v>#VALUE!</v>
      </c>
      <c r="B876" s="1" t="s">
        <v>32</v>
      </c>
      <c r="C876" s="2">
        <v>0</v>
      </c>
      <c r="I876" s="2" t="s">
        <v>217</v>
      </c>
      <c r="J876" s="2">
        <f>'Converted Diagram'!$I$1733</f>
        <v>0</v>
      </c>
      <c r="K876" s="2" t="e">
        <f>'Converted Diagram'!$I$1732</f>
        <v>#VALUE!</v>
      </c>
      <c r="L876" s="2" t="s">
        <v>1084</v>
      </c>
      <c r="M876" s="2">
        <v>0</v>
      </c>
      <c r="O876" s="2" t="str">
        <f>'Converted Diagram'!$J$1732</f>
        <v>Reduce Commute Time</v>
      </c>
      <c r="P876" s="2" t="b">
        <v>0</v>
      </c>
    </row>
    <row r="877" spans="1:16" x14ac:dyDescent="0.3">
      <c r="A877" s="2" t="e">
        <f>'Converted Diagram'!$K$1735</f>
        <v>#VALUE!</v>
      </c>
      <c r="B877" s="1" t="s">
        <v>219</v>
      </c>
      <c r="C877" s="2">
        <v>0</v>
      </c>
      <c r="I877" s="2" t="s">
        <v>217</v>
      </c>
      <c r="J877" s="2">
        <f>'Converted Diagram'!$J$1735</f>
        <v>0</v>
      </c>
      <c r="K877" s="2" t="e">
        <f>'Converted Diagram'!$J$1734</f>
        <v>#VALUE!</v>
      </c>
      <c r="L877" s="2" t="s">
        <v>1085</v>
      </c>
      <c r="M877" s="2">
        <v>0</v>
      </c>
      <c r="O877" s="2" t="str">
        <f>'Converted Diagram'!$K$1734</f>
        <v>Reduce overall rent</v>
      </c>
      <c r="P877" s="2" t="b">
        <v>0</v>
      </c>
    </row>
    <row r="878" spans="1:16" x14ac:dyDescent="0.3">
      <c r="A878" s="2" t="e">
        <f>'Converted Diagram'!$L$1737</f>
        <v>#VALUE!</v>
      </c>
      <c r="B878" s="1" t="s">
        <v>219</v>
      </c>
      <c r="C878" s="2">
        <v>0</v>
      </c>
      <c r="I878" s="2" t="s">
        <v>217</v>
      </c>
      <c r="J878" s="2">
        <f>'Converted Diagram'!$K$1737</f>
        <v>0</v>
      </c>
      <c r="K878" s="2" t="e">
        <f>'Converted Diagram'!$K$1736</f>
        <v>#VALUE!</v>
      </c>
      <c r="L878" s="2" t="s">
        <v>1086</v>
      </c>
      <c r="M878" s="2">
        <v>0</v>
      </c>
      <c r="O878" s="2" t="str">
        <f>'Converted Diagram'!$L$1736</f>
        <v>Increase Overall Convenience</v>
      </c>
      <c r="P878" s="2" t="b">
        <v>0</v>
      </c>
    </row>
    <row r="879" spans="1:16" x14ac:dyDescent="0.3">
      <c r="A879" s="2" t="e">
        <f>'Converted Diagram'!$M$1739</f>
        <v>#VALUE!</v>
      </c>
      <c r="B879" s="1" t="s">
        <v>219</v>
      </c>
      <c r="C879" s="2">
        <v>0</v>
      </c>
      <c r="I879" s="2" t="e">
        <v>#VALUE!</v>
      </c>
      <c r="J879" s="2">
        <f>'Converted Diagram'!$L$1739</f>
        <v>0</v>
      </c>
      <c r="K879" s="2" t="e">
        <f>'Converted Diagram'!$L$1738</f>
        <v>#VALUE!</v>
      </c>
      <c r="L879" s="2" t="s">
        <v>1087</v>
      </c>
      <c r="M879" s="2">
        <v>0</v>
      </c>
      <c r="P879" s="2" t="b">
        <v>0</v>
      </c>
    </row>
    <row r="880" spans="1:16" x14ac:dyDescent="0.3">
      <c r="A880" s="2" t="e">
        <f>'Converted Diagram'!$H$1741</f>
        <v>#VALUE!</v>
      </c>
      <c r="B880" s="1" t="s">
        <v>32</v>
      </c>
      <c r="C880" s="2">
        <v>0</v>
      </c>
      <c r="I880" s="2" t="s">
        <v>217</v>
      </c>
      <c r="J880" s="2">
        <f>'Converted Diagram'!$G$1741</f>
        <v>0</v>
      </c>
      <c r="K880" s="2" t="e">
        <f>'Converted Diagram'!$G$1740</f>
        <v>#VALUE!</v>
      </c>
      <c r="L880" s="2" t="s">
        <v>1088</v>
      </c>
      <c r="M880" s="2">
        <v>0</v>
      </c>
      <c r="O880" s="2" t="str">
        <f>'Converted Diagram'!$H$1740</f>
        <v>Wi-Fi &amp; Cable Ready</v>
      </c>
      <c r="P880" s="2" t="b">
        <v>0</v>
      </c>
    </row>
    <row r="881" spans="1:16" x14ac:dyDescent="0.3">
      <c r="A881" s="2" t="e">
        <f>'Converted Diagram'!$J$1743</f>
        <v>#VALUE!</v>
      </c>
      <c r="B881" s="1" t="s">
        <v>31</v>
      </c>
      <c r="C881" s="2">
        <v>0</v>
      </c>
      <c r="I881" s="2" t="s">
        <v>217</v>
      </c>
      <c r="J881" s="2">
        <f>'Converted Diagram'!$I$1743</f>
        <v>0</v>
      </c>
      <c r="K881" s="2" t="e">
        <f>'Converted Diagram'!$I$1742</f>
        <v>#VALUE!</v>
      </c>
      <c r="L881" s="2" t="s">
        <v>1089</v>
      </c>
      <c r="M881" s="2">
        <v>0</v>
      </c>
      <c r="O881" s="2" t="str">
        <f>'Converted Diagram'!$J$1742</f>
        <v>Reduce Commute Time</v>
      </c>
      <c r="P881" s="2" t="b">
        <v>0</v>
      </c>
    </row>
    <row r="882" spans="1:16" x14ac:dyDescent="0.3">
      <c r="A882" s="2" t="e">
        <f>'Converted Diagram'!$K$1745</f>
        <v>#VALUE!</v>
      </c>
      <c r="B882" s="1" t="s">
        <v>219</v>
      </c>
      <c r="C882" s="2">
        <v>0</v>
      </c>
      <c r="I882" s="2" t="s">
        <v>217</v>
      </c>
      <c r="J882" s="2">
        <f>'Converted Diagram'!$J$1745</f>
        <v>0</v>
      </c>
      <c r="K882" s="2" t="e">
        <f>'Converted Diagram'!$J$1744</f>
        <v>#VALUE!</v>
      </c>
      <c r="L882" s="2" t="s">
        <v>1090</v>
      </c>
      <c r="M882" s="2">
        <v>0</v>
      </c>
      <c r="O882" s="2" t="str">
        <f>'Converted Diagram'!$K$1744</f>
        <v>Reduce overall rent</v>
      </c>
      <c r="P882" s="2" t="b">
        <v>0</v>
      </c>
    </row>
    <row r="883" spans="1:16" x14ac:dyDescent="0.3">
      <c r="A883" s="2" t="e">
        <f>'Converted Diagram'!$L$1747</f>
        <v>#VALUE!</v>
      </c>
      <c r="B883" s="1" t="s">
        <v>219</v>
      </c>
      <c r="C883" s="2">
        <v>0</v>
      </c>
      <c r="I883" s="2" t="s">
        <v>217</v>
      </c>
      <c r="J883" s="2">
        <f>'Converted Diagram'!$K$1747</f>
        <v>0</v>
      </c>
      <c r="K883" s="2" t="e">
        <f>'Converted Diagram'!$K$1746</f>
        <v>#VALUE!</v>
      </c>
      <c r="L883" s="2" t="s">
        <v>1091</v>
      </c>
      <c r="M883" s="2">
        <v>0</v>
      </c>
      <c r="O883" s="2" t="str">
        <f>'Converted Diagram'!$L$1746</f>
        <v>Increase Overall Convenience</v>
      </c>
      <c r="P883" s="2" t="b">
        <v>0</v>
      </c>
    </row>
    <row r="884" spans="1:16" x14ac:dyDescent="0.3">
      <c r="A884" s="2" t="e">
        <f>'Converted Diagram'!$M$1749</f>
        <v>#VALUE!</v>
      </c>
      <c r="B884" s="1" t="s">
        <v>219</v>
      </c>
      <c r="C884" s="2">
        <v>0</v>
      </c>
      <c r="I884" s="2" t="e">
        <v>#VALUE!</v>
      </c>
      <c r="J884" s="2">
        <f>'Converted Diagram'!$L$1749</f>
        <v>0</v>
      </c>
      <c r="K884" s="2" t="e">
        <f>'Converted Diagram'!$L$1748</f>
        <v>#VALUE!</v>
      </c>
      <c r="L884" s="2" t="s">
        <v>1092</v>
      </c>
      <c r="M884" s="2">
        <v>0</v>
      </c>
      <c r="P884" s="2" t="b">
        <v>0</v>
      </c>
    </row>
    <row r="885" spans="1:16" x14ac:dyDescent="0.3">
      <c r="A885" s="2" t="e">
        <f>'Converted Diagram'!$I$1751</f>
        <v>#VALUE!</v>
      </c>
      <c r="B885" s="1" t="s">
        <v>32</v>
      </c>
      <c r="C885" s="2">
        <v>0</v>
      </c>
      <c r="I885" s="2" t="s">
        <v>217</v>
      </c>
      <c r="J885" s="2">
        <f>'Converted Diagram'!$H$1751</f>
        <v>0</v>
      </c>
      <c r="K885" s="2" t="e">
        <f>'Converted Diagram'!$H$1750</f>
        <v>#VALUE!</v>
      </c>
      <c r="L885" s="2" t="s">
        <v>1093</v>
      </c>
      <c r="M885" s="2">
        <v>0</v>
      </c>
      <c r="O885" s="2" t="str">
        <f>'Converted Diagram'!$I$1750</f>
        <v>Floor</v>
      </c>
      <c r="P885" s="2" t="b">
        <v>0</v>
      </c>
    </row>
    <row r="886" spans="1:16" x14ac:dyDescent="0.3">
      <c r="A886" s="2" t="e">
        <f>'Converted Diagram'!$J$1753</f>
        <v>#VALUE!</v>
      </c>
      <c r="B886" s="1" t="s">
        <v>32</v>
      </c>
      <c r="C886" s="2">
        <v>0</v>
      </c>
      <c r="I886" s="2" t="s">
        <v>217</v>
      </c>
      <c r="J886" s="2">
        <f>'Converted Diagram'!$I$1753</f>
        <v>0</v>
      </c>
      <c r="K886" s="2" t="e">
        <f>'Converted Diagram'!$I$1752</f>
        <v>#VALUE!</v>
      </c>
      <c r="L886" s="2" t="s">
        <v>1094</v>
      </c>
      <c r="M886" s="2">
        <v>0</v>
      </c>
      <c r="O886" s="2" t="str">
        <f>'Converted Diagram'!$J$1752</f>
        <v>Reduce Commute Time</v>
      </c>
      <c r="P886" s="2" t="b">
        <v>0</v>
      </c>
    </row>
    <row r="887" spans="1:16" x14ac:dyDescent="0.3">
      <c r="A887" s="2" t="e">
        <f>'Converted Diagram'!$K$1755</f>
        <v>#VALUE!</v>
      </c>
      <c r="B887" s="1" t="s">
        <v>219</v>
      </c>
      <c r="C887" s="2">
        <v>0</v>
      </c>
      <c r="I887" s="2" t="s">
        <v>217</v>
      </c>
      <c r="J887" s="2">
        <f>'Converted Diagram'!$J$1755</f>
        <v>0</v>
      </c>
      <c r="K887" s="2" t="e">
        <f>'Converted Diagram'!$J$1754</f>
        <v>#VALUE!</v>
      </c>
      <c r="L887" s="2" t="s">
        <v>1095</v>
      </c>
      <c r="M887" s="2">
        <v>0</v>
      </c>
      <c r="O887" s="2" t="str">
        <f>'Converted Diagram'!$K$1754</f>
        <v>Reduce overall rent</v>
      </c>
      <c r="P887" s="2" t="b">
        <v>0</v>
      </c>
    </row>
    <row r="888" spans="1:16" x14ac:dyDescent="0.3">
      <c r="A888" s="2" t="e">
        <f>'Converted Diagram'!$L$1757</f>
        <v>#VALUE!</v>
      </c>
      <c r="B888" s="1" t="s">
        <v>219</v>
      </c>
      <c r="C888" s="2">
        <v>0</v>
      </c>
      <c r="I888" s="2" t="s">
        <v>217</v>
      </c>
      <c r="J888" s="2">
        <f>'Converted Diagram'!$K$1757</f>
        <v>0</v>
      </c>
      <c r="K888" s="2" t="e">
        <f>'Converted Diagram'!$K$1756</f>
        <v>#VALUE!</v>
      </c>
      <c r="L888" s="2" t="s">
        <v>1096</v>
      </c>
      <c r="M888" s="2">
        <v>0</v>
      </c>
      <c r="O888" s="2" t="str">
        <f>'Converted Diagram'!$L$1756</f>
        <v>Increase Overall Convenience</v>
      </c>
      <c r="P888" s="2" t="b">
        <v>0</v>
      </c>
    </row>
    <row r="889" spans="1:16" x14ac:dyDescent="0.3">
      <c r="A889" s="2" t="e">
        <f>'Converted Diagram'!$M$1759</f>
        <v>#VALUE!</v>
      </c>
      <c r="B889" s="1" t="s">
        <v>219</v>
      </c>
      <c r="C889" s="2">
        <v>0</v>
      </c>
      <c r="I889" s="2" t="e">
        <v>#VALUE!</v>
      </c>
      <c r="J889" s="2">
        <f>'Converted Diagram'!$L$1759</f>
        <v>0</v>
      </c>
      <c r="K889" s="2" t="e">
        <f>'Converted Diagram'!$L$1758</f>
        <v>#VALUE!</v>
      </c>
      <c r="L889" s="2" t="s">
        <v>1097</v>
      </c>
      <c r="M889" s="2">
        <v>0</v>
      </c>
      <c r="P889" s="2" t="b">
        <v>0</v>
      </c>
    </row>
    <row r="890" spans="1:16" x14ac:dyDescent="0.3">
      <c r="A890" s="2" t="e">
        <f>'Converted Diagram'!$E$1761</f>
        <v>#VALUE!</v>
      </c>
      <c r="B890" s="1" t="s">
        <v>32</v>
      </c>
      <c r="C890" s="2">
        <v>0</v>
      </c>
      <c r="I890" s="2" t="s">
        <v>217</v>
      </c>
      <c r="J890" s="2">
        <f>'Converted Diagram'!$D$1761</f>
        <v>0</v>
      </c>
      <c r="L890" s="2" t="s">
        <v>1098</v>
      </c>
      <c r="M890" s="2">
        <v>0</v>
      </c>
      <c r="O890" s="2" t="str">
        <f>'Converted Diagram'!$E$1760</f>
        <v>Nearest Transportation Station</v>
      </c>
      <c r="P890" s="2" t="b">
        <v>0</v>
      </c>
    </row>
    <row r="891" spans="1:16" x14ac:dyDescent="0.3">
      <c r="A891" s="2" t="e">
        <f>'Converted Diagram'!$J$1763</f>
        <v>#VALUE!</v>
      </c>
      <c r="B891" s="1" t="s">
        <v>31</v>
      </c>
      <c r="C891" s="2">
        <v>0</v>
      </c>
      <c r="I891" s="2" t="s">
        <v>217</v>
      </c>
      <c r="J891" s="2">
        <f>'Converted Diagram'!$I$1763</f>
        <v>0</v>
      </c>
      <c r="K891" s="2" t="e">
        <f>'Converted Diagram'!$I$1762</f>
        <v>#VALUE!</v>
      </c>
      <c r="L891" s="2" t="s">
        <v>1099</v>
      </c>
      <c r="M891" s="2">
        <v>0</v>
      </c>
      <c r="O891" s="2" t="str">
        <f>'Converted Diagram'!$J$1762</f>
        <v>Reduce Commute Time</v>
      </c>
      <c r="P891" s="2" t="b">
        <v>0</v>
      </c>
    </row>
    <row r="892" spans="1:16" x14ac:dyDescent="0.3">
      <c r="A892" s="2" t="e">
        <f>'Converted Diagram'!$K$1765</f>
        <v>#VALUE!</v>
      </c>
      <c r="B892" s="1" t="s">
        <v>219</v>
      </c>
      <c r="C892" s="2">
        <v>0</v>
      </c>
      <c r="I892" s="2" t="s">
        <v>217</v>
      </c>
      <c r="J892" s="2">
        <f>'Converted Diagram'!$J$1765</f>
        <v>0</v>
      </c>
      <c r="K892" s="2" t="e">
        <f>'Converted Diagram'!$J$1764</f>
        <v>#VALUE!</v>
      </c>
      <c r="L892" s="2" t="s">
        <v>1100</v>
      </c>
      <c r="M892" s="2">
        <v>0</v>
      </c>
      <c r="O892" s="2" t="str">
        <f>'Converted Diagram'!$K$1764</f>
        <v>Reduce overall rent</v>
      </c>
      <c r="P892" s="2" t="b">
        <v>0</v>
      </c>
    </row>
    <row r="893" spans="1:16" x14ac:dyDescent="0.3">
      <c r="A893" s="2" t="e">
        <f>'Converted Diagram'!$L$1767</f>
        <v>#VALUE!</v>
      </c>
      <c r="B893" s="1" t="s">
        <v>219</v>
      </c>
      <c r="C893" s="2">
        <v>0</v>
      </c>
      <c r="I893" s="2" t="s">
        <v>217</v>
      </c>
      <c r="J893" s="2">
        <f>'Converted Diagram'!$K$1767</f>
        <v>0</v>
      </c>
      <c r="K893" s="2" t="e">
        <f>'Converted Diagram'!$K$1766</f>
        <v>#VALUE!</v>
      </c>
      <c r="L893" s="2" t="s">
        <v>1101</v>
      </c>
      <c r="M893" s="2">
        <v>0</v>
      </c>
      <c r="O893" s="2" t="str">
        <f>'Converted Diagram'!$L$1766</f>
        <v>Increase Overall Convenience</v>
      </c>
      <c r="P893" s="2" t="b">
        <v>0</v>
      </c>
    </row>
    <row r="894" spans="1:16" x14ac:dyDescent="0.3">
      <c r="A894" s="2" t="e">
        <f>'Converted Diagram'!$M$1769</f>
        <v>#VALUE!</v>
      </c>
      <c r="B894" s="1" t="s">
        <v>219</v>
      </c>
      <c r="C894" s="2">
        <v>0</v>
      </c>
      <c r="I894" s="2" t="e">
        <v>#VALUE!</v>
      </c>
      <c r="J894" s="2">
        <f>'Converted Diagram'!$L$1769</f>
        <v>0</v>
      </c>
      <c r="K894" s="2" t="e">
        <f>'Converted Diagram'!$L$1768</f>
        <v>#VALUE!</v>
      </c>
      <c r="L894" s="2" t="s">
        <v>1102</v>
      </c>
      <c r="M894" s="2">
        <v>0</v>
      </c>
      <c r="P894" s="2" t="b">
        <v>0</v>
      </c>
    </row>
    <row r="895" spans="1:16" x14ac:dyDescent="0.3">
      <c r="A895" s="2" t="e">
        <f>'Converted Diagram'!$I$1771</f>
        <v>#VALUE!</v>
      </c>
      <c r="B895" s="1" t="s">
        <v>31</v>
      </c>
      <c r="C895" s="2">
        <v>0</v>
      </c>
      <c r="I895" s="2" t="s">
        <v>217</v>
      </c>
      <c r="J895" s="2">
        <f>'Converted Diagram'!$H$1771</f>
        <v>0</v>
      </c>
      <c r="K895" s="2" t="e">
        <f>'Converted Diagram'!$H$1770</f>
        <v>#VALUE!</v>
      </c>
      <c r="L895" s="2" t="s">
        <v>1103</v>
      </c>
      <c r="M895" s="2">
        <v>0</v>
      </c>
      <c r="O895" s="2" t="str">
        <f>'Converted Diagram'!$I$1770</f>
        <v>Floor</v>
      </c>
      <c r="P895" s="2" t="b">
        <v>0</v>
      </c>
    </row>
    <row r="896" spans="1:16" x14ac:dyDescent="0.3">
      <c r="A896" s="2" t="e">
        <f>'Converted Diagram'!$J$1773</f>
        <v>#VALUE!</v>
      </c>
      <c r="B896" s="1" t="s">
        <v>32</v>
      </c>
      <c r="C896" s="2">
        <v>0</v>
      </c>
      <c r="I896" s="2" t="s">
        <v>217</v>
      </c>
      <c r="J896" s="2">
        <f>'Converted Diagram'!$I$1773</f>
        <v>0</v>
      </c>
      <c r="K896" s="2" t="e">
        <f>'Converted Diagram'!$I$1772</f>
        <v>#VALUE!</v>
      </c>
      <c r="L896" s="2" t="s">
        <v>1104</v>
      </c>
      <c r="M896" s="2">
        <v>0</v>
      </c>
      <c r="O896" s="2" t="str">
        <f>'Converted Diagram'!$J$1772</f>
        <v>Reduce Commute Time</v>
      </c>
      <c r="P896" s="2" t="b">
        <v>0</v>
      </c>
    </row>
    <row r="897" spans="1:16" x14ac:dyDescent="0.3">
      <c r="A897" s="2" t="e">
        <f>'Converted Diagram'!$K$1775</f>
        <v>#VALUE!</v>
      </c>
      <c r="B897" s="1" t="s">
        <v>219</v>
      </c>
      <c r="C897" s="2">
        <v>0</v>
      </c>
      <c r="I897" s="2" t="s">
        <v>217</v>
      </c>
      <c r="J897" s="2">
        <f>'Converted Diagram'!$J$1775</f>
        <v>0</v>
      </c>
      <c r="K897" s="2" t="e">
        <f>'Converted Diagram'!$J$1774</f>
        <v>#VALUE!</v>
      </c>
      <c r="L897" s="2" t="s">
        <v>1105</v>
      </c>
      <c r="M897" s="2">
        <v>0</v>
      </c>
      <c r="O897" s="2" t="str">
        <f>'Converted Diagram'!$K$1774</f>
        <v>Reduce overall rent</v>
      </c>
      <c r="P897" s="2" t="b">
        <v>0</v>
      </c>
    </row>
    <row r="898" spans="1:16" x14ac:dyDescent="0.3">
      <c r="A898" s="2" t="e">
        <f>'Converted Diagram'!$L$1777</f>
        <v>#VALUE!</v>
      </c>
      <c r="B898" s="1" t="s">
        <v>219</v>
      </c>
      <c r="C898" s="2">
        <v>0</v>
      </c>
      <c r="I898" s="2" t="s">
        <v>217</v>
      </c>
      <c r="J898" s="2">
        <f>'Converted Diagram'!$K$1777</f>
        <v>0</v>
      </c>
      <c r="K898" s="2" t="e">
        <f>'Converted Diagram'!$K$1776</f>
        <v>#VALUE!</v>
      </c>
      <c r="L898" s="2" t="s">
        <v>1106</v>
      </c>
      <c r="M898" s="2">
        <v>0</v>
      </c>
      <c r="O898" s="2" t="str">
        <f>'Converted Diagram'!$L$1776</f>
        <v>Increase Overall Convenience</v>
      </c>
      <c r="P898" s="2" t="b">
        <v>0</v>
      </c>
    </row>
    <row r="899" spans="1:16" x14ac:dyDescent="0.3">
      <c r="A899" s="2" t="e">
        <f>'Converted Diagram'!$M$1779</f>
        <v>#VALUE!</v>
      </c>
      <c r="B899" s="1" t="s">
        <v>219</v>
      </c>
      <c r="C899" s="2">
        <v>0</v>
      </c>
      <c r="I899" s="2" t="e">
        <v>#VALUE!</v>
      </c>
      <c r="J899" s="2">
        <f>'Converted Diagram'!$L$1779</f>
        <v>0</v>
      </c>
      <c r="K899" s="2" t="e">
        <f>'Converted Diagram'!$L$1778</f>
        <v>#VALUE!</v>
      </c>
      <c r="L899" s="2" t="s">
        <v>1107</v>
      </c>
      <c r="M899" s="2">
        <v>0</v>
      </c>
      <c r="P899" s="2" t="b">
        <v>0</v>
      </c>
    </row>
    <row r="900" spans="1:16" x14ac:dyDescent="0.3">
      <c r="A900" s="2" t="e">
        <f>'Converted Diagram'!$H$1781</f>
        <v>#VALUE!</v>
      </c>
      <c r="B900" s="1" t="s">
        <v>31</v>
      </c>
      <c r="C900" s="2">
        <v>0</v>
      </c>
      <c r="I900" s="2" t="s">
        <v>217</v>
      </c>
      <c r="J900" s="2">
        <f>'Converted Diagram'!$G$1781</f>
        <v>0</v>
      </c>
      <c r="K900" s="2" t="e">
        <f>'Converted Diagram'!$G$1780</f>
        <v>#VALUE!</v>
      </c>
      <c r="L900" s="2" t="s">
        <v>1108</v>
      </c>
      <c r="M900" s="2">
        <v>0</v>
      </c>
      <c r="O900" s="2" t="str">
        <f>'Converted Diagram'!$H$1780</f>
        <v>Wi-Fi &amp; Cable Ready</v>
      </c>
      <c r="P900" s="2" t="b">
        <v>0</v>
      </c>
    </row>
    <row r="901" spans="1:16" x14ac:dyDescent="0.3">
      <c r="A901" s="2" t="e">
        <f>'Converted Diagram'!$J$1783</f>
        <v>#VALUE!</v>
      </c>
      <c r="B901" s="1" t="s">
        <v>31</v>
      </c>
      <c r="C901" s="2">
        <v>0</v>
      </c>
      <c r="I901" s="2" t="s">
        <v>217</v>
      </c>
      <c r="J901" s="2">
        <f>'Converted Diagram'!$I$1783</f>
        <v>0</v>
      </c>
      <c r="K901" s="2" t="e">
        <f>'Converted Diagram'!$I$1782</f>
        <v>#VALUE!</v>
      </c>
      <c r="L901" s="2" t="s">
        <v>1109</v>
      </c>
      <c r="M901" s="2">
        <v>0</v>
      </c>
      <c r="O901" s="2" t="str">
        <f>'Converted Diagram'!$J$1782</f>
        <v>Reduce Commute Time</v>
      </c>
      <c r="P901" s="2" t="b">
        <v>0</v>
      </c>
    </row>
    <row r="902" spans="1:16" x14ac:dyDescent="0.3">
      <c r="A902" s="2" t="e">
        <f>'Converted Diagram'!$K$1785</f>
        <v>#VALUE!</v>
      </c>
      <c r="B902" s="1" t="s">
        <v>219</v>
      </c>
      <c r="C902" s="2">
        <v>0</v>
      </c>
      <c r="I902" s="2" t="s">
        <v>217</v>
      </c>
      <c r="J902" s="2">
        <f>'Converted Diagram'!$J$1785</f>
        <v>0</v>
      </c>
      <c r="K902" s="2" t="e">
        <f>'Converted Diagram'!$J$1784</f>
        <v>#VALUE!</v>
      </c>
      <c r="L902" s="2" t="s">
        <v>1110</v>
      </c>
      <c r="M902" s="2">
        <v>0</v>
      </c>
      <c r="O902" s="2" t="str">
        <f>'Converted Diagram'!$K$1784</f>
        <v>Reduce overall rent</v>
      </c>
      <c r="P902" s="2" t="b">
        <v>0</v>
      </c>
    </row>
    <row r="903" spans="1:16" x14ac:dyDescent="0.3">
      <c r="A903" s="2" t="e">
        <f>'Converted Diagram'!$L$1787</f>
        <v>#VALUE!</v>
      </c>
      <c r="B903" s="1" t="s">
        <v>219</v>
      </c>
      <c r="C903" s="2">
        <v>0</v>
      </c>
      <c r="I903" s="2" t="s">
        <v>217</v>
      </c>
      <c r="J903" s="2">
        <f>'Converted Diagram'!$K$1787</f>
        <v>0</v>
      </c>
      <c r="K903" s="2" t="e">
        <f>'Converted Diagram'!$K$1786</f>
        <v>#VALUE!</v>
      </c>
      <c r="L903" s="2" t="s">
        <v>1111</v>
      </c>
      <c r="M903" s="2">
        <v>0</v>
      </c>
      <c r="O903" s="2" t="str">
        <f>'Converted Diagram'!$L$1786</f>
        <v>Increase Overall Convenience</v>
      </c>
      <c r="P903" s="2" t="b">
        <v>0</v>
      </c>
    </row>
    <row r="904" spans="1:16" x14ac:dyDescent="0.3">
      <c r="A904" s="2" t="e">
        <f>'Converted Diagram'!$M$1789</f>
        <v>#VALUE!</v>
      </c>
      <c r="B904" s="1" t="s">
        <v>219</v>
      </c>
      <c r="C904" s="2">
        <v>0</v>
      </c>
      <c r="I904" s="2" t="e">
        <v>#VALUE!</v>
      </c>
      <c r="J904" s="2">
        <f>'Converted Diagram'!$L$1789</f>
        <v>0</v>
      </c>
      <c r="K904" s="2" t="e">
        <f>'Converted Diagram'!$L$1788</f>
        <v>#VALUE!</v>
      </c>
      <c r="L904" s="2" t="s">
        <v>1112</v>
      </c>
      <c r="M904" s="2">
        <v>0</v>
      </c>
      <c r="P904" s="2" t="b">
        <v>0</v>
      </c>
    </row>
    <row r="905" spans="1:16" x14ac:dyDescent="0.3">
      <c r="A905" s="2" t="e">
        <f>'Converted Diagram'!$I$1791</f>
        <v>#VALUE!</v>
      </c>
      <c r="B905" s="1" t="s">
        <v>32</v>
      </c>
      <c r="C905" s="2">
        <v>0</v>
      </c>
      <c r="I905" s="2" t="s">
        <v>217</v>
      </c>
      <c r="J905" s="2">
        <f>'Converted Diagram'!$H$1791</f>
        <v>0</v>
      </c>
      <c r="K905" s="2" t="e">
        <f>'Converted Diagram'!$H$1790</f>
        <v>#VALUE!</v>
      </c>
      <c r="L905" s="2" t="s">
        <v>1113</v>
      </c>
      <c r="M905" s="2">
        <v>0</v>
      </c>
      <c r="O905" s="2" t="str">
        <f>'Converted Diagram'!$I$1790</f>
        <v>Floor</v>
      </c>
      <c r="P905" s="2" t="b">
        <v>0</v>
      </c>
    </row>
    <row r="906" spans="1:16" x14ac:dyDescent="0.3">
      <c r="A906" s="2" t="e">
        <f>'Converted Diagram'!$J$1793</f>
        <v>#VALUE!</v>
      </c>
      <c r="B906" s="1" t="s">
        <v>32</v>
      </c>
      <c r="C906" s="2">
        <v>0</v>
      </c>
      <c r="I906" s="2" t="s">
        <v>217</v>
      </c>
      <c r="J906" s="2">
        <f>'Converted Diagram'!$I$1793</f>
        <v>0</v>
      </c>
      <c r="K906" s="2" t="e">
        <f>'Converted Diagram'!$I$1792</f>
        <v>#VALUE!</v>
      </c>
      <c r="L906" s="2" t="s">
        <v>1114</v>
      </c>
      <c r="M906" s="2">
        <v>0</v>
      </c>
      <c r="O906" s="2" t="str">
        <f>'Converted Diagram'!$J$1792</f>
        <v>Reduce Commute Time</v>
      </c>
      <c r="P906" s="2" t="b">
        <v>0</v>
      </c>
    </row>
    <row r="907" spans="1:16" x14ac:dyDescent="0.3">
      <c r="A907" s="2" t="e">
        <f>'Converted Diagram'!$K$1795</f>
        <v>#VALUE!</v>
      </c>
      <c r="B907" s="1" t="s">
        <v>219</v>
      </c>
      <c r="C907" s="2">
        <v>0</v>
      </c>
      <c r="I907" s="2" t="s">
        <v>217</v>
      </c>
      <c r="J907" s="2">
        <f>'Converted Diagram'!$J$1795</f>
        <v>0</v>
      </c>
      <c r="K907" s="2" t="e">
        <f>'Converted Diagram'!$J$1794</f>
        <v>#VALUE!</v>
      </c>
      <c r="L907" s="2" t="s">
        <v>1115</v>
      </c>
      <c r="M907" s="2">
        <v>0</v>
      </c>
      <c r="O907" s="2" t="str">
        <f>'Converted Diagram'!$K$1794</f>
        <v>Reduce overall rent</v>
      </c>
      <c r="P907" s="2" t="b">
        <v>0</v>
      </c>
    </row>
    <row r="908" spans="1:16" x14ac:dyDescent="0.3">
      <c r="A908" s="2" t="e">
        <f>'Converted Diagram'!$L$1797</f>
        <v>#VALUE!</v>
      </c>
      <c r="B908" s="1" t="s">
        <v>219</v>
      </c>
      <c r="C908" s="2">
        <v>0</v>
      </c>
      <c r="I908" s="2" t="s">
        <v>217</v>
      </c>
      <c r="J908" s="2">
        <f>'Converted Diagram'!$K$1797</f>
        <v>0</v>
      </c>
      <c r="K908" s="2" t="e">
        <f>'Converted Diagram'!$K$1796</f>
        <v>#VALUE!</v>
      </c>
      <c r="L908" s="2" t="s">
        <v>1116</v>
      </c>
      <c r="M908" s="2">
        <v>0</v>
      </c>
      <c r="O908" s="2" t="str">
        <f>'Converted Diagram'!$L$1796</f>
        <v>Increase Overall Convenience</v>
      </c>
      <c r="P908" s="2" t="b">
        <v>0</v>
      </c>
    </row>
    <row r="909" spans="1:16" x14ac:dyDescent="0.3">
      <c r="A909" s="2" t="e">
        <f>'Converted Diagram'!$M$1799</f>
        <v>#VALUE!</v>
      </c>
      <c r="B909" s="1" t="s">
        <v>219</v>
      </c>
      <c r="C909" s="2">
        <v>0</v>
      </c>
      <c r="I909" s="2" t="e">
        <v>#VALUE!</v>
      </c>
      <c r="J909" s="2">
        <f>'Converted Diagram'!$L$1799</f>
        <v>0</v>
      </c>
      <c r="K909" s="2" t="e">
        <f>'Converted Diagram'!$L$1798</f>
        <v>#VALUE!</v>
      </c>
      <c r="L909" s="2" t="s">
        <v>1117</v>
      </c>
      <c r="M909" s="2">
        <v>0</v>
      </c>
      <c r="P909" s="2" t="b">
        <v>0</v>
      </c>
    </row>
    <row r="910" spans="1:16" x14ac:dyDescent="0.3">
      <c r="A910" s="2" t="e">
        <f>'Converted Diagram'!$G$1801</f>
        <v>#VALUE!</v>
      </c>
      <c r="B910" s="1" t="s">
        <v>31</v>
      </c>
      <c r="C910" s="2">
        <v>0</v>
      </c>
      <c r="I910" s="2" t="s">
        <v>217</v>
      </c>
      <c r="J910" s="2">
        <f>'Converted Diagram'!$F$1801</f>
        <v>0</v>
      </c>
      <c r="K910" s="2" t="e">
        <f>'Converted Diagram'!$F$1800</f>
        <v>#VALUE!</v>
      </c>
      <c r="L910" s="2" t="s">
        <v>1118</v>
      </c>
      <c r="M910" s="2">
        <v>0</v>
      </c>
      <c r="O910" s="2" t="str">
        <f>'Converted Diagram'!$G$1800</f>
        <v>Grocery Store</v>
      </c>
      <c r="P910" s="2" t="b">
        <v>0</v>
      </c>
    </row>
    <row r="911" spans="1:16" x14ac:dyDescent="0.3">
      <c r="A911" s="2" t="e">
        <f>'Converted Diagram'!$J$1803</f>
        <v>#VALUE!</v>
      </c>
      <c r="B911" s="1" t="s">
        <v>31</v>
      </c>
      <c r="C911" s="2">
        <v>0</v>
      </c>
      <c r="I911" s="2" t="s">
        <v>217</v>
      </c>
      <c r="J911" s="2">
        <f>'Converted Diagram'!$I$1803</f>
        <v>0</v>
      </c>
      <c r="K911" s="2" t="e">
        <f>'Converted Diagram'!$I$1802</f>
        <v>#VALUE!</v>
      </c>
      <c r="L911" s="2" t="s">
        <v>1119</v>
      </c>
      <c r="M911" s="2">
        <v>0</v>
      </c>
      <c r="O911" s="2" t="str">
        <f>'Converted Diagram'!$J$1802</f>
        <v>Reduce Commute Time</v>
      </c>
      <c r="P911" s="2" t="b">
        <v>0</v>
      </c>
    </row>
    <row r="912" spans="1:16" x14ac:dyDescent="0.3">
      <c r="A912" s="2" t="e">
        <f>'Converted Diagram'!$K$1805</f>
        <v>#VALUE!</v>
      </c>
      <c r="B912" s="1" t="s">
        <v>219</v>
      </c>
      <c r="C912" s="2">
        <v>0</v>
      </c>
      <c r="I912" s="2" t="s">
        <v>217</v>
      </c>
      <c r="J912" s="2">
        <f>'Converted Diagram'!$J$1805</f>
        <v>0</v>
      </c>
      <c r="K912" s="2" t="e">
        <f>'Converted Diagram'!$J$1804</f>
        <v>#VALUE!</v>
      </c>
      <c r="L912" s="2" t="s">
        <v>1120</v>
      </c>
      <c r="M912" s="2">
        <v>0</v>
      </c>
      <c r="O912" s="2" t="str">
        <f>'Converted Diagram'!$K$1804</f>
        <v>Reduce overall rent</v>
      </c>
      <c r="P912" s="2" t="b">
        <v>0</v>
      </c>
    </row>
    <row r="913" spans="1:16" x14ac:dyDescent="0.3">
      <c r="A913" s="2" t="e">
        <f>'Converted Diagram'!$L$1807</f>
        <v>#VALUE!</v>
      </c>
      <c r="B913" s="1" t="s">
        <v>219</v>
      </c>
      <c r="C913" s="2">
        <v>0</v>
      </c>
      <c r="I913" s="2" t="s">
        <v>217</v>
      </c>
      <c r="J913" s="2">
        <f>'Converted Diagram'!$K$1807</f>
        <v>0</v>
      </c>
      <c r="K913" s="2" t="e">
        <f>'Converted Diagram'!$K$1806</f>
        <v>#VALUE!</v>
      </c>
      <c r="L913" s="2" t="s">
        <v>1121</v>
      </c>
      <c r="M913" s="2">
        <v>0</v>
      </c>
      <c r="O913" s="2" t="str">
        <f>'Converted Diagram'!$L$1806</f>
        <v>Increase Overall Convenience</v>
      </c>
      <c r="P913" s="2" t="b">
        <v>0</v>
      </c>
    </row>
    <row r="914" spans="1:16" x14ac:dyDescent="0.3">
      <c r="A914" s="2" t="e">
        <f>'Converted Diagram'!$M$1809</f>
        <v>#VALUE!</v>
      </c>
      <c r="B914" s="1" t="s">
        <v>219</v>
      </c>
      <c r="C914" s="2">
        <v>0</v>
      </c>
      <c r="I914" s="2" t="e">
        <v>#VALUE!</v>
      </c>
      <c r="J914" s="2">
        <f>'Converted Diagram'!$L$1809</f>
        <v>0</v>
      </c>
      <c r="K914" s="2" t="e">
        <f>'Converted Diagram'!$L$1808</f>
        <v>#VALUE!</v>
      </c>
      <c r="L914" s="2" t="s">
        <v>1122</v>
      </c>
      <c r="M914" s="2">
        <v>0</v>
      </c>
      <c r="P914" s="2" t="b">
        <v>0</v>
      </c>
    </row>
    <row r="915" spans="1:16" x14ac:dyDescent="0.3">
      <c r="A915" s="2" t="e">
        <f>'Converted Diagram'!$I$1811</f>
        <v>#VALUE!</v>
      </c>
      <c r="B915" s="1" t="s">
        <v>31</v>
      </c>
      <c r="C915" s="2">
        <v>0</v>
      </c>
      <c r="I915" s="2" t="s">
        <v>217</v>
      </c>
      <c r="J915" s="2">
        <f>'Converted Diagram'!$H$1811</f>
        <v>0</v>
      </c>
      <c r="K915" s="2" t="e">
        <f>'Converted Diagram'!$H$1810</f>
        <v>#VALUE!</v>
      </c>
      <c r="L915" s="2" t="s">
        <v>1123</v>
      </c>
      <c r="M915" s="2">
        <v>0</v>
      </c>
      <c r="O915" s="2" t="str">
        <f>'Converted Diagram'!$I$1810</f>
        <v>Floor</v>
      </c>
      <c r="P915" s="2" t="b">
        <v>0</v>
      </c>
    </row>
    <row r="916" spans="1:16" x14ac:dyDescent="0.3">
      <c r="A916" s="2" t="e">
        <f>'Converted Diagram'!$J$1813</f>
        <v>#VALUE!</v>
      </c>
      <c r="B916" s="1" t="s">
        <v>32</v>
      </c>
      <c r="C916" s="2">
        <v>0</v>
      </c>
      <c r="I916" s="2" t="s">
        <v>217</v>
      </c>
      <c r="J916" s="2">
        <f>'Converted Diagram'!$I$1813</f>
        <v>0</v>
      </c>
      <c r="K916" s="2" t="e">
        <f>'Converted Diagram'!$I$1812</f>
        <v>#VALUE!</v>
      </c>
      <c r="L916" s="2" t="s">
        <v>1124</v>
      </c>
      <c r="M916" s="2">
        <v>0</v>
      </c>
      <c r="O916" s="2" t="str">
        <f>'Converted Diagram'!$J$1812</f>
        <v>Reduce Commute Time</v>
      </c>
      <c r="P916" s="2" t="b">
        <v>0</v>
      </c>
    </row>
    <row r="917" spans="1:16" x14ac:dyDescent="0.3">
      <c r="A917" s="2" t="e">
        <f>'Converted Diagram'!$K$1815</f>
        <v>#VALUE!</v>
      </c>
      <c r="B917" s="1" t="s">
        <v>219</v>
      </c>
      <c r="C917" s="2">
        <v>0</v>
      </c>
      <c r="I917" s="2" t="s">
        <v>217</v>
      </c>
      <c r="J917" s="2">
        <f>'Converted Diagram'!$J$1815</f>
        <v>0</v>
      </c>
      <c r="K917" s="2" t="e">
        <f>'Converted Diagram'!$J$1814</f>
        <v>#VALUE!</v>
      </c>
      <c r="L917" s="2" t="s">
        <v>1125</v>
      </c>
      <c r="M917" s="2">
        <v>0</v>
      </c>
      <c r="O917" s="2" t="str">
        <f>'Converted Diagram'!$K$1814</f>
        <v>Reduce overall rent</v>
      </c>
      <c r="P917" s="2" t="b">
        <v>0</v>
      </c>
    </row>
    <row r="918" spans="1:16" x14ac:dyDescent="0.3">
      <c r="A918" s="2" t="e">
        <f>'Converted Diagram'!$L$1817</f>
        <v>#VALUE!</v>
      </c>
      <c r="B918" s="1" t="s">
        <v>219</v>
      </c>
      <c r="C918" s="2">
        <v>0</v>
      </c>
      <c r="I918" s="2" t="s">
        <v>217</v>
      </c>
      <c r="J918" s="2">
        <f>'Converted Diagram'!$K$1817</f>
        <v>0</v>
      </c>
      <c r="K918" s="2" t="e">
        <f>'Converted Diagram'!$K$1816</f>
        <v>#VALUE!</v>
      </c>
      <c r="L918" s="2" t="s">
        <v>1126</v>
      </c>
      <c r="M918" s="2">
        <v>0</v>
      </c>
      <c r="O918" s="2" t="str">
        <f>'Converted Diagram'!$L$1816</f>
        <v>Increase Overall Convenience</v>
      </c>
      <c r="P918" s="2" t="b">
        <v>0</v>
      </c>
    </row>
    <row r="919" spans="1:16" x14ac:dyDescent="0.3">
      <c r="A919" s="2" t="e">
        <f>'Converted Diagram'!$M$1819</f>
        <v>#VALUE!</v>
      </c>
      <c r="B919" s="1" t="s">
        <v>219</v>
      </c>
      <c r="C919" s="2">
        <v>0</v>
      </c>
      <c r="I919" s="2" t="e">
        <v>#VALUE!</v>
      </c>
      <c r="J919" s="2">
        <f>'Converted Diagram'!$L$1819</f>
        <v>0</v>
      </c>
      <c r="K919" s="2" t="e">
        <f>'Converted Diagram'!$L$1818</f>
        <v>#VALUE!</v>
      </c>
      <c r="L919" s="2" t="s">
        <v>1127</v>
      </c>
      <c r="M919" s="2">
        <v>0</v>
      </c>
      <c r="P919" s="2" t="b">
        <v>0</v>
      </c>
    </row>
    <row r="920" spans="1:16" x14ac:dyDescent="0.3">
      <c r="A920" s="2" t="e">
        <f>'Converted Diagram'!$H$1821</f>
        <v>#VALUE!</v>
      </c>
      <c r="B920" s="1" t="s">
        <v>32</v>
      </c>
      <c r="C920" s="2">
        <v>0</v>
      </c>
      <c r="I920" s="2" t="s">
        <v>217</v>
      </c>
      <c r="J920" s="2">
        <f>'Converted Diagram'!$G$1821</f>
        <v>0</v>
      </c>
      <c r="K920" s="2" t="e">
        <f>'Converted Diagram'!$G$1820</f>
        <v>#VALUE!</v>
      </c>
      <c r="L920" s="2" t="s">
        <v>1128</v>
      </c>
      <c r="M920" s="2">
        <v>0</v>
      </c>
      <c r="O920" s="2" t="str">
        <f>'Converted Diagram'!$H$1820</f>
        <v>Wi-Fi &amp; Cable Ready</v>
      </c>
      <c r="P920" s="2" t="b">
        <v>0</v>
      </c>
    </row>
    <row r="921" spans="1:16" x14ac:dyDescent="0.3">
      <c r="A921" s="2" t="e">
        <f>'Converted Diagram'!$J$1823</f>
        <v>#VALUE!</v>
      </c>
      <c r="B921" s="1" t="s">
        <v>31</v>
      </c>
      <c r="C921" s="2">
        <v>0</v>
      </c>
      <c r="I921" s="2" t="s">
        <v>217</v>
      </c>
      <c r="J921" s="2">
        <f>'Converted Diagram'!$I$1823</f>
        <v>0</v>
      </c>
      <c r="K921" s="2" t="e">
        <f>'Converted Diagram'!$I$1822</f>
        <v>#VALUE!</v>
      </c>
      <c r="L921" s="2" t="s">
        <v>1129</v>
      </c>
      <c r="M921" s="2">
        <v>0</v>
      </c>
      <c r="O921" s="2" t="str">
        <f>'Converted Diagram'!$J$1822</f>
        <v>Reduce Commute Time</v>
      </c>
      <c r="P921" s="2" t="b">
        <v>0</v>
      </c>
    </row>
    <row r="922" spans="1:16" x14ac:dyDescent="0.3">
      <c r="A922" s="2" t="e">
        <f>'Converted Diagram'!$K$1825</f>
        <v>#VALUE!</v>
      </c>
      <c r="B922" s="1" t="s">
        <v>219</v>
      </c>
      <c r="C922" s="2">
        <v>0</v>
      </c>
      <c r="I922" s="2" t="s">
        <v>217</v>
      </c>
      <c r="J922" s="2">
        <f>'Converted Diagram'!$J$1825</f>
        <v>0</v>
      </c>
      <c r="K922" s="2" t="e">
        <f>'Converted Diagram'!$J$1824</f>
        <v>#VALUE!</v>
      </c>
      <c r="L922" s="2" t="s">
        <v>1130</v>
      </c>
      <c r="M922" s="2">
        <v>0</v>
      </c>
      <c r="O922" s="2" t="str">
        <f>'Converted Diagram'!$K$1824</f>
        <v>Reduce overall rent</v>
      </c>
      <c r="P922" s="2" t="b">
        <v>0</v>
      </c>
    </row>
    <row r="923" spans="1:16" x14ac:dyDescent="0.3">
      <c r="A923" s="2" t="e">
        <f>'Converted Diagram'!$L$1827</f>
        <v>#VALUE!</v>
      </c>
      <c r="B923" s="1" t="s">
        <v>219</v>
      </c>
      <c r="C923" s="2">
        <v>0</v>
      </c>
      <c r="I923" s="2" t="s">
        <v>217</v>
      </c>
      <c r="J923" s="2">
        <f>'Converted Diagram'!$K$1827</f>
        <v>0</v>
      </c>
      <c r="K923" s="2" t="e">
        <f>'Converted Diagram'!$K$1826</f>
        <v>#VALUE!</v>
      </c>
      <c r="L923" s="2" t="s">
        <v>1131</v>
      </c>
      <c r="M923" s="2">
        <v>0</v>
      </c>
      <c r="O923" s="2" t="str">
        <f>'Converted Diagram'!$L$1826</f>
        <v>Increase Overall Convenience</v>
      </c>
      <c r="P923" s="2" t="b">
        <v>0</v>
      </c>
    </row>
    <row r="924" spans="1:16" x14ac:dyDescent="0.3">
      <c r="A924" s="2" t="e">
        <f>'Converted Diagram'!$M$1829</f>
        <v>#VALUE!</v>
      </c>
      <c r="B924" s="1" t="s">
        <v>219</v>
      </c>
      <c r="C924" s="2">
        <v>0</v>
      </c>
      <c r="I924" s="2" t="e">
        <v>#VALUE!</v>
      </c>
      <c r="J924" s="2">
        <f>'Converted Diagram'!$L$1829</f>
        <v>0</v>
      </c>
      <c r="K924" s="2" t="e">
        <f>'Converted Diagram'!$L$1828</f>
        <v>#VALUE!</v>
      </c>
      <c r="L924" s="2" t="s">
        <v>1132</v>
      </c>
      <c r="M924" s="2">
        <v>0</v>
      </c>
      <c r="P924" s="2" t="b">
        <v>0</v>
      </c>
    </row>
    <row r="925" spans="1:16" x14ac:dyDescent="0.3">
      <c r="A925" s="2" t="e">
        <f>'Converted Diagram'!$I$1831</f>
        <v>#VALUE!</v>
      </c>
      <c r="B925" s="1" t="s">
        <v>32</v>
      </c>
      <c r="C925" s="2">
        <v>0</v>
      </c>
      <c r="I925" s="2" t="s">
        <v>217</v>
      </c>
      <c r="J925" s="2">
        <f>'Converted Diagram'!$H$1831</f>
        <v>0</v>
      </c>
      <c r="K925" s="2" t="e">
        <f>'Converted Diagram'!$H$1830</f>
        <v>#VALUE!</v>
      </c>
      <c r="L925" s="2" t="s">
        <v>1133</v>
      </c>
      <c r="M925" s="2">
        <v>0</v>
      </c>
      <c r="O925" s="2" t="str">
        <f>'Converted Diagram'!$I$1830</f>
        <v>Floor</v>
      </c>
      <c r="P925" s="2" t="b">
        <v>0</v>
      </c>
    </row>
    <row r="926" spans="1:16" x14ac:dyDescent="0.3">
      <c r="A926" s="2" t="e">
        <f>'Converted Diagram'!$J$1833</f>
        <v>#VALUE!</v>
      </c>
      <c r="B926" s="1" t="s">
        <v>32</v>
      </c>
      <c r="C926" s="2">
        <v>0</v>
      </c>
      <c r="I926" s="2" t="s">
        <v>217</v>
      </c>
      <c r="J926" s="2">
        <f>'Converted Diagram'!$I$1833</f>
        <v>0</v>
      </c>
      <c r="K926" s="2" t="e">
        <f>'Converted Diagram'!$I$1832</f>
        <v>#VALUE!</v>
      </c>
      <c r="L926" s="2" t="s">
        <v>1134</v>
      </c>
      <c r="M926" s="2">
        <v>0</v>
      </c>
      <c r="O926" s="2" t="str">
        <f>'Converted Diagram'!$J$1832</f>
        <v>Reduce Commute Time</v>
      </c>
      <c r="P926" s="2" t="b">
        <v>0</v>
      </c>
    </row>
    <row r="927" spans="1:16" x14ac:dyDescent="0.3">
      <c r="A927" s="2" t="e">
        <f>'Converted Diagram'!$K$1835</f>
        <v>#VALUE!</v>
      </c>
      <c r="B927" s="1" t="s">
        <v>219</v>
      </c>
      <c r="C927" s="2">
        <v>0</v>
      </c>
      <c r="I927" s="2" t="s">
        <v>217</v>
      </c>
      <c r="J927" s="2">
        <f>'Converted Diagram'!$J$1835</f>
        <v>0</v>
      </c>
      <c r="K927" s="2" t="e">
        <f>'Converted Diagram'!$J$1834</f>
        <v>#VALUE!</v>
      </c>
      <c r="L927" s="2" t="s">
        <v>1135</v>
      </c>
      <c r="M927" s="2">
        <v>0</v>
      </c>
      <c r="O927" s="2" t="str">
        <f>'Converted Diagram'!$K$1834</f>
        <v>Reduce overall rent</v>
      </c>
      <c r="P927" s="2" t="b">
        <v>0</v>
      </c>
    </row>
    <row r="928" spans="1:16" x14ac:dyDescent="0.3">
      <c r="A928" s="2" t="e">
        <f>'Converted Diagram'!$L$1837</f>
        <v>#VALUE!</v>
      </c>
      <c r="B928" s="1" t="s">
        <v>219</v>
      </c>
      <c r="C928" s="2">
        <v>0</v>
      </c>
      <c r="I928" s="2" t="s">
        <v>217</v>
      </c>
      <c r="J928" s="2">
        <f>'Converted Diagram'!$K$1837</f>
        <v>0</v>
      </c>
      <c r="K928" s="2" t="e">
        <f>'Converted Diagram'!$K$1836</f>
        <v>#VALUE!</v>
      </c>
      <c r="L928" s="2" t="s">
        <v>1136</v>
      </c>
      <c r="M928" s="2">
        <v>0</v>
      </c>
      <c r="O928" s="2" t="str">
        <f>'Converted Diagram'!$L$1836</f>
        <v>Increase Overall Convenience</v>
      </c>
      <c r="P928" s="2" t="b">
        <v>0</v>
      </c>
    </row>
    <row r="929" spans="1:16" x14ac:dyDescent="0.3">
      <c r="A929" s="2" t="e">
        <f>'Converted Diagram'!$M$1839</f>
        <v>#VALUE!</v>
      </c>
      <c r="B929" s="1" t="s">
        <v>219</v>
      </c>
      <c r="C929" s="2">
        <v>0</v>
      </c>
      <c r="I929" s="2" t="e">
        <v>#VALUE!</v>
      </c>
      <c r="J929" s="2">
        <f>'Converted Diagram'!$L$1839</f>
        <v>0</v>
      </c>
      <c r="K929" s="2" t="e">
        <f>'Converted Diagram'!$L$1838</f>
        <v>#VALUE!</v>
      </c>
      <c r="L929" s="2" t="s">
        <v>1137</v>
      </c>
      <c r="M929" s="2">
        <v>0</v>
      </c>
      <c r="P929" s="2" t="b">
        <v>0</v>
      </c>
    </row>
    <row r="930" spans="1:16" x14ac:dyDescent="0.3">
      <c r="A930" s="2" t="e">
        <f>'Converted Diagram'!$F$1841</f>
        <v>#VALUE!</v>
      </c>
      <c r="B930" s="1" t="s">
        <v>32</v>
      </c>
      <c r="C930" s="2">
        <v>0</v>
      </c>
      <c r="I930" s="2" t="s">
        <v>217</v>
      </c>
      <c r="J930" s="2">
        <f>'Converted Diagram'!$E$1841</f>
        <v>0</v>
      </c>
      <c r="K930" s="2" t="e">
        <f>'Converted Diagram'!$E$1840</f>
        <v>#VALUE!</v>
      </c>
      <c r="L930" s="2" t="s">
        <v>1138</v>
      </c>
      <c r="M930" s="2">
        <v>0</v>
      </c>
      <c r="O930" s="2" t="str">
        <f>'Converted Diagram'!$F$1840</f>
        <v>Utilities</v>
      </c>
      <c r="P930" s="2" t="b">
        <v>0</v>
      </c>
    </row>
    <row r="931" spans="1:16" x14ac:dyDescent="0.3">
      <c r="A931" s="2" t="e">
        <f>'Converted Diagram'!$J$1843</f>
        <v>#VALUE!</v>
      </c>
      <c r="B931" s="1" t="s">
        <v>31</v>
      </c>
      <c r="C931" s="2">
        <v>0</v>
      </c>
      <c r="I931" s="2" t="s">
        <v>217</v>
      </c>
      <c r="J931" s="2">
        <f>'Converted Diagram'!$I$1843</f>
        <v>0</v>
      </c>
      <c r="K931" s="2" t="e">
        <f>'Converted Diagram'!$I$1842</f>
        <v>#VALUE!</v>
      </c>
      <c r="L931" s="2" t="s">
        <v>1139</v>
      </c>
      <c r="M931" s="2">
        <v>0</v>
      </c>
      <c r="O931" s="2" t="str">
        <f>'Converted Diagram'!$J$1842</f>
        <v>Reduce Commute Time</v>
      </c>
      <c r="P931" s="2" t="b">
        <v>0</v>
      </c>
    </row>
    <row r="932" spans="1:16" x14ac:dyDescent="0.3">
      <c r="A932" s="2" t="e">
        <f>'Converted Diagram'!$K$1845</f>
        <v>#VALUE!</v>
      </c>
      <c r="B932" s="1" t="s">
        <v>219</v>
      </c>
      <c r="C932" s="2">
        <v>0</v>
      </c>
      <c r="I932" s="2" t="s">
        <v>217</v>
      </c>
      <c r="J932" s="2">
        <f>'Converted Diagram'!$J$1845</f>
        <v>0</v>
      </c>
      <c r="K932" s="2" t="e">
        <f>'Converted Diagram'!$J$1844</f>
        <v>#VALUE!</v>
      </c>
      <c r="L932" s="2" t="s">
        <v>1140</v>
      </c>
      <c r="M932" s="2">
        <v>0</v>
      </c>
      <c r="O932" s="2" t="str">
        <f>'Converted Diagram'!$K$1844</f>
        <v>Reduce overall rent</v>
      </c>
      <c r="P932" s="2" t="b">
        <v>0</v>
      </c>
    </row>
    <row r="933" spans="1:16" x14ac:dyDescent="0.3">
      <c r="A933" s="2" t="e">
        <f>'Converted Diagram'!$L$1847</f>
        <v>#VALUE!</v>
      </c>
      <c r="B933" s="1" t="s">
        <v>219</v>
      </c>
      <c r="C933" s="2">
        <v>0</v>
      </c>
      <c r="I933" s="2" t="s">
        <v>217</v>
      </c>
      <c r="J933" s="2">
        <f>'Converted Diagram'!$K$1847</f>
        <v>0</v>
      </c>
      <c r="K933" s="2" t="e">
        <f>'Converted Diagram'!$K$1846</f>
        <v>#VALUE!</v>
      </c>
      <c r="L933" s="2" t="s">
        <v>1141</v>
      </c>
      <c r="M933" s="2">
        <v>0</v>
      </c>
      <c r="O933" s="2" t="str">
        <f>'Converted Diagram'!$L$1846</f>
        <v>Increase Overall Convenience</v>
      </c>
      <c r="P933" s="2" t="b">
        <v>0</v>
      </c>
    </row>
    <row r="934" spans="1:16" x14ac:dyDescent="0.3">
      <c r="A934" s="2" t="e">
        <f>'Converted Diagram'!$M$1849</f>
        <v>#VALUE!</v>
      </c>
      <c r="B934" s="1" t="s">
        <v>219</v>
      </c>
      <c r="C934" s="2">
        <v>0</v>
      </c>
      <c r="I934" s="2" t="e">
        <v>#VALUE!</v>
      </c>
      <c r="J934" s="2">
        <f>'Converted Diagram'!$L$1849</f>
        <v>0</v>
      </c>
      <c r="K934" s="2" t="e">
        <f>'Converted Diagram'!$L$1848</f>
        <v>#VALUE!</v>
      </c>
      <c r="L934" s="2" t="s">
        <v>1142</v>
      </c>
      <c r="M934" s="2">
        <v>0</v>
      </c>
      <c r="P934" s="2" t="b">
        <v>0</v>
      </c>
    </row>
    <row r="935" spans="1:16" x14ac:dyDescent="0.3">
      <c r="A935" s="2" t="e">
        <f>'Converted Diagram'!$I$1851</f>
        <v>#VALUE!</v>
      </c>
      <c r="B935" s="1" t="s">
        <v>31</v>
      </c>
      <c r="C935" s="2">
        <v>0</v>
      </c>
      <c r="I935" s="2" t="s">
        <v>217</v>
      </c>
      <c r="J935" s="2">
        <f>'Converted Diagram'!$H$1851</f>
        <v>0</v>
      </c>
      <c r="K935" s="2" t="e">
        <f>'Converted Diagram'!$H$1850</f>
        <v>#VALUE!</v>
      </c>
      <c r="L935" s="2" t="s">
        <v>1143</v>
      </c>
      <c r="M935" s="2">
        <v>0</v>
      </c>
      <c r="O935" s="2" t="str">
        <f>'Converted Diagram'!$I$1850</f>
        <v>Floor</v>
      </c>
      <c r="P935" s="2" t="b">
        <v>0</v>
      </c>
    </row>
    <row r="936" spans="1:16" x14ac:dyDescent="0.3">
      <c r="A936" s="2" t="e">
        <f>'Converted Diagram'!$J$1853</f>
        <v>#VALUE!</v>
      </c>
      <c r="B936" s="1" t="s">
        <v>32</v>
      </c>
      <c r="C936" s="2">
        <v>0</v>
      </c>
      <c r="I936" s="2" t="s">
        <v>217</v>
      </c>
      <c r="J936" s="2">
        <f>'Converted Diagram'!$I$1853</f>
        <v>0</v>
      </c>
      <c r="K936" s="2" t="e">
        <f>'Converted Diagram'!$I$1852</f>
        <v>#VALUE!</v>
      </c>
      <c r="L936" s="2" t="s">
        <v>1144</v>
      </c>
      <c r="M936" s="2">
        <v>0</v>
      </c>
      <c r="O936" s="2" t="str">
        <f>'Converted Diagram'!$J$1852</f>
        <v>Reduce Commute Time</v>
      </c>
      <c r="P936" s="2" t="b">
        <v>0</v>
      </c>
    </row>
    <row r="937" spans="1:16" x14ac:dyDescent="0.3">
      <c r="A937" s="2" t="e">
        <f>'Converted Diagram'!$K$1855</f>
        <v>#VALUE!</v>
      </c>
      <c r="B937" s="1" t="s">
        <v>219</v>
      </c>
      <c r="C937" s="2">
        <v>0</v>
      </c>
      <c r="I937" s="2" t="s">
        <v>217</v>
      </c>
      <c r="J937" s="2">
        <f>'Converted Diagram'!$J$1855</f>
        <v>0</v>
      </c>
      <c r="K937" s="2" t="e">
        <f>'Converted Diagram'!$J$1854</f>
        <v>#VALUE!</v>
      </c>
      <c r="L937" s="2" t="s">
        <v>1145</v>
      </c>
      <c r="M937" s="2">
        <v>0</v>
      </c>
      <c r="O937" s="2" t="str">
        <f>'Converted Diagram'!$K$1854</f>
        <v>Reduce overall rent</v>
      </c>
      <c r="P937" s="2" t="b">
        <v>0</v>
      </c>
    </row>
    <row r="938" spans="1:16" x14ac:dyDescent="0.3">
      <c r="A938" s="2" t="e">
        <f>'Converted Diagram'!$L$1857</f>
        <v>#VALUE!</v>
      </c>
      <c r="B938" s="1" t="s">
        <v>219</v>
      </c>
      <c r="C938" s="2">
        <v>0</v>
      </c>
      <c r="I938" s="2" t="s">
        <v>217</v>
      </c>
      <c r="J938" s="2">
        <f>'Converted Diagram'!$K$1857</f>
        <v>0</v>
      </c>
      <c r="K938" s="2" t="e">
        <f>'Converted Diagram'!$K$1856</f>
        <v>#VALUE!</v>
      </c>
      <c r="L938" s="2" t="s">
        <v>1146</v>
      </c>
      <c r="M938" s="2">
        <v>0</v>
      </c>
      <c r="O938" s="2" t="str">
        <f>'Converted Diagram'!$L$1856</f>
        <v>Increase Overall Convenience</v>
      </c>
      <c r="P938" s="2" t="b">
        <v>0</v>
      </c>
    </row>
    <row r="939" spans="1:16" x14ac:dyDescent="0.3">
      <c r="A939" s="2" t="e">
        <f>'Converted Diagram'!$M$1859</f>
        <v>#VALUE!</v>
      </c>
      <c r="B939" s="1" t="s">
        <v>219</v>
      </c>
      <c r="C939" s="2">
        <v>0</v>
      </c>
      <c r="I939" s="2" t="e">
        <v>#VALUE!</v>
      </c>
      <c r="J939" s="2">
        <f>'Converted Diagram'!$L$1859</f>
        <v>0</v>
      </c>
      <c r="K939" s="2" t="e">
        <f>'Converted Diagram'!$L$1858</f>
        <v>#VALUE!</v>
      </c>
      <c r="L939" s="2" t="s">
        <v>1147</v>
      </c>
      <c r="M939" s="2">
        <v>0</v>
      </c>
      <c r="P939" s="2" t="b">
        <v>0</v>
      </c>
    </row>
    <row r="940" spans="1:16" x14ac:dyDescent="0.3">
      <c r="A940" s="2" t="e">
        <f>'Converted Diagram'!$H$1861</f>
        <v>#VALUE!</v>
      </c>
      <c r="B940" s="1" t="s">
        <v>31</v>
      </c>
      <c r="C940" s="2">
        <v>0</v>
      </c>
      <c r="I940" s="2" t="s">
        <v>217</v>
      </c>
      <c r="J940" s="2">
        <f>'Converted Diagram'!$G$1861</f>
        <v>0</v>
      </c>
      <c r="K940" s="2" t="e">
        <f>'Converted Diagram'!$G$1860</f>
        <v>#VALUE!</v>
      </c>
      <c r="L940" s="2" t="s">
        <v>1148</v>
      </c>
      <c r="M940" s="2">
        <v>0</v>
      </c>
      <c r="O940" s="2" t="str">
        <f>'Converted Diagram'!$H$1860</f>
        <v>Wi-Fi &amp; Cable Ready</v>
      </c>
      <c r="P940" s="2" t="b">
        <v>0</v>
      </c>
    </row>
    <row r="941" spans="1:16" x14ac:dyDescent="0.3">
      <c r="A941" s="2" t="e">
        <f>'Converted Diagram'!$J$1863</f>
        <v>#VALUE!</v>
      </c>
      <c r="B941" s="1" t="s">
        <v>31</v>
      </c>
      <c r="C941" s="2">
        <v>0</v>
      </c>
      <c r="I941" s="2" t="s">
        <v>217</v>
      </c>
      <c r="J941" s="2">
        <f>'Converted Diagram'!$I$1863</f>
        <v>0</v>
      </c>
      <c r="K941" s="2" t="e">
        <f>'Converted Diagram'!$I$1862</f>
        <v>#VALUE!</v>
      </c>
      <c r="L941" s="2" t="s">
        <v>1149</v>
      </c>
      <c r="M941" s="2">
        <v>0</v>
      </c>
      <c r="O941" s="2" t="str">
        <f>'Converted Diagram'!$J$1862</f>
        <v>Reduce Commute Time</v>
      </c>
      <c r="P941" s="2" t="b">
        <v>0</v>
      </c>
    </row>
    <row r="942" spans="1:16" x14ac:dyDescent="0.3">
      <c r="A942" s="2" t="e">
        <f>'Converted Diagram'!$K$1865</f>
        <v>#VALUE!</v>
      </c>
      <c r="B942" s="1" t="s">
        <v>219</v>
      </c>
      <c r="C942" s="2">
        <v>0</v>
      </c>
      <c r="I942" s="2" t="s">
        <v>217</v>
      </c>
      <c r="J942" s="2">
        <f>'Converted Diagram'!$J$1865</f>
        <v>0</v>
      </c>
      <c r="K942" s="2" t="e">
        <f>'Converted Diagram'!$J$1864</f>
        <v>#VALUE!</v>
      </c>
      <c r="L942" s="2" t="s">
        <v>1150</v>
      </c>
      <c r="M942" s="2">
        <v>0</v>
      </c>
      <c r="O942" s="2" t="str">
        <f>'Converted Diagram'!$K$1864</f>
        <v>Reduce overall rent</v>
      </c>
      <c r="P942" s="2" t="b">
        <v>0</v>
      </c>
    </row>
    <row r="943" spans="1:16" x14ac:dyDescent="0.3">
      <c r="A943" s="2" t="e">
        <f>'Converted Diagram'!$L$1867</f>
        <v>#VALUE!</v>
      </c>
      <c r="B943" s="1" t="s">
        <v>219</v>
      </c>
      <c r="C943" s="2">
        <v>0</v>
      </c>
      <c r="I943" s="2" t="s">
        <v>217</v>
      </c>
      <c r="J943" s="2">
        <f>'Converted Diagram'!$K$1867</f>
        <v>0</v>
      </c>
      <c r="K943" s="2" t="e">
        <f>'Converted Diagram'!$K$1866</f>
        <v>#VALUE!</v>
      </c>
      <c r="L943" s="2" t="s">
        <v>1151</v>
      </c>
      <c r="M943" s="2">
        <v>0</v>
      </c>
      <c r="O943" s="2" t="str">
        <f>'Converted Diagram'!$L$1866</f>
        <v>Increase Overall Convenience</v>
      </c>
      <c r="P943" s="2" t="b">
        <v>0</v>
      </c>
    </row>
    <row r="944" spans="1:16" x14ac:dyDescent="0.3">
      <c r="A944" s="2" t="e">
        <f>'Converted Diagram'!$M$1869</f>
        <v>#VALUE!</v>
      </c>
      <c r="B944" s="1" t="s">
        <v>219</v>
      </c>
      <c r="C944" s="2">
        <v>0</v>
      </c>
      <c r="I944" s="2" t="e">
        <v>#VALUE!</v>
      </c>
      <c r="J944" s="2">
        <f>'Converted Diagram'!$L$1869</f>
        <v>0</v>
      </c>
      <c r="K944" s="2" t="e">
        <f>'Converted Diagram'!$L$1868</f>
        <v>#VALUE!</v>
      </c>
      <c r="L944" s="2" t="s">
        <v>1152</v>
      </c>
      <c r="M944" s="2">
        <v>0</v>
      </c>
      <c r="P944" s="2" t="b">
        <v>0</v>
      </c>
    </row>
    <row r="945" spans="1:16" x14ac:dyDescent="0.3">
      <c r="A945" s="2" t="e">
        <f>'Converted Diagram'!$I$1871</f>
        <v>#VALUE!</v>
      </c>
      <c r="B945" s="1" t="s">
        <v>32</v>
      </c>
      <c r="C945" s="2">
        <v>0</v>
      </c>
      <c r="I945" s="2" t="s">
        <v>217</v>
      </c>
      <c r="J945" s="2">
        <f>'Converted Diagram'!$H$1871</f>
        <v>0</v>
      </c>
      <c r="K945" s="2" t="e">
        <f>'Converted Diagram'!$H$1870</f>
        <v>#VALUE!</v>
      </c>
      <c r="L945" s="2" t="s">
        <v>1153</v>
      </c>
      <c r="M945" s="2">
        <v>0</v>
      </c>
      <c r="O945" s="2" t="str">
        <f>'Converted Diagram'!$I$1870</f>
        <v>Floor</v>
      </c>
      <c r="P945" s="2" t="b">
        <v>0</v>
      </c>
    </row>
    <row r="946" spans="1:16" x14ac:dyDescent="0.3">
      <c r="A946" s="2" t="e">
        <f>'Converted Diagram'!$J$1873</f>
        <v>#VALUE!</v>
      </c>
      <c r="B946" s="1" t="s">
        <v>32</v>
      </c>
      <c r="C946" s="2">
        <v>0</v>
      </c>
      <c r="I946" s="2" t="s">
        <v>217</v>
      </c>
      <c r="J946" s="2">
        <f>'Converted Diagram'!$I$1873</f>
        <v>0</v>
      </c>
      <c r="K946" s="2" t="e">
        <f>'Converted Diagram'!$I$1872</f>
        <v>#VALUE!</v>
      </c>
      <c r="L946" s="2" t="s">
        <v>1154</v>
      </c>
      <c r="M946" s="2">
        <v>0</v>
      </c>
      <c r="O946" s="2" t="str">
        <f>'Converted Diagram'!$J$1872</f>
        <v>Reduce Commute Time</v>
      </c>
      <c r="P946" s="2" t="b">
        <v>0</v>
      </c>
    </row>
    <row r="947" spans="1:16" x14ac:dyDescent="0.3">
      <c r="A947" s="2" t="e">
        <f>'Converted Diagram'!$K$1875</f>
        <v>#VALUE!</v>
      </c>
      <c r="B947" s="1" t="s">
        <v>219</v>
      </c>
      <c r="C947" s="2">
        <v>0</v>
      </c>
      <c r="I947" s="2" t="s">
        <v>217</v>
      </c>
      <c r="J947" s="2">
        <f>'Converted Diagram'!$J$1875</f>
        <v>0</v>
      </c>
      <c r="K947" s="2" t="e">
        <f>'Converted Diagram'!$J$1874</f>
        <v>#VALUE!</v>
      </c>
      <c r="L947" s="2" t="s">
        <v>1155</v>
      </c>
      <c r="M947" s="2">
        <v>0</v>
      </c>
      <c r="O947" s="2" t="str">
        <f>'Converted Diagram'!$K$1874</f>
        <v>Reduce overall rent</v>
      </c>
      <c r="P947" s="2" t="b">
        <v>0</v>
      </c>
    </row>
    <row r="948" spans="1:16" x14ac:dyDescent="0.3">
      <c r="A948" s="2" t="e">
        <f>'Converted Diagram'!$L$1877</f>
        <v>#VALUE!</v>
      </c>
      <c r="B948" s="1" t="s">
        <v>219</v>
      </c>
      <c r="C948" s="2">
        <v>0</v>
      </c>
      <c r="I948" s="2" t="s">
        <v>217</v>
      </c>
      <c r="J948" s="2">
        <f>'Converted Diagram'!$K$1877</f>
        <v>0</v>
      </c>
      <c r="K948" s="2" t="e">
        <f>'Converted Diagram'!$K$1876</f>
        <v>#VALUE!</v>
      </c>
      <c r="L948" s="2" t="s">
        <v>1156</v>
      </c>
      <c r="M948" s="2">
        <v>0</v>
      </c>
      <c r="O948" s="2" t="str">
        <f>'Converted Diagram'!$L$1876</f>
        <v>Increase Overall Convenience</v>
      </c>
      <c r="P948" s="2" t="b">
        <v>0</v>
      </c>
    </row>
    <row r="949" spans="1:16" x14ac:dyDescent="0.3">
      <c r="A949" s="2" t="e">
        <f>'Converted Diagram'!$M$1879</f>
        <v>#VALUE!</v>
      </c>
      <c r="B949" s="1" t="s">
        <v>219</v>
      </c>
      <c r="C949" s="2">
        <v>0</v>
      </c>
      <c r="I949" s="2" t="e">
        <v>#VALUE!</v>
      </c>
      <c r="J949" s="2">
        <f>'Converted Diagram'!$L$1879</f>
        <v>0</v>
      </c>
      <c r="K949" s="2" t="e">
        <f>'Converted Diagram'!$L$1878</f>
        <v>#VALUE!</v>
      </c>
      <c r="L949" s="2" t="s">
        <v>1157</v>
      </c>
      <c r="M949" s="2">
        <v>0</v>
      </c>
      <c r="P949" s="2" t="b">
        <v>0</v>
      </c>
    </row>
    <row r="950" spans="1:16" x14ac:dyDescent="0.3">
      <c r="A950" s="2" t="e">
        <f>'Converted Diagram'!$G$1881</f>
        <v>#VALUE!</v>
      </c>
      <c r="B950" s="1" t="s">
        <v>32</v>
      </c>
      <c r="C950" s="2">
        <v>0</v>
      </c>
      <c r="I950" s="2" t="s">
        <v>217</v>
      </c>
      <c r="J950" s="2">
        <f>'Converted Diagram'!$F$1881</f>
        <v>0</v>
      </c>
      <c r="K950" s="2" t="e">
        <f>'Converted Diagram'!$F$1880</f>
        <v>#VALUE!</v>
      </c>
      <c r="L950" s="2" t="s">
        <v>1158</v>
      </c>
      <c r="M950" s="2">
        <v>0</v>
      </c>
      <c r="O950" s="2" t="str">
        <f>'Converted Diagram'!$G$1880</f>
        <v>Grocery Store</v>
      </c>
      <c r="P950" s="2" t="b">
        <v>0</v>
      </c>
    </row>
    <row r="951" spans="1:16" x14ac:dyDescent="0.3">
      <c r="A951" s="2" t="e">
        <f>'Converted Diagram'!$J$1883</f>
        <v>#VALUE!</v>
      </c>
      <c r="B951" s="1" t="s">
        <v>31</v>
      </c>
      <c r="C951" s="2">
        <v>0</v>
      </c>
      <c r="I951" s="2" t="s">
        <v>217</v>
      </c>
      <c r="J951" s="2">
        <f>'Converted Diagram'!$I$1883</f>
        <v>0</v>
      </c>
      <c r="K951" s="2" t="e">
        <f>'Converted Diagram'!$I$1882</f>
        <v>#VALUE!</v>
      </c>
      <c r="L951" s="2" t="s">
        <v>1159</v>
      </c>
      <c r="M951" s="2">
        <v>0</v>
      </c>
      <c r="O951" s="2" t="str">
        <f>'Converted Diagram'!$J$1882</f>
        <v>Reduce Commute Time</v>
      </c>
      <c r="P951" s="2" t="b">
        <v>0</v>
      </c>
    </row>
    <row r="952" spans="1:16" x14ac:dyDescent="0.3">
      <c r="A952" s="2" t="e">
        <f>'Converted Diagram'!$K$1885</f>
        <v>#VALUE!</v>
      </c>
      <c r="B952" s="1" t="s">
        <v>219</v>
      </c>
      <c r="C952" s="2">
        <v>0</v>
      </c>
      <c r="I952" s="2" t="s">
        <v>217</v>
      </c>
      <c r="J952" s="2">
        <f>'Converted Diagram'!$J$1885</f>
        <v>0</v>
      </c>
      <c r="K952" s="2" t="e">
        <f>'Converted Diagram'!$J$1884</f>
        <v>#VALUE!</v>
      </c>
      <c r="L952" s="2" t="s">
        <v>1160</v>
      </c>
      <c r="M952" s="2">
        <v>0</v>
      </c>
      <c r="O952" s="2" t="str">
        <f>'Converted Diagram'!$K$1884</f>
        <v>Reduce overall rent</v>
      </c>
      <c r="P952" s="2" t="b">
        <v>0</v>
      </c>
    </row>
    <row r="953" spans="1:16" x14ac:dyDescent="0.3">
      <c r="A953" s="2" t="e">
        <f>'Converted Diagram'!$L$1887</f>
        <v>#VALUE!</v>
      </c>
      <c r="B953" s="1" t="s">
        <v>219</v>
      </c>
      <c r="C953" s="2">
        <v>0</v>
      </c>
      <c r="I953" s="2" t="s">
        <v>217</v>
      </c>
      <c r="J953" s="2">
        <f>'Converted Diagram'!$K$1887</f>
        <v>0</v>
      </c>
      <c r="K953" s="2" t="e">
        <f>'Converted Diagram'!$K$1886</f>
        <v>#VALUE!</v>
      </c>
      <c r="L953" s="2" t="s">
        <v>1161</v>
      </c>
      <c r="M953" s="2">
        <v>0</v>
      </c>
      <c r="O953" s="2" t="str">
        <f>'Converted Diagram'!$L$1886</f>
        <v>Increase Overall Convenience</v>
      </c>
      <c r="P953" s="2" t="b">
        <v>0</v>
      </c>
    </row>
    <row r="954" spans="1:16" x14ac:dyDescent="0.3">
      <c r="A954" s="2" t="e">
        <f>'Converted Diagram'!$M$1889</f>
        <v>#VALUE!</v>
      </c>
      <c r="B954" s="1" t="s">
        <v>219</v>
      </c>
      <c r="C954" s="2">
        <v>0</v>
      </c>
      <c r="I954" s="2" t="e">
        <v>#VALUE!</v>
      </c>
      <c r="J954" s="2">
        <f>'Converted Diagram'!$L$1889</f>
        <v>0</v>
      </c>
      <c r="K954" s="2" t="e">
        <f>'Converted Diagram'!$L$1888</f>
        <v>#VALUE!</v>
      </c>
      <c r="L954" s="2" t="s">
        <v>1162</v>
      </c>
      <c r="M954" s="2">
        <v>0</v>
      </c>
      <c r="P954" s="2" t="b">
        <v>0</v>
      </c>
    </row>
    <row r="955" spans="1:16" x14ac:dyDescent="0.3">
      <c r="A955" s="2" t="e">
        <f>'Converted Diagram'!$I$1891</f>
        <v>#VALUE!</v>
      </c>
      <c r="B955" s="1" t="s">
        <v>31</v>
      </c>
      <c r="C955" s="2">
        <v>0</v>
      </c>
      <c r="I955" s="2" t="s">
        <v>217</v>
      </c>
      <c r="J955" s="2">
        <f>'Converted Diagram'!$H$1891</f>
        <v>0</v>
      </c>
      <c r="K955" s="2" t="e">
        <f>'Converted Diagram'!$H$1890</f>
        <v>#VALUE!</v>
      </c>
      <c r="L955" s="2" t="s">
        <v>1163</v>
      </c>
      <c r="M955" s="2">
        <v>0</v>
      </c>
      <c r="O955" s="2" t="str">
        <f>'Converted Diagram'!$I$1890</f>
        <v>Floor</v>
      </c>
      <c r="P955" s="2" t="b">
        <v>0</v>
      </c>
    </row>
    <row r="956" spans="1:16" x14ac:dyDescent="0.3">
      <c r="A956" s="2" t="e">
        <f>'Converted Diagram'!$J$1893</f>
        <v>#VALUE!</v>
      </c>
      <c r="B956" s="1" t="s">
        <v>32</v>
      </c>
      <c r="C956" s="2">
        <v>0</v>
      </c>
      <c r="I956" s="2" t="s">
        <v>217</v>
      </c>
      <c r="J956" s="2">
        <f>'Converted Diagram'!$I$1893</f>
        <v>0</v>
      </c>
      <c r="K956" s="2" t="e">
        <f>'Converted Diagram'!$I$1892</f>
        <v>#VALUE!</v>
      </c>
      <c r="L956" s="2" t="s">
        <v>1164</v>
      </c>
      <c r="M956" s="2">
        <v>0</v>
      </c>
      <c r="O956" s="2" t="str">
        <f>'Converted Diagram'!$J$1892</f>
        <v>Reduce Commute Time</v>
      </c>
      <c r="P956" s="2" t="b">
        <v>0</v>
      </c>
    </row>
    <row r="957" spans="1:16" x14ac:dyDescent="0.3">
      <c r="A957" s="2" t="e">
        <f>'Converted Diagram'!$K$1895</f>
        <v>#VALUE!</v>
      </c>
      <c r="B957" s="1" t="s">
        <v>219</v>
      </c>
      <c r="C957" s="2">
        <v>0</v>
      </c>
      <c r="I957" s="2" t="s">
        <v>217</v>
      </c>
      <c r="J957" s="2">
        <f>'Converted Diagram'!$J$1895</f>
        <v>0</v>
      </c>
      <c r="K957" s="2" t="e">
        <f>'Converted Diagram'!$J$1894</f>
        <v>#VALUE!</v>
      </c>
      <c r="L957" s="2" t="s">
        <v>1165</v>
      </c>
      <c r="M957" s="2">
        <v>0</v>
      </c>
      <c r="O957" s="2" t="str">
        <f>'Converted Diagram'!$K$1894</f>
        <v>Reduce overall rent</v>
      </c>
      <c r="P957" s="2" t="b">
        <v>0</v>
      </c>
    </row>
    <row r="958" spans="1:16" x14ac:dyDescent="0.3">
      <c r="A958" s="2" t="e">
        <f>'Converted Diagram'!$L$1897</f>
        <v>#VALUE!</v>
      </c>
      <c r="B958" s="1" t="s">
        <v>219</v>
      </c>
      <c r="C958" s="2">
        <v>0</v>
      </c>
      <c r="I958" s="2" t="s">
        <v>217</v>
      </c>
      <c r="J958" s="2">
        <f>'Converted Diagram'!$K$1897</f>
        <v>0</v>
      </c>
      <c r="K958" s="2" t="e">
        <f>'Converted Diagram'!$K$1896</f>
        <v>#VALUE!</v>
      </c>
      <c r="L958" s="2" t="s">
        <v>1166</v>
      </c>
      <c r="M958" s="2">
        <v>0</v>
      </c>
      <c r="O958" s="2" t="str">
        <f>'Converted Diagram'!$L$1896</f>
        <v>Increase Overall Convenience</v>
      </c>
      <c r="P958" s="2" t="b">
        <v>0</v>
      </c>
    </row>
    <row r="959" spans="1:16" x14ac:dyDescent="0.3">
      <c r="A959" s="2" t="e">
        <f>'Converted Diagram'!$M$1899</f>
        <v>#VALUE!</v>
      </c>
      <c r="B959" s="1" t="s">
        <v>219</v>
      </c>
      <c r="C959" s="2">
        <v>0</v>
      </c>
      <c r="I959" s="2" t="e">
        <v>#VALUE!</v>
      </c>
      <c r="J959" s="2">
        <f>'Converted Diagram'!$L$1899</f>
        <v>0</v>
      </c>
      <c r="K959" s="2" t="e">
        <f>'Converted Diagram'!$L$1898</f>
        <v>#VALUE!</v>
      </c>
      <c r="L959" s="2" t="s">
        <v>1167</v>
      </c>
      <c r="M959" s="2">
        <v>0</v>
      </c>
      <c r="P959" s="2" t="b">
        <v>0</v>
      </c>
    </row>
    <row r="960" spans="1:16" x14ac:dyDescent="0.3">
      <c r="A960" s="2" t="e">
        <f>'Converted Diagram'!$H$1901</f>
        <v>#VALUE!</v>
      </c>
      <c r="B960" s="1" t="s">
        <v>32</v>
      </c>
      <c r="C960" s="2">
        <v>0</v>
      </c>
      <c r="I960" s="2" t="s">
        <v>217</v>
      </c>
      <c r="J960" s="2">
        <f>'Converted Diagram'!$G$1901</f>
        <v>0</v>
      </c>
      <c r="K960" s="2" t="e">
        <f>'Converted Diagram'!$G$1900</f>
        <v>#VALUE!</v>
      </c>
      <c r="L960" s="2" t="s">
        <v>1168</v>
      </c>
      <c r="M960" s="2">
        <v>0</v>
      </c>
      <c r="O960" s="2" t="str">
        <f>'Converted Diagram'!$H$1900</f>
        <v>Wi-Fi &amp; Cable Ready</v>
      </c>
      <c r="P960" s="2" t="b">
        <v>0</v>
      </c>
    </row>
    <row r="961" spans="1:16" x14ac:dyDescent="0.3">
      <c r="A961" s="2" t="e">
        <f>'Converted Diagram'!$J$1903</f>
        <v>#VALUE!</v>
      </c>
      <c r="B961" s="1" t="s">
        <v>31</v>
      </c>
      <c r="C961" s="2">
        <v>0</v>
      </c>
      <c r="I961" s="2" t="s">
        <v>217</v>
      </c>
      <c r="J961" s="2">
        <f>'Converted Diagram'!$I$1903</f>
        <v>0</v>
      </c>
      <c r="K961" s="2" t="e">
        <f>'Converted Diagram'!$I$1902</f>
        <v>#VALUE!</v>
      </c>
      <c r="L961" s="2" t="s">
        <v>1169</v>
      </c>
      <c r="M961" s="2">
        <v>0</v>
      </c>
      <c r="O961" s="2" t="str">
        <f>'Converted Diagram'!$J$1902</f>
        <v>Reduce Commute Time</v>
      </c>
      <c r="P961" s="2" t="b">
        <v>0</v>
      </c>
    </row>
    <row r="962" spans="1:16" x14ac:dyDescent="0.3">
      <c r="A962" s="2" t="e">
        <f>'Converted Diagram'!$K$1905</f>
        <v>#VALUE!</v>
      </c>
      <c r="B962" s="1" t="s">
        <v>219</v>
      </c>
      <c r="C962" s="2">
        <v>0</v>
      </c>
      <c r="I962" s="2" t="s">
        <v>217</v>
      </c>
      <c r="J962" s="2">
        <f>'Converted Diagram'!$J$1905</f>
        <v>0</v>
      </c>
      <c r="K962" s="2" t="e">
        <f>'Converted Diagram'!$J$1904</f>
        <v>#VALUE!</v>
      </c>
      <c r="L962" s="2" t="s">
        <v>1170</v>
      </c>
      <c r="M962" s="2">
        <v>0</v>
      </c>
      <c r="O962" s="2" t="str">
        <f>'Converted Diagram'!$K$1904</f>
        <v>Reduce overall rent</v>
      </c>
      <c r="P962" s="2" t="b">
        <v>0</v>
      </c>
    </row>
    <row r="963" spans="1:16" x14ac:dyDescent="0.3">
      <c r="A963" s="2" t="e">
        <f>'Converted Diagram'!$L$1907</f>
        <v>#VALUE!</v>
      </c>
      <c r="B963" s="1" t="s">
        <v>219</v>
      </c>
      <c r="C963" s="2">
        <v>0</v>
      </c>
      <c r="I963" s="2" t="s">
        <v>217</v>
      </c>
      <c r="J963" s="2">
        <f>'Converted Diagram'!$K$1907</f>
        <v>0</v>
      </c>
      <c r="K963" s="2" t="e">
        <f>'Converted Diagram'!$K$1906</f>
        <v>#VALUE!</v>
      </c>
      <c r="L963" s="2" t="s">
        <v>1171</v>
      </c>
      <c r="M963" s="2">
        <v>0</v>
      </c>
      <c r="O963" s="2" t="str">
        <f>'Converted Diagram'!$L$1906</f>
        <v>Increase Overall Convenience</v>
      </c>
      <c r="P963" s="2" t="b">
        <v>0</v>
      </c>
    </row>
    <row r="964" spans="1:16" x14ac:dyDescent="0.3">
      <c r="A964" s="2" t="e">
        <f>'Converted Diagram'!$M$1909</f>
        <v>#VALUE!</v>
      </c>
      <c r="B964" s="1" t="s">
        <v>219</v>
      </c>
      <c r="C964" s="2">
        <v>0</v>
      </c>
      <c r="I964" s="2" t="e">
        <v>#VALUE!</v>
      </c>
      <c r="J964" s="2">
        <f>'Converted Diagram'!$L$1909</f>
        <v>0</v>
      </c>
      <c r="K964" s="2" t="e">
        <f>'Converted Diagram'!$L$1908</f>
        <v>#VALUE!</v>
      </c>
      <c r="L964" s="2" t="s">
        <v>1172</v>
      </c>
      <c r="M964" s="2">
        <v>0</v>
      </c>
      <c r="P964" s="2" t="b">
        <v>0</v>
      </c>
    </row>
    <row r="965" spans="1:16" x14ac:dyDescent="0.3">
      <c r="A965" s="2" t="e">
        <f>'Converted Diagram'!$I$1911</f>
        <v>#VALUE!</v>
      </c>
      <c r="B965" s="1" t="s">
        <v>32</v>
      </c>
      <c r="C965" s="2">
        <v>0</v>
      </c>
      <c r="I965" s="2" t="s">
        <v>217</v>
      </c>
      <c r="J965" s="2">
        <f>'Converted Diagram'!$H$1911</f>
        <v>0</v>
      </c>
      <c r="K965" s="2" t="e">
        <f>'Converted Diagram'!$H$1910</f>
        <v>#VALUE!</v>
      </c>
      <c r="L965" s="2" t="s">
        <v>1173</v>
      </c>
      <c r="M965" s="2">
        <v>0</v>
      </c>
      <c r="O965" s="2" t="str">
        <f>'Converted Diagram'!$I$1910</f>
        <v>Floor</v>
      </c>
      <c r="P965" s="2" t="b">
        <v>0</v>
      </c>
    </row>
    <row r="966" spans="1:16" x14ac:dyDescent="0.3">
      <c r="A966" s="2" t="e">
        <f>'Converted Diagram'!$J$1913</f>
        <v>#VALUE!</v>
      </c>
      <c r="B966" s="1" t="s">
        <v>32</v>
      </c>
      <c r="C966" s="2">
        <v>0</v>
      </c>
      <c r="I966" s="2" t="s">
        <v>217</v>
      </c>
      <c r="J966" s="2">
        <f>'Converted Diagram'!$I$1913</f>
        <v>0</v>
      </c>
      <c r="K966" s="2" t="e">
        <f>'Converted Diagram'!$I$1912</f>
        <v>#VALUE!</v>
      </c>
      <c r="L966" s="2" t="s">
        <v>1174</v>
      </c>
      <c r="M966" s="2">
        <v>0</v>
      </c>
      <c r="O966" s="2" t="str">
        <f>'Converted Diagram'!$J$1912</f>
        <v>Reduce Commute Time</v>
      </c>
      <c r="P966" s="2" t="b">
        <v>0</v>
      </c>
    </row>
    <row r="967" spans="1:16" x14ac:dyDescent="0.3">
      <c r="A967" s="2" t="e">
        <f>'Converted Diagram'!$K$1915</f>
        <v>#VALUE!</v>
      </c>
      <c r="B967" s="1" t="s">
        <v>219</v>
      </c>
      <c r="C967" s="2">
        <v>0</v>
      </c>
      <c r="I967" s="2" t="s">
        <v>217</v>
      </c>
      <c r="J967" s="2">
        <f>'Converted Diagram'!$J$1915</f>
        <v>0</v>
      </c>
      <c r="K967" s="2" t="e">
        <f>'Converted Diagram'!$J$1914</f>
        <v>#VALUE!</v>
      </c>
      <c r="L967" s="2" t="s">
        <v>1175</v>
      </c>
      <c r="M967" s="2">
        <v>0</v>
      </c>
      <c r="O967" s="2" t="str">
        <f>'Converted Diagram'!$K$1914</f>
        <v>Reduce overall rent</v>
      </c>
      <c r="P967" s="2" t="b">
        <v>0</v>
      </c>
    </row>
    <row r="968" spans="1:16" x14ac:dyDescent="0.3">
      <c r="A968" s="2" t="e">
        <f>'Converted Diagram'!$L$1917</f>
        <v>#VALUE!</v>
      </c>
      <c r="B968" s="1" t="s">
        <v>219</v>
      </c>
      <c r="C968" s="2">
        <v>0</v>
      </c>
      <c r="I968" s="2" t="s">
        <v>217</v>
      </c>
      <c r="J968" s="2">
        <f>'Converted Diagram'!$K$1917</f>
        <v>0</v>
      </c>
      <c r="K968" s="2" t="e">
        <f>'Converted Diagram'!$K$1916</f>
        <v>#VALUE!</v>
      </c>
      <c r="L968" s="2" t="s">
        <v>1176</v>
      </c>
      <c r="M968" s="2">
        <v>0</v>
      </c>
      <c r="O968" s="2" t="str">
        <f>'Converted Diagram'!$L$1916</f>
        <v>Increase Overall Convenience</v>
      </c>
      <c r="P968" s="2" t="b">
        <v>0</v>
      </c>
    </row>
    <row r="969" spans="1:16" x14ac:dyDescent="0.3">
      <c r="A969" s="2" t="e">
        <f>'Converted Diagram'!$M$1919</f>
        <v>#VALUE!</v>
      </c>
      <c r="B969" s="1" t="s">
        <v>219</v>
      </c>
      <c r="C969" s="2">
        <v>0</v>
      </c>
      <c r="I969" s="2" t="e">
        <v>#VALUE!</v>
      </c>
      <c r="J969" s="2">
        <f>'Converted Diagram'!$L$1919</f>
        <v>0</v>
      </c>
      <c r="K969" s="2" t="e">
        <f>'Converted Diagram'!$L$1918</f>
        <v>#VALUE!</v>
      </c>
      <c r="L969" s="2" t="s">
        <v>1177</v>
      </c>
      <c r="M969" s="2">
        <v>0</v>
      </c>
      <c r="P969" s="2" t="b">
        <v>0</v>
      </c>
    </row>
    <row r="970" spans="1:16" x14ac:dyDescent="0.3">
      <c r="A970" s="2" t="e">
        <f>'Converted Diagram'!$C$1921</f>
        <v>#VALUE!</v>
      </c>
      <c r="B970" s="1" t="s">
        <v>32</v>
      </c>
      <c r="C970" s="2">
        <v>0</v>
      </c>
      <c r="I970" s="2" t="s">
        <v>217</v>
      </c>
      <c r="J970" s="2">
        <f>'Converted Diagram'!$B$1921</f>
        <v>0</v>
      </c>
      <c r="L970" s="2" t="s">
        <v>1178</v>
      </c>
      <c r="M970" s="2">
        <v>0</v>
      </c>
      <c r="O970" s="2" t="str">
        <f>'Converted Diagram'!$C$1920</f>
        <v>Number of Roomates</v>
      </c>
      <c r="P970" s="2" t="b">
        <v>0</v>
      </c>
    </row>
    <row r="971" spans="1:16" x14ac:dyDescent="0.3">
      <c r="A971" s="2" t="e">
        <f>'Converted Diagram'!$J$1923</f>
        <v>#VALUE!</v>
      </c>
      <c r="B971" s="1" t="s">
        <v>31</v>
      </c>
      <c r="C971" s="2">
        <v>0</v>
      </c>
      <c r="I971" s="2" t="s">
        <v>217</v>
      </c>
      <c r="J971" s="2">
        <f>'Converted Diagram'!$I$1923</f>
        <v>0</v>
      </c>
      <c r="K971" s="2" t="e">
        <f>'Converted Diagram'!$I$1922</f>
        <v>#VALUE!</v>
      </c>
      <c r="L971" s="2" t="s">
        <v>1179</v>
      </c>
      <c r="M971" s="2">
        <v>0</v>
      </c>
      <c r="O971" s="2" t="str">
        <f>'Converted Diagram'!$J$1922</f>
        <v>Reduce Commute Time</v>
      </c>
      <c r="P971" s="2" t="b">
        <v>0</v>
      </c>
    </row>
    <row r="972" spans="1:16" x14ac:dyDescent="0.3">
      <c r="A972" s="2" t="e">
        <f>'Converted Diagram'!$K$1925</f>
        <v>#VALUE!</v>
      </c>
      <c r="B972" s="1" t="s">
        <v>219</v>
      </c>
      <c r="C972" s="2">
        <v>0</v>
      </c>
      <c r="I972" s="2" t="s">
        <v>217</v>
      </c>
      <c r="J972" s="2">
        <f>'Converted Diagram'!$J$1925</f>
        <v>0</v>
      </c>
      <c r="K972" s="2" t="e">
        <f>'Converted Diagram'!$J$1924</f>
        <v>#VALUE!</v>
      </c>
      <c r="L972" s="2" t="s">
        <v>1180</v>
      </c>
      <c r="M972" s="2">
        <v>0</v>
      </c>
      <c r="O972" s="2" t="str">
        <f>'Converted Diagram'!$K$1924</f>
        <v>Reduce overall rent</v>
      </c>
      <c r="P972" s="2" t="b">
        <v>0</v>
      </c>
    </row>
    <row r="973" spans="1:16" x14ac:dyDescent="0.3">
      <c r="A973" s="2" t="e">
        <f>'Converted Diagram'!$L$1927</f>
        <v>#VALUE!</v>
      </c>
      <c r="B973" s="1" t="s">
        <v>219</v>
      </c>
      <c r="C973" s="2">
        <v>0</v>
      </c>
      <c r="I973" s="2" t="s">
        <v>217</v>
      </c>
      <c r="J973" s="2">
        <f>'Converted Diagram'!$K$1927</f>
        <v>0</v>
      </c>
      <c r="K973" s="2" t="e">
        <f>'Converted Diagram'!$K$1926</f>
        <v>#VALUE!</v>
      </c>
      <c r="L973" s="2" t="s">
        <v>1181</v>
      </c>
      <c r="M973" s="2">
        <v>0</v>
      </c>
      <c r="O973" s="2" t="str">
        <f>'Converted Diagram'!$L$1926</f>
        <v>Increase Overall Convenience</v>
      </c>
      <c r="P973" s="2" t="b">
        <v>0</v>
      </c>
    </row>
    <row r="974" spans="1:16" x14ac:dyDescent="0.3">
      <c r="A974" s="2" t="e">
        <f>'Converted Diagram'!$M$1929</f>
        <v>#VALUE!</v>
      </c>
      <c r="B974" s="1" t="s">
        <v>219</v>
      </c>
      <c r="C974" s="2">
        <v>0</v>
      </c>
      <c r="I974" s="2" t="e">
        <v>#VALUE!</v>
      </c>
      <c r="J974" s="2">
        <f>'Converted Diagram'!$L$1929</f>
        <v>0</v>
      </c>
      <c r="K974" s="2" t="e">
        <f>'Converted Diagram'!$L$1928</f>
        <v>#VALUE!</v>
      </c>
      <c r="L974" s="2" t="s">
        <v>1182</v>
      </c>
      <c r="M974" s="2">
        <v>0</v>
      </c>
      <c r="P974" s="2" t="b">
        <v>0</v>
      </c>
    </row>
    <row r="975" spans="1:16" x14ac:dyDescent="0.3">
      <c r="A975" s="2" t="e">
        <f>'Converted Diagram'!$I$1931</f>
        <v>#VALUE!</v>
      </c>
      <c r="B975" s="1" t="s">
        <v>31</v>
      </c>
      <c r="C975" s="2">
        <v>0</v>
      </c>
      <c r="I975" s="2" t="s">
        <v>217</v>
      </c>
      <c r="J975" s="2">
        <f>'Converted Diagram'!$H$1931</f>
        <v>0</v>
      </c>
      <c r="K975" s="2" t="e">
        <f>'Converted Diagram'!$H$1930</f>
        <v>#VALUE!</v>
      </c>
      <c r="L975" s="2" t="s">
        <v>1183</v>
      </c>
      <c r="M975" s="2">
        <v>0</v>
      </c>
      <c r="O975" s="2" t="str">
        <f>'Converted Diagram'!$I$1930</f>
        <v>Floor</v>
      </c>
      <c r="P975" s="2" t="b">
        <v>0</v>
      </c>
    </row>
    <row r="976" spans="1:16" x14ac:dyDescent="0.3">
      <c r="A976" s="2" t="e">
        <f>'Converted Diagram'!$J$1933</f>
        <v>#VALUE!</v>
      </c>
      <c r="B976" s="1" t="s">
        <v>32</v>
      </c>
      <c r="C976" s="2">
        <v>0</v>
      </c>
      <c r="I976" s="2" t="s">
        <v>217</v>
      </c>
      <c r="J976" s="2">
        <f>'Converted Diagram'!$I$1933</f>
        <v>0</v>
      </c>
      <c r="K976" s="2" t="e">
        <f>'Converted Diagram'!$I$1932</f>
        <v>#VALUE!</v>
      </c>
      <c r="L976" s="2" t="s">
        <v>1184</v>
      </c>
      <c r="M976" s="2">
        <v>0</v>
      </c>
      <c r="O976" s="2" t="str">
        <f>'Converted Diagram'!$J$1932</f>
        <v>Reduce Commute Time</v>
      </c>
      <c r="P976" s="2" t="b">
        <v>0</v>
      </c>
    </row>
    <row r="977" spans="1:16" x14ac:dyDescent="0.3">
      <c r="A977" s="2" t="e">
        <f>'Converted Diagram'!$K$1935</f>
        <v>#VALUE!</v>
      </c>
      <c r="B977" s="1" t="s">
        <v>219</v>
      </c>
      <c r="C977" s="2">
        <v>0</v>
      </c>
      <c r="I977" s="2" t="s">
        <v>217</v>
      </c>
      <c r="J977" s="2">
        <f>'Converted Diagram'!$J$1935</f>
        <v>0</v>
      </c>
      <c r="K977" s="2" t="e">
        <f>'Converted Diagram'!$J$1934</f>
        <v>#VALUE!</v>
      </c>
      <c r="L977" s="2" t="s">
        <v>1185</v>
      </c>
      <c r="M977" s="2">
        <v>0</v>
      </c>
      <c r="O977" s="2" t="str">
        <f>'Converted Diagram'!$K$1934</f>
        <v>Reduce overall rent</v>
      </c>
      <c r="P977" s="2" t="b">
        <v>0</v>
      </c>
    </row>
    <row r="978" spans="1:16" x14ac:dyDescent="0.3">
      <c r="A978" s="2" t="e">
        <f>'Converted Diagram'!$L$1937</f>
        <v>#VALUE!</v>
      </c>
      <c r="B978" s="1" t="s">
        <v>219</v>
      </c>
      <c r="C978" s="2">
        <v>0</v>
      </c>
      <c r="I978" s="2" t="s">
        <v>217</v>
      </c>
      <c r="J978" s="2">
        <f>'Converted Diagram'!$K$1937</f>
        <v>0</v>
      </c>
      <c r="K978" s="2" t="e">
        <f>'Converted Diagram'!$K$1936</f>
        <v>#VALUE!</v>
      </c>
      <c r="L978" s="2" t="s">
        <v>1186</v>
      </c>
      <c r="M978" s="2">
        <v>0</v>
      </c>
      <c r="O978" s="2" t="str">
        <f>'Converted Diagram'!$L$1936</f>
        <v>Increase Overall Convenience</v>
      </c>
      <c r="P978" s="2" t="b">
        <v>0</v>
      </c>
    </row>
    <row r="979" spans="1:16" x14ac:dyDescent="0.3">
      <c r="A979" s="2" t="e">
        <f>'Converted Diagram'!$M$1939</f>
        <v>#VALUE!</v>
      </c>
      <c r="B979" s="1" t="s">
        <v>219</v>
      </c>
      <c r="C979" s="2">
        <v>0</v>
      </c>
      <c r="I979" s="2" t="e">
        <v>#VALUE!</v>
      </c>
      <c r="J979" s="2">
        <f>'Converted Diagram'!$L$1939</f>
        <v>0</v>
      </c>
      <c r="K979" s="2" t="e">
        <f>'Converted Diagram'!$L$1938</f>
        <v>#VALUE!</v>
      </c>
      <c r="L979" s="2" t="s">
        <v>1187</v>
      </c>
      <c r="M979" s="2">
        <v>0</v>
      </c>
      <c r="P979" s="2" t="b">
        <v>0</v>
      </c>
    </row>
    <row r="980" spans="1:16" x14ac:dyDescent="0.3">
      <c r="A980" s="2" t="e">
        <f>'Converted Diagram'!$H$1941</f>
        <v>#VALUE!</v>
      </c>
      <c r="B980" s="1" t="s">
        <v>31</v>
      </c>
      <c r="C980" s="2">
        <v>0</v>
      </c>
      <c r="I980" s="2" t="s">
        <v>217</v>
      </c>
      <c r="J980" s="2">
        <f>'Converted Diagram'!$G$1941</f>
        <v>0</v>
      </c>
      <c r="K980" s="2" t="e">
        <f>'Converted Diagram'!$G$1940</f>
        <v>#VALUE!</v>
      </c>
      <c r="L980" s="2" t="s">
        <v>1188</v>
      </c>
      <c r="M980" s="2">
        <v>0</v>
      </c>
      <c r="O980" s="2" t="str">
        <f>'Converted Diagram'!$H$1940</f>
        <v>Wi-Fi &amp; Cable Ready</v>
      </c>
      <c r="P980" s="2" t="b">
        <v>0</v>
      </c>
    </row>
    <row r="981" spans="1:16" x14ac:dyDescent="0.3">
      <c r="A981" s="2" t="e">
        <f>'Converted Diagram'!$J$1943</f>
        <v>#VALUE!</v>
      </c>
      <c r="B981" s="1" t="s">
        <v>31</v>
      </c>
      <c r="C981" s="2">
        <v>0</v>
      </c>
      <c r="I981" s="2" t="s">
        <v>217</v>
      </c>
      <c r="J981" s="2">
        <f>'Converted Diagram'!$I$1943</f>
        <v>0</v>
      </c>
      <c r="K981" s="2" t="e">
        <f>'Converted Diagram'!$I$1942</f>
        <v>#VALUE!</v>
      </c>
      <c r="L981" s="2" t="s">
        <v>1189</v>
      </c>
      <c r="M981" s="2">
        <v>0</v>
      </c>
      <c r="O981" s="2" t="str">
        <f>'Converted Diagram'!$J$1942</f>
        <v>Reduce Commute Time</v>
      </c>
      <c r="P981" s="2" t="b">
        <v>0</v>
      </c>
    </row>
    <row r="982" spans="1:16" x14ac:dyDescent="0.3">
      <c r="A982" s="2" t="e">
        <f>'Converted Diagram'!$K$1945</f>
        <v>#VALUE!</v>
      </c>
      <c r="B982" s="1" t="s">
        <v>219</v>
      </c>
      <c r="C982" s="2">
        <v>0</v>
      </c>
      <c r="I982" s="2" t="s">
        <v>217</v>
      </c>
      <c r="J982" s="2">
        <f>'Converted Diagram'!$J$1945</f>
        <v>0</v>
      </c>
      <c r="K982" s="2" t="e">
        <f>'Converted Diagram'!$J$1944</f>
        <v>#VALUE!</v>
      </c>
      <c r="L982" s="2" t="s">
        <v>1190</v>
      </c>
      <c r="M982" s="2">
        <v>0</v>
      </c>
      <c r="O982" s="2" t="str">
        <f>'Converted Diagram'!$K$1944</f>
        <v>Reduce overall rent</v>
      </c>
      <c r="P982" s="2" t="b">
        <v>0</v>
      </c>
    </row>
    <row r="983" spans="1:16" x14ac:dyDescent="0.3">
      <c r="A983" s="2" t="e">
        <f>'Converted Diagram'!$L$1947</f>
        <v>#VALUE!</v>
      </c>
      <c r="B983" s="1" t="s">
        <v>219</v>
      </c>
      <c r="C983" s="2">
        <v>0</v>
      </c>
      <c r="I983" s="2" t="s">
        <v>217</v>
      </c>
      <c r="J983" s="2">
        <f>'Converted Diagram'!$K$1947</f>
        <v>0</v>
      </c>
      <c r="K983" s="2" t="e">
        <f>'Converted Diagram'!$K$1946</f>
        <v>#VALUE!</v>
      </c>
      <c r="L983" s="2" t="s">
        <v>1191</v>
      </c>
      <c r="M983" s="2">
        <v>0</v>
      </c>
      <c r="O983" s="2" t="str">
        <f>'Converted Diagram'!$L$1946</f>
        <v>Increase Overall Convenience</v>
      </c>
      <c r="P983" s="2" t="b">
        <v>0</v>
      </c>
    </row>
    <row r="984" spans="1:16" x14ac:dyDescent="0.3">
      <c r="A984" s="2" t="e">
        <f>'Converted Diagram'!$M$1949</f>
        <v>#VALUE!</v>
      </c>
      <c r="B984" s="1" t="s">
        <v>219</v>
      </c>
      <c r="C984" s="2">
        <v>0</v>
      </c>
      <c r="I984" s="2" t="e">
        <v>#VALUE!</v>
      </c>
      <c r="J984" s="2">
        <f>'Converted Diagram'!$L$1949</f>
        <v>0</v>
      </c>
      <c r="K984" s="2" t="e">
        <f>'Converted Diagram'!$L$1948</f>
        <v>#VALUE!</v>
      </c>
      <c r="L984" s="2" t="s">
        <v>1192</v>
      </c>
      <c r="M984" s="2">
        <v>0</v>
      </c>
      <c r="P984" s="2" t="b">
        <v>0</v>
      </c>
    </row>
    <row r="985" spans="1:16" x14ac:dyDescent="0.3">
      <c r="A985" s="2" t="e">
        <f>'Converted Diagram'!$I$1951</f>
        <v>#VALUE!</v>
      </c>
      <c r="B985" s="1" t="s">
        <v>32</v>
      </c>
      <c r="C985" s="2">
        <v>0</v>
      </c>
      <c r="I985" s="2" t="s">
        <v>217</v>
      </c>
      <c r="J985" s="2">
        <f>'Converted Diagram'!$H$1951</f>
        <v>0</v>
      </c>
      <c r="K985" s="2" t="e">
        <f>'Converted Diagram'!$H$1950</f>
        <v>#VALUE!</v>
      </c>
      <c r="L985" s="2" t="s">
        <v>1193</v>
      </c>
      <c r="M985" s="2">
        <v>0</v>
      </c>
      <c r="O985" s="2" t="str">
        <f>'Converted Diagram'!$I$1950</f>
        <v>Floor</v>
      </c>
      <c r="P985" s="2" t="b">
        <v>0</v>
      </c>
    </row>
    <row r="986" spans="1:16" x14ac:dyDescent="0.3">
      <c r="A986" s="2" t="e">
        <f>'Converted Diagram'!$J$1953</f>
        <v>#VALUE!</v>
      </c>
      <c r="B986" s="1" t="s">
        <v>32</v>
      </c>
      <c r="C986" s="2">
        <v>0</v>
      </c>
      <c r="I986" s="2" t="s">
        <v>217</v>
      </c>
      <c r="J986" s="2">
        <f>'Converted Diagram'!$I$1953</f>
        <v>0</v>
      </c>
      <c r="K986" s="2" t="e">
        <f>'Converted Diagram'!$I$1952</f>
        <v>#VALUE!</v>
      </c>
      <c r="L986" s="2" t="s">
        <v>1194</v>
      </c>
      <c r="M986" s="2">
        <v>0</v>
      </c>
      <c r="O986" s="2" t="str">
        <f>'Converted Diagram'!$J$1952</f>
        <v>Reduce Commute Time</v>
      </c>
      <c r="P986" s="2" t="b">
        <v>0</v>
      </c>
    </row>
    <row r="987" spans="1:16" x14ac:dyDescent="0.3">
      <c r="A987" s="2" t="e">
        <f>'Converted Diagram'!$K$1955</f>
        <v>#VALUE!</v>
      </c>
      <c r="B987" s="1" t="s">
        <v>219</v>
      </c>
      <c r="C987" s="2">
        <v>0</v>
      </c>
      <c r="I987" s="2" t="s">
        <v>217</v>
      </c>
      <c r="J987" s="2">
        <f>'Converted Diagram'!$J$1955</f>
        <v>0</v>
      </c>
      <c r="K987" s="2" t="e">
        <f>'Converted Diagram'!$J$1954</f>
        <v>#VALUE!</v>
      </c>
      <c r="L987" s="2" t="s">
        <v>1195</v>
      </c>
      <c r="M987" s="2">
        <v>0</v>
      </c>
      <c r="O987" s="2" t="str">
        <f>'Converted Diagram'!$K$1954</f>
        <v>Reduce overall rent</v>
      </c>
      <c r="P987" s="2" t="b">
        <v>0</v>
      </c>
    </row>
    <row r="988" spans="1:16" x14ac:dyDescent="0.3">
      <c r="A988" s="2" t="e">
        <f>'Converted Diagram'!$L$1957</f>
        <v>#VALUE!</v>
      </c>
      <c r="B988" s="1" t="s">
        <v>219</v>
      </c>
      <c r="C988" s="2">
        <v>0</v>
      </c>
      <c r="I988" s="2" t="s">
        <v>217</v>
      </c>
      <c r="J988" s="2">
        <f>'Converted Diagram'!$K$1957</f>
        <v>0</v>
      </c>
      <c r="K988" s="2" t="e">
        <f>'Converted Diagram'!$K$1956</f>
        <v>#VALUE!</v>
      </c>
      <c r="L988" s="2" t="s">
        <v>1196</v>
      </c>
      <c r="M988" s="2">
        <v>0</v>
      </c>
      <c r="O988" s="2" t="str">
        <f>'Converted Diagram'!$L$1956</f>
        <v>Increase Overall Convenience</v>
      </c>
      <c r="P988" s="2" t="b">
        <v>0</v>
      </c>
    </row>
    <row r="989" spans="1:16" x14ac:dyDescent="0.3">
      <c r="A989" s="2" t="e">
        <f>'Converted Diagram'!$M$1959</f>
        <v>#VALUE!</v>
      </c>
      <c r="B989" s="1" t="s">
        <v>219</v>
      </c>
      <c r="C989" s="2">
        <v>0</v>
      </c>
      <c r="I989" s="2" t="e">
        <v>#VALUE!</v>
      </c>
      <c r="J989" s="2">
        <f>'Converted Diagram'!$L$1959</f>
        <v>0</v>
      </c>
      <c r="K989" s="2" t="e">
        <f>'Converted Diagram'!$L$1958</f>
        <v>#VALUE!</v>
      </c>
      <c r="L989" s="2" t="s">
        <v>1197</v>
      </c>
      <c r="M989" s="2">
        <v>0</v>
      </c>
      <c r="P989" s="2" t="b">
        <v>0</v>
      </c>
    </row>
    <row r="990" spans="1:16" x14ac:dyDescent="0.3">
      <c r="A990" s="2" t="e">
        <f>'Converted Diagram'!$G$1961</f>
        <v>#VALUE!</v>
      </c>
      <c r="B990" s="1" t="s">
        <v>31</v>
      </c>
      <c r="C990" s="2">
        <v>0</v>
      </c>
      <c r="I990" s="2" t="s">
        <v>217</v>
      </c>
      <c r="J990" s="2">
        <f>'Converted Diagram'!$F$1961</f>
        <v>0</v>
      </c>
      <c r="K990" s="2" t="e">
        <f>'Converted Diagram'!$F$1960</f>
        <v>#VALUE!</v>
      </c>
      <c r="L990" s="2" t="s">
        <v>1198</v>
      </c>
      <c r="M990" s="2">
        <v>0</v>
      </c>
      <c r="O990" s="2" t="str">
        <f>'Converted Diagram'!$G$1960</f>
        <v>Grocery Store</v>
      </c>
      <c r="P990" s="2" t="b">
        <v>0</v>
      </c>
    </row>
    <row r="991" spans="1:16" x14ac:dyDescent="0.3">
      <c r="A991" s="2" t="e">
        <f>'Converted Diagram'!$J$1963</f>
        <v>#VALUE!</v>
      </c>
      <c r="B991" s="1" t="s">
        <v>31</v>
      </c>
      <c r="C991" s="2">
        <v>0</v>
      </c>
      <c r="I991" s="2" t="s">
        <v>217</v>
      </c>
      <c r="J991" s="2">
        <f>'Converted Diagram'!$I$1963</f>
        <v>0</v>
      </c>
      <c r="K991" s="2" t="e">
        <f>'Converted Diagram'!$I$1962</f>
        <v>#VALUE!</v>
      </c>
      <c r="L991" s="2" t="s">
        <v>1199</v>
      </c>
      <c r="M991" s="2">
        <v>0</v>
      </c>
      <c r="O991" s="2" t="str">
        <f>'Converted Diagram'!$J$1962</f>
        <v>Reduce Commute Time</v>
      </c>
      <c r="P991" s="2" t="b">
        <v>0</v>
      </c>
    </row>
    <row r="992" spans="1:16" x14ac:dyDescent="0.3">
      <c r="A992" s="2" t="e">
        <f>'Converted Diagram'!$K$1965</f>
        <v>#VALUE!</v>
      </c>
      <c r="B992" s="1" t="s">
        <v>219</v>
      </c>
      <c r="C992" s="2">
        <v>0</v>
      </c>
      <c r="I992" s="2" t="s">
        <v>217</v>
      </c>
      <c r="J992" s="2">
        <f>'Converted Diagram'!$J$1965</f>
        <v>0</v>
      </c>
      <c r="K992" s="2" t="e">
        <f>'Converted Diagram'!$J$1964</f>
        <v>#VALUE!</v>
      </c>
      <c r="L992" s="2" t="s">
        <v>1200</v>
      </c>
      <c r="M992" s="2">
        <v>0</v>
      </c>
      <c r="O992" s="2" t="str">
        <f>'Converted Diagram'!$K$1964</f>
        <v>Reduce overall rent</v>
      </c>
      <c r="P992" s="2" t="b">
        <v>0</v>
      </c>
    </row>
    <row r="993" spans="1:16" x14ac:dyDescent="0.3">
      <c r="A993" s="2" t="e">
        <f>'Converted Diagram'!$L$1967</f>
        <v>#VALUE!</v>
      </c>
      <c r="B993" s="1" t="s">
        <v>219</v>
      </c>
      <c r="C993" s="2">
        <v>0</v>
      </c>
      <c r="I993" s="2" t="s">
        <v>217</v>
      </c>
      <c r="J993" s="2">
        <f>'Converted Diagram'!$K$1967</f>
        <v>0</v>
      </c>
      <c r="K993" s="2" t="e">
        <f>'Converted Diagram'!$K$1966</f>
        <v>#VALUE!</v>
      </c>
      <c r="L993" s="2" t="s">
        <v>1201</v>
      </c>
      <c r="M993" s="2">
        <v>0</v>
      </c>
      <c r="O993" s="2" t="str">
        <f>'Converted Diagram'!$L$1966</f>
        <v>Increase Overall Convenience</v>
      </c>
      <c r="P993" s="2" t="b">
        <v>0</v>
      </c>
    </row>
    <row r="994" spans="1:16" x14ac:dyDescent="0.3">
      <c r="A994" s="2" t="e">
        <f>'Converted Diagram'!$M$1969</f>
        <v>#VALUE!</v>
      </c>
      <c r="B994" s="1" t="s">
        <v>219</v>
      </c>
      <c r="C994" s="2">
        <v>0</v>
      </c>
      <c r="I994" s="2" t="e">
        <v>#VALUE!</v>
      </c>
      <c r="J994" s="2">
        <f>'Converted Diagram'!$L$1969</f>
        <v>0</v>
      </c>
      <c r="K994" s="2" t="e">
        <f>'Converted Diagram'!$L$1968</f>
        <v>#VALUE!</v>
      </c>
      <c r="L994" s="2" t="s">
        <v>1202</v>
      </c>
      <c r="M994" s="2">
        <v>0</v>
      </c>
      <c r="P994" s="2" t="b">
        <v>0</v>
      </c>
    </row>
    <row r="995" spans="1:16" x14ac:dyDescent="0.3">
      <c r="A995" s="2" t="e">
        <f>'Converted Diagram'!$I$1971</f>
        <v>#VALUE!</v>
      </c>
      <c r="B995" s="1" t="s">
        <v>31</v>
      </c>
      <c r="C995" s="2">
        <v>0</v>
      </c>
      <c r="I995" s="2" t="s">
        <v>217</v>
      </c>
      <c r="J995" s="2">
        <f>'Converted Diagram'!$H$1971</f>
        <v>0</v>
      </c>
      <c r="K995" s="2" t="e">
        <f>'Converted Diagram'!$H$1970</f>
        <v>#VALUE!</v>
      </c>
      <c r="L995" s="2" t="s">
        <v>1203</v>
      </c>
      <c r="M995" s="2">
        <v>0</v>
      </c>
      <c r="O995" s="2" t="str">
        <f>'Converted Diagram'!$I$1970</f>
        <v>Floor</v>
      </c>
      <c r="P995" s="2" t="b">
        <v>0</v>
      </c>
    </row>
    <row r="996" spans="1:16" x14ac:dyDescent="0.3">
      <c r="A996" s="2" t="e">
        <f>'Converted Diagram'!$J$1973</f>
        <v>#VALUE!</v>
      </c>
      <c r="B996" s="1" t="s">
        <v>32</v>
      </c>
      <c r="C996" s="2">
        <v>0</v>
      </c>
      <c r="I996" s="2" t="s">
        <v>217</v>
      </c>
      <c r="J996" s="2">
        <f>'Converted Diagram'!$I$1973</f>
        <v>0</v>
      </c>
      <c r="K996" s="2" t="e">
        <f>'Converted Diagram'!$I$1972</f>
        <v>#VALUE!</v>
      </c>
      <c r="L996" s="2" t="s">
        <v>1204</v>
      </c>
      <c r="M996" s="2">
        <v>0</v>
      </c>
      <c r="O996" s="2" t="str">
        <f>'Converted Diagram'!$J$1972</f>
        <v>Reduce Commute Time</v>
      </c>
      <c r="P996" s="2" t="b">
        <v>0</v>
      </c>
    </row>
    <row r="997" spans="1:16" x14ac:dyDescent="0.3">
      <c r="A997" s="2" t="e">
        <f>'Converted Diagram'!$K$1975</f>
        <v>#VALUE!</v>
      </c>
      <c r="B997" s="1" t="s">
        <v>219</v>
      </c>
      <c r="C997" s="2">
        <v>0</v>
      </c>
      <c r="I997" s="2" t="s">
        <v>217</v>
      </c>
      <c r="J997" s="2">
        <f>'Converted Diagram'!$J$1975</f>
        <v>0</v>
      </c>
      <c r="K997" s="2" t="e">
        <f>'Converted Diagram'!$J$1974</f>
        <v>#VALUE!</v>
      </c>
      <c r="L997" s="2" t="s">
        <v>1205</v>
      </c>
      <c r="M997" s="2">
        <v>0</v>
      </c>
      <c r="O997" s="2" t="str">
        <f>'Converted Diagram'!$K$1974</f>
        <v>Reduce overall rent</v>
      </c>
      <c r="P997" s="2" t="b">
        <v>0</v>
      </c>
    </row>
    <row r="998" spans="1:16" x14ac:dyDescent="0.3">
      <c r="A998" s="2" t="e">
        <f>'Converted Diagram'!$L$1977</f>
        <v>#VALUE!</v>
      </c>
      <c r="B998" s="1" t="s">
        <v>219</v>
      </c>
      <c r="C998" s="2">
        <v>0</v>
      </c>
      <c r="I998" s="2" t="s">
        <v>217</v>
      </c>
      <c r="J998" s="2">
        <f>'Converted Diagram'!$K$1977</f>
        <v>0</v>
      </c>
      <c r="K998" s="2" t="e">
        <f>'Converted Diagram'!$K$1976</f>
        <v>#VALUE!</v>
      </c>
      <c r="L998" s="2" t="s">
        <v>1206</v>
      </c>
      <c r="M998" s="2">
        <v>0</v>
      </c>
      <c r="O998" s="2" t="str">
        <f>'Converted Diagram'!$L$1976</f>
        <v>Increase Overall Convenience</v>
      </c>
      <c r="P998" s="2" t="b">
        <v>0</v>
      </c>
    </row>
    <row r="999" spans="1:16" x14ac:dyDescent="0.3">
      <c r="A999" s="2" t="e">
        <f>'Converted Diagram'!$M$1979</f>
        <v>#VALUE!</v>
      </c>
      <c r="B999" s="1" t="s">
        <v>219</v>
      </c>
      <c r="C999" s="2">
        <v>0</v>
      </c>
      <c r="I999" s="2" t="e">
        <v>#VALUE!</v>
      </c>
      <c r="J999" s="2">
        <f>'Converted Diagram'!$L$1979</f>
        <v>0</v>
      </c>
      <c r="K999" s="2" t="e">
        <f>'Converted Diagram'!$L$1978</f>
        <v>#VALUE!</v>
      </c>
      <c r="L999" s="2" t="s">
        <v>1207</v>
      </c>
      <c r="M999" s="2">
        <v>0</v>
      </c>
      <c r="P999" s="2" t="b">
        <v>0</v>
      </c>
    </row>
    <row r="1000" spans="1:16" x14ac:dyDescent="0.3">
      <c r="A1000" s="2" t="e">
        <f>'Converted Diagram'!$H$1981</f>
        <v>#VALUE!</v>
      </c>
      <c r="B1000" s="1" t="s">
        <v>32</v>
      </c>
      <c r="C1000" s="2">
        <v>0</v>
      </c>
      <c r="I1000" s="2" t="s">
        <v>217</v>
      </c>
      <c r="J1000" s="2">
        <f>'Converted Diagram'!$G$1981</f>
        <v>0</v>
      </c>
      <c r="K1000" s="2" t="e">
        <f>'Converted Diagram'!$G$1980</f>
        <v>#VALUE!</v>
      </c>
      <c r="L1000" s="2" t="s">
        <v>1208</v>
      </c>
      <c r="M1000" s="2">
        <v>0</v>
      </c>
      <c r="O1000" s="2" t="str">
        <f>'Converted Diagram'!$H$1980</f>
        <v>Wi-Fi &amp; Cable Ready</v>
      </c>
      <c r="P1000" s="2" t="b">
        <v>0</v>
      </c>
    </row>
    <row r="1001" spans="1:16" x14ac:dyDescent="0.3">
      <c r="A1001" s="2" t="e">
        <f>'Converted Diagram'!$J$1983</f>
        <v>#VALUE!</v>
      </c>
      <c r="B1001" s="1" t="s">
        <v>31</v>
      </c>
      <c r="C1001" s="2">
        <v>0</v>
      </c>
      <c r="I1001" s="2" t="s">
        <v>217</v>
      </c>
      <c r="J1001" s="2">
        <f>'Converted Diagram'!$I$1983</f>
        <v>0</v>
      </c>
      <c r="K1001" s="2" t="e">
        <f>'Converted Diagram'!$I$1982</f>
        <v>#VALUE!</v>
      </c>
      <c r="L1001" s="2" t="s">
        <v>1209</v>
      </c>
      <c r="M1001" s="2">
        <v>0</v>
      </c>
      <c r="O1001" s="2" t="str">
        <f>'Converted Diagram'!$J$1982</f>
        <v>Reduce Commute Time</v>
      </c>
      <c r="P1001" s="2" t="b">
        <v>0</v>
      </c>
    </row>
    <row r="1002" spans="1:16" x14ac:dyDescent="0.3">
      <c r="A1002" s="2" t="e">
        <f>'Converted Diagram'!$K$1985</f>
        <v>#VALUE!</v>
      </c>
      <c r="B1002" s="1" t="s">
        <v>219</v>
      </c>
      <c r="C1002" s="2">
        <v>0</v>
      </c>
      <c r="I1002" s="2" t="s">
        <v>217</v>
      </c>
      <c r="J1002" s="2">
        <f>'Converted Diagram'!$J$1985</f>
        <v>0</v>
      </c>
      <c r="K1002" s="2" t="e">
        <f>'Converted Diagram'!$J$1984</f>
        <v>#VALUE!</v>
      </c>
      <c r="L1002" s="2" t="s">
        <v>1210</v>
      </c>
      <c r="M1002" s="2">
        <v>0</v>
      </c>
      <c r="O1002" s="2" t="str">
        <f>'Converted Diagram'!$K$1984</f>
        <v>Reduce overall rent</v>
      </c>
      <c r="P1002" s="2" t="b">
        <v>0</v>
      </c>
    </row>
    <row r="1003" spans="1:16" x14ac:dyDescent="0.3">
      <c r="A1003" s="2" t="e">
        <f>'Converted Diagram'!$L$1987</f>
        <v>#VALUE!</v>
      </c>
      <c r="B1003" s="1" t="s">
        <v>219</v>
      </c>
      <c r="C1003" s="2">
        <v>0</v>
      </c>
      <c r="I1003" s="2" t="s">
        <v>217</v>
      </c>
      <c r="J1003" s="2">
        <f>'Converted Diagram'!$K$1987</f>
        <v>0</v>
      </c>
      <c r="K1003" s="2" t="e">
        <f>'Converted Diagram'!$K$1986</f>
        <v>#VALUE!</v>
      </c>
      <c r="L1003" s="2" t="s">
        <v>1211</v>
      </c>
      <c r="M1003" s="2">
        <v>0</v>
      </c>
      <c r="O1003" s="2" t="str">
        <f>'Converted Diagram'!$L$1986</f>
        <v>Increase Overall Convenience</v>
      </c>
      <c r="P1003" s="2" t="b">
        <v>0</v>
      </c>
    </row>
    <row r="1004" spans="1:16" x14ac:dyDescent="0.3">
      <c r="A1004" s="2" t="e">
        <f>'Converted Diagram'!$M$1989</f>
        <v>#VALUE!</v>
      </c>
      <c r="B1004" s="1" t="s">
        <v>219</v>
      </c>
      <c r="C1004" s="2">
        <v>0</v>
      </c>
      <c r="I1004" s="2" t="e">
        <v>#VALUE!</v>
      </c>
      <c r="J1004" s="2">
        <f>'Converted Diagram'!$L$1989</f>
        <v>0</v>
      </c>
      <c r="K1004" s="2" t="e">
        <f>'Converted Diagram'!$L$1988</f>
        <v>#VALUE!</v>
      </c>
      <c r="L1004" s="2" t="s">
        <v>1212</v>
      </c>
      <c r="M1004" s="2">
        <v>0</v>
      </c>
      <c r="P1004" s="2" t="b">
        <v>0</v>
      </c>
    </row>
    <row r="1005" spans="1:16" x14ac:dyDescent="0.3">
      <c r="A1005" s="2" t="e">
        <f>'Converted Diagram'!$I$1991</f>
        <v>#VALUE!</v>
      </c>
      <c r="B1005" s="1" t="s">
        <v>32</v>
      </c>
      <c r="C1005" s="2">
        <v>0</v>
      </c>
      <c r="I1005" s="2" t="s">
        <v>217</v>
      </c>
      <c r="J1005" s="2">
        <f>'Converted Diagram'!$H$1991</f>
        <v>0</v>
      </c>
      <c r="K1005" s="2" t="e">
        <f>'Converted Diagram'!$H$1990</f>
        <v>#VALUE!</v>
      </c>
      <c r="L1005" s="2" t="s">
        <v>1213</v>
      </c>
      <c r="M1005" s="2">
        <v>0</v>
      </c>
      <c r="O1005" s="2" t="str">
        <f>'Converted Diagram'!$I$1990</f>
        <v>Floor</v>
      </c>
      <c r="P1005" s="2" t="b">
        <v>0</v>
      </c>
    </row>
    <row r="1006" spans="1:16" x14ac:dyDescent="0.3">
      <c r="A1006" s="2" t="e">
        <f>'Converted Diagram'!$J$1993</f>
        <v>#VALUE!</v>
      </c>
      <c r="B1006" s="1" t="s">
        <v>32</v>
      </c>
      <c r="C1006" s="2">
        <v>0</v>
      </c>
      <c r="I1006" s="2" t="s">
        <v>217</v>
      </c>
      <c r="J1006" s="2">
        <f>'Converted Diagram'!$I$1993</f>
        <v>0</v>
      </c>
      <c r="K1006" s="2" t="e">
        <f>'Converted Diagram'!$I$1992</f>
        <v>#VALUE!</v>
      </c>
      <c r="L1006" s="2" t="s">
        <v>1214</v>
      </c>
      <c r="M1006" s="2">
        <v>0</v>
      </c>
      <c r="O1006" s="2" t="str">
        <f>'Converted Diagram'!$J$1992</f>
        <v>Reduce Commute Time</v>
      </c>
      <c r="P1006" s="2" t="b">
        <v>0</v>
      </c>
    </row>
    <row r="1007" spans="1:16" x14ac:dyDescent="0.3">
      <c r="A1007" s="2" t="e">
        <f>'Converted Diagram'!$K$1995</f>
        <v>#VALUE!</v>
      </c>
      <c r="B1007" s="1" t="s">
        <v>219</v>
      </c>
      <c r="C1007" s="2">
        <v>0</v>
      </c>
      <c r="I1007" s="2" t="s">
        <v>217</v>
      </c>
      <c r="J1007" s="2">
        <f>'Converted Diagram'!$J$1995</f>
        <v>0</v>
      </c>
      <c r="K1007" s="2" t="e">
        <f>'Converted Diagram'!$J$1994</f>
        <v>#VALUE!</v>
      </c>
      <c r="L1007" s="2" t="s">
        <v>1215</v>
      </c>
      <c r="M1007" s="2">
        <v>0</v>
      </c>
      <c r="O1007" s="2" t="str">
        <f>'Converted Diagram'!$K$1994</f>
        <v>Reduce overall rent</v>
      </c>
      <c r="P1007" s="2" t="b">
        <v>0</v>
      </c>
    </row>
    <row r="1008" spans="1:16" x14ac:dyDescent="0.3">
      <c r="A1008" s="2" t="e">
        <f>'Converted Diagram'!$L$1997</f>
        <v>#VALUE!</v>
      </c>
      <c r="B1008" s="1" t="s">
        <v>219</v>
      </c>
      <c r="C1008" s="2">
        <v>0</v>
      </c>
      <c r="I1008" s="2" t="s">
        <v>217</v>
      </c>
      <c r="J1008" s="2">
        <f>'Converted Diagram'!$K$1997</f>
        <v>0</v>
      </c>
      <c r="K1008" s="2" t="e">
        <f>'Converted Diagram'!$K$1996</f>
        <v>#VALUE!</v>
      </c>
      <c r="L1008" s="2" t="s">
        <v>1216</v>
      </c>
      <c r="M1008" s="2">
        <v>0</v>
      </c>
      <c r="O1008" s="2" t="str">
        <f>'Converted Diagram'!$L$1996</f>
        <v>Increase Overall Convenience</v>
      </c>
      <c r="P1008" s="2" t="b">
        <v>0</v>
      </c>
    </row>
    <row r="1009" spans="1:16" x14ac:dyDescent="0.3">
      <c r="A1009" s="2" t="e">
        <f>'Converted Diagram'!$M$1999</f>
        <v>#VALUE!</v>
      </c>
      <c r="B1009" s="1" t="s">
        <v>219</v>
      </c>
      <c r="C1009" s="2">
        <v>0</v>
      </c>
      <c r="I1009" s="2" t="e">
        <v>#VALUE!</v>
      </c>
      <c r="J1009" s="2">
        <f>'Converted Diagram'!$L$1999</f>
        <v>0</v>
      </c>
      <c r="K1009" s="2" t="e">
        <f>'Converted Diagram'!$L$1998</f>
        <v>#VALUE!</v>
      </c>
      <c r="L1009" s="2" t="s">
        <v>1217</v>
      </c>
      <c r="M1009" s="2">
        <v>0</v>
      </c>
      <c r="P1009" s="2" t="b">
        <v>0</v>
      </c>
    </row>
    <row r="1010" spans="1:16" x14ac:dyDescent="0.3">
      <c r="A1010" s="2" t="e">
        <f>'Converted Diagram'!$F$2001</f>
        <v>#VALUE!</v>
      </c>
      <c r="B1010" s="1" t="s">
        <v>31</v>
      </c>
      <c r="C1010" s="2">
        <v>0</v>
      </c>
      <c r="I1010" s="2" t="s">
        <v>217</v>
      </c>
      <c r="J1010" s="2">
        <f>'Converted Diagram'!$E$2001</f>
        <v>0</v>
      </c>
      <c r="K1010" s="2" t="e">
        <f>'Converted Diagram'!$E$2000</f>
        <v>#VALUE!</v>
      </c>
      <c r="L1010" s="2" t="s">
        <v>1218</v>
      </c>
      <c r="M1010" s="2">
        <v>0</v>
      </c>
      <c r="O1010" s="2" t="str">
        <f>'Converted Diagram'!$F$2000</f>
        <v>Utilities</v>
      </c>
      <c r="P1010" s="2" t="b">
        <v>0</v>
      </c>
    </row>
    <row r="1011" spans="1:16" x14ac:dyDescent="0.3">
      <c r="A1011" s="2" t="e">
        <f>'Converted Diagram'!$J$2003</f>
        <v>#VALUE!</v>
      </c>
      <c r="B1011" s="1" t="s">
        <v>31</v>
      </c>
      <c r="C1011" s="2">
        <v>0</v>
      </c>
      <c r="I1011" s="2" t="s">
        <v>217</v>
      </c>
      <c r="J1011" s="2">
        <f>'Converted Diagram'!$I$2003</f>
        <v>0</v>
      </c>
      <c r="K1011" s="2" t="e">
        <f>'Converted Diagram'!$I$2002</f>
        <v>#VALUE!</v>
      </c>
      <c r="L1011" s="2" t="s">
        <v>1219</v>
      </c>
      <c r="M1011" s="2">
        <v>0</v>
      </c>
      <c r="O1011" s="2" t="str">
        <f>'Converted Diagram'!$J$2002</f>
        <v>Reduce Commute Time</v>
      </c>
      <c r="P1011" s="2" t="b">
        <v>0</v>
      </c>
    </row>
    <row r="1012" spans="1:16" x14ac:dyDescent="0.3">
      <c r="A1012" s="2" t="e">
        <f>'Converted Diagram'!$K$2005</f>
        <v>#VALUE!</v>
      </c>
      <c r="B1012" s="1" t="s">
        <v>219</v>
      </c>
      <c r="C1012" s="2">
        <v>0</v>
      </c>
      <c r="I1012" s="2" t="s">
        <v>217</v>
      </c>
      <c r="J1012" s="2">
        <f>'Converted Diagram'!$J$2005</f>
        <v>0</v>
      </c>
      <c r="K1012" s="2" t="e">
        <f>'Converted Diagram'!$J$2004</f>
        <v>#VALUE!</v>
      </c>
      <c r="L1012" s="2" t="s">
        <v>1220</v>
      </c>
      <c r="M1012" s="2">
        <v>0</v>
      </c>
      <c r="O1012" s="2" t="str">
        <f>'Converted Diagram'!$K$2004</f>
        <v>Reduce overall rent</v>
      </c>
      <c r="P1012" s="2" t="b">
        <v>0</v>
      </c>
    </row>
    <row r="1013" spans="1:16" x14ac:dyDescent="0.3">
      <c r="A1013" s="2" t="e">
        <f>'Converted Diagram'!$L$2007</f>
        <v>#VALUE!</v>
      </c>
      <c r="B1013" s="1" t="s">
        <v>219</v>
      </c>
      <c r="C1013" s="2">
        <v>0</v>
      </c>
      <c r="I1013" s="2" t="s">
        <v>217</v>
      </c>
      <c r="J1013" s="2">
        <f>'Converted Diagram'!$K$2007</f>
        <v>0</v>
      </c>
      <c r="K1013" s="2" t="e">
        <f>'Converted Diagram'!$K$2006</f>
        <v>#VALUE!</v>
      </c>
      <c r="L1013" s="2" t="s">
        <v>1221</v>
      </c>
      <c r="M1013" s="2">
        <v>0</v>
      </c>
      <c r="O1013" s="2" t="str">
        <f>'Converted Diagram'!$L$2006</f>
        <v>Increase Overall Convenience</v>
      </c>
      <c r="P1013" s="2" t="b">
        <v>0</v>
      </c>
    </row>
    <row r="1014" spans="1:16" x14ac:dyDescent="0.3">
      <c r="A1014" s="2" t="e">
        <f>'Converted Diagram'!$M$2009</f>
        <v>#VALUE!</v>
      </c>
      <c r="B1014" s="1" t="s">
        <v>219</v>
      </c>
      <c r="C1014" s="2">
        <v>0</v>
      </c>
      <c r="I1014" s="2" t="e">
        <v>#VALUE!</v>
      </c>
      <c r="J1014" s="2">
        <f>'Converted Diagram'!$L$2009</f>
        <v>0</v>
      </c>
      <c r="K1014" s="2" t="e">
        <f>'Converted Diagram'!$L$2008</f>
        <v>#VALUE!</v>
      </c>
      <c r="L1014" s="2" t="s">
        <v>1222</v>
      </c>
      <c r="M1014" s="2">
        <v>0</v>
      </c>
      <c r="P1014" s="2" t="b">
        <v>0</v>
      </c>
    </row>
    <row r="1015" spans="1:16" x14ac:dyDescent="0.3">
      <c r="A1015" s="2" t="e">
        <f>'Converted Diagram'!$I$2011</f>
        <v>#VALUE!</v>
      </c>
      <c r="B1015" s="1" t="s">
        <v>31</v>
      </c>
      <c r="C1015" s="2">
        <v>0</v>
      </c>
      <c r="I1015" s="2" t="s">
        <v>217</v>
      </c>
      <c r="J1015" s="2">
        <f>'Converted Diagram'!$H$2011</f>
        <v>0</v>
      </c>
      <c r="K1015" s="2" t="e">
        <f>'Converted Diagram'!$H$2010</f>
        <v>#VALUE!</v>
      </c>
      <c r="L1015" s="2" t="s">
        <v>1223</v>
      </c>
      <c r="M1015" s="2">
        <v>0</v>
      </c>
      <c r="O1015" s="2" t="str">
        <f>'Converted Diagram'!$I$2010</f>
        <v>Floor</v>
      </c>
      <c r="P1015" s="2" t="b">
        <v>0</v>
      </c>
    </row>
    <row r="1016" spans="1:16" x14ac:dyDescent="0.3">
      <c r="A1016" s="2" t="e">
        <f>'Converted Diagram'!$J$2013</f>
        <v>#VALUE!</v>
      </c>
      <c r="B1016" s="1" t="s">
        <v>32</v>
      </c>
      <c r="C1016" s="2">
        <v>0</v>
      </c>
      <c r="I1016" s="2" t="s">
        <v>217</v>
      </c>
      <c r="J1016" s="2">
        <f>'Converted Diagram'!$I$2013</f>
        <v>0</v>
      </c>
      <c r="K1016" s="2" t="e">
        <f>'Converted Diagram'!$I$2012</f>
        <v>#VALUE!</v>
      </c>
      <c r="L1016" s="2" t="s">
        <v>1224</v>
      </c>
      <c r="M1016" s="2">
        <v>0</v>
      </c>
      <c r="O1016" s="2" t="str">
        <f>'Converted Diagram'!$J$2012</f>
        <v>Reduce Commute Time</v>
      </c>
      <c r="P1016" s="2" t="b">
        <v>0</v>
      </c>
    </row>
    <row r="1017" spans="1:16" x14ac:dyDescent="0.3">
      <c r="A1017" s="2" t="e">
        <f>'Converted Diagram'!$K$2015</f>
        <v>#VALUE!</v>
      </c>
      <c r="B1017" s="1" t="s">
        <v>219</v>
      </c>
      <c r="C1017" s="2">
        <v>0</v>
      </c>
      <c r="I1017" s="2" t="s">
        <v>217</v>
      </c>
      <c r="J1017" s="2">
        <f>'Converted Diagram'!$J$2015</f>
        <v>0</v>
      </c>
      <c r="K1017" s="2" t="e">
        <f>'Converted Diagram'!$J$2014</f>
        <v>#VALUE!</v>
      </c>
      <c r="L1017" s="2" t="s">
        <v>1225</v>
      </c>
      <c r="M1017" s="2">
        <v>0</v>
      </c>
      <c r="O1017" s="2" t="str">
        <f>'Converted Diagram'!$K$2014</f>
        <v>Reduce overall rent</v>
      </c>
      <c r="P1017" s="2" t="b">
        <v>0</v>
      </c>
    </row>
    <row r="1018" spans="1:16" x14ac:dyDescent="0.3">
      <c r="A1018" s="2" t="e">
        <f>'Converted Diagram'!$L$2017</f>
        <v>#VALUE!</v>
      </c>
      <c r="B1018" s="1" t="s">
        <v>219</v>
      </c>
      <c r="C1018" s="2">
        <v>0</v>
      </c>
      <c r="I1018" s="2" t="s">
        <v>217</v>
      </c>
      <c r="J1018" s="2">
        <f>'Converted Diagram'!$K$2017</f>
        <v>0</v>
      </c>
      <c r="K1018" s="2" t="e">
        <f>'Converted Diagram'!$K$2016</f>
        <v>#VALUE!</v>
      </c>
      <c r="L1018" s="2" t="s">
        <v>1226</v>
      </c>
      <c r="M1018" s="2">
        <v>0</v>
      </c>
      <c r="O1018" s="2" t="str">
        <f>'Converted Diagram'!$L$2016</f>
        <v>Increase Overall Convenience</v>
      </c>
      <c r="P1018" s="2" t="b">
        <v>0</v>
      </c>
    </row>
    <row r="1019" spans="1:16" x14ac:dyDescent="0.3">
      <c r="A1019" s="2" t="e">
        <f>'Converted Diagram'!$M$2019</f>
        <v>#VALUE!</v>
      </c>
      <c r="B1019" s="1" t="s">
        <v>219</v>
      </c>
      <c r="C1019" s="2">
        <v>0</v>
      </c>
      <c r="I1019" s="2" t="e">
        <v>#VALUE!</v>
      </c>
      <c r="J1019" s="2">
        <f>'Converted Diagram'!$L$2019</f>
        <v>0</v>
      </c>
      <c r="K1019" s="2" t="e">
        <f>'Converted Diagram'!$L$2018</f>
        <v>#VALUE!</v>
      </c>
      <c r="L1019" s="2" t="s">
        <v>1227</v>
      </c>
      <c r="M1019" s="2">
        <v>0</v>
      </c>
      <c r="P1019" s="2" t="b">
        <v>0</v>
      </c>
    </row>
    <row r="1020" spans="1:16" x14ac:dyDescent="0.3">
      <c r="A1020" s="2" t="e">
        <f>'Converted Diagram'!$H$2021</f>
        <v>#VALUE!</v>
      </c>
      <c r="B1020" s="1" t="s">
        <v>31</v>
      </c>
      <c r="C1020" s="2">
        <v>0</v>
      </c>
      <c r="I1020" s="2" t="s">
        <v>217</v>
      </c>
      <c r="J1020" s="2">
        <f>'Converted Diagram'!$G$2021</f>
        <v>0</v>
      </c>
      <c r="K1020" s="2" t="e">
        <f>'Converted Diagram'!$G$2020</f>
        <v>#VALUE!</v>
      </c>
      <c r="L1020" s="2" t="s">
        <v>1228</v>
      </c>
      <c r="M1020" s="2">
        <v>0</v>
      </c>
      <c r="O1020" s="2" t="str">
        <f>'Converted Diagram'!$H$2020</f>
        <v>Wi-Fi &amp; Cable Ready</v>
      </c>
      <c r="P1020" s="2" t="b">
        <v>0</v>
      </c>
    </row>
    <row r="1021" spans="1:16" x14ac:dyDescent="0.3">
      <c r="A1021" s="2" t="e">
        <f>'Converted Diagram'!$J$2023</f>
        <v>#VALUE!</v>
      </c>
      <c r="B1021" s="1" t="s">
        <v>31</v>
      </c>
      <c r="C1021" s="2">
        <v>0</v>
      </c>
      <c r="I1021" s="2" t="s">
        <v>217</v>
      </c>
      <c r="J1021" s="2">
        <f>'Converted Diagram'!$I$2023</f>
        <v>0</v>
      </c>
      <c r="K1021" s="2" t="e">
        <f>'Converted Diagram'!$I$2022</f>
        <v>#VALUE!</v>
      </c>
      <c r="L1021" s="2" t="s">
        <v>1229</v>
      </c>
      <c r="M1021" s="2">
        <v>0</v>
      </c>
      <c r="O1021" s="2" t="str">
        <f>'Converted Diagram'!$J$2022</f>
        <v>Reduce Commute Time</v>
      </c>
      <c r="P1021" s="2" t="b">
        <v>0</v>
      </c>
    </row>
    <row r="1022" spans="1:16" x14ac:dyDescent="0.3">
      <c r="A1022" s="2" t="e">
        <f>'Converted Diagram'!$K$2025</f>
        <v>#VALUE!</v>
      </c>
      <c r="B1022" s="1" t="s">
        <v>219</v>
      </c>
      <c r="C1022" s="2">
        <v>0</v>
      </c>
      <c r="I1022" s="2" t="s">
        <v>217</v>
      </c>
      <c r="J1022" s="2">
        <f>'Converted Diagram'!$J$2025</f>
        <v>0</v>
      </c>
      <c r="K1022" s="2" t="e">
        <f>'Converted Diagram'!$J$2024</f>
        <v>#VALUE!</v>
      </c>
      <c r="L1022" s="2" t="s">
        <v>1230</v>
      </c>
      <c r="M1022" s="2">
        <v>0</v>
      </c>
      <c r="O1022" s="2" t="str">
        <f>'Converted Diagram'!$K$2024</f>
        <v>Reduce overall rent</v>
      </c>
      <c r="P1022" s="2" t="b">
        <v>0</v>
      </c>
    </row>
    <row r="1023" spans="1:16" x14ac:dyDescent="0.3">
      <c r="A1023" s="2" t="e">
        <f>'Converted Diagram'!$L$2027</f>
        <v>#VALUE!</v>
      </c>
      <c r="B1023" s="1" t="s">
        <v>219</v>
      </c>
      <c r="C1023" s="2">
        <v>0</v>
      </c>
      <c r="I1023" s="2" t="s">
        <v>217</v>
      </c>
      <c r="J1023" s="2">
        <f>'Converted Diagram'!$K$2027</f>
        <v>0</v>
      </c>
      <c r="K1023" s="2" t="e">
        <f>'Converted Diagram'!$K$2026</f>
        <v>#VALUE!</v>
      </c>
      <c r="L1023" s="2" t="s">
        <v>1231</v>
      </c>
      <c r="M1023" s="2">
        <v>0</v>
      </c>
      <c r="O1023" s="2" t="str">
        <f>'Converted Diagram'!$L$2026</f>
        <v>Increase Overall Convenience</v>
      </c>
      <c r="P1023" s="2" t="b">
        <v>0</v>
      </c>
    </row>
    <row r="1024" spans="1:16" x14ac:dyDescent="0.3">
      <c r="A1024" s="2" t="e">
        <f>'Converted Diagram'!$M$2029</f>
        <v>#VALUE!</v>
      </c>
      <c r="B1024" s="1" t="s">
        <v>219</v>
      </c>
      <c r="C1024" s="2">
        <v>0</v>
      </c>
      <c r="I1024" s="2" t="e">
        <v>#VALUE!</v>
      </c>
      <c r="J1024" s="2">
        <f>'Converted Diagram'!$L$2029</f>
        <v>0</v>
      </c>
      <c r="K1024" s="2" t="e">
        <f>'Converted Diagram'!$L$2028</f>
        <v>#VALUE!</v>
      </c>
      <c r="L1024" s="2" t="s">
        <v>1232</v>
      </c>
      <c r="M1024" s="2">
        <v>0</v>
      </c>
      <c r="P1024" s="2" t="b">
        <v>0</v>
      </c>
    </row>
    <row r="1025" spans="1:16" x14ac:dyDescent="0.3">
      <c r="A1025" s="2" t="e">
        <f>'Converted Diagram'!$I$2031</f>
        <v>#VALUE!</v>
      </c>
      <c r="B1025" s="1" t="s">
        <v>32</v>
      </c>
      <c r="C1025" s="2">
        <v>0</v>
      </c>
      <c r="I1025" s="2" t="s">
        <v>217</v>
      </c>
      <c r="J1025" s="2">
        <f>'Converted Diagram'!$H$2031</f>
        <v>0</v>
      </c>
      <c r="K1025" s="2" t="e">
        <f>'Converted Diagram'!$H$2030</f>
        <v>#VALUE!</v>
      </c>
      <c r="L1025" s="2" t="s">
        <v>1233</v>
      </c>
      <c r="M1025" s="2">
        <v>0</v>
      </c>
      <c r="O1025" s="2" t="str">
        <f>'Converted Diagram'!$I$2030</f>
        <v>Floor</v>
      </c>
      <c r="P1025" s="2" t="b">
        <v>0</v>
      </c>
    </row>
    <row r="1026" spans="1:16" x14ac:dyDescent="0.3">
      <c r="A1026" s="2" t="e">
        <f>'Converted Diagram'!$J$2033</f>
        <v>#VALUE!</v>
      </c>
      <c r="B1026" s="1" t="s">
        <v>32</v>
      </c>
      <c r="C1026" s="2">
        <v>0</v>
      </c>
      <c r="I1026" s="2" t="s">
        <v>217</v>
      </c>
      <c r="J1026" s="2">
        <f>'Converted Diagram'!$I$2033</f>
        <v>0</v>
      </c>
      <c r="K1026" s="2" t="e">
        <f>'Converted Diagram'!$I$2032</f>
        <v>#VALUE!</v>
      </c>
      <c r="L1026" s="2" t="s">
        <v>1234</v>
      </c>
      <c r="M1026" s="2">
        <v>0</v>
      </c>
      <c r="O1026" s="2" t="str">
        <f>'Converted Diagram'!$J$2032</f>
        <v>Reduce Commute Time</v>
      </c>
      <c r="P1026" s="2" t="b">
        <v>0</v>
      </c>
    </row>
    <row r="1027" spans="1:16" x14ac:dyDescent="0.3">
      <c r="A1027" s="2" t="e">
        <f>'Converted Diagram'!$K$2035</f>
        <v>#VALUE!</v>
      </c>
      <c r="B1027" s="1" t="s">
        <v>219</v>
      </c>
      <c r="C1027" s="2">
        <v>0</v>
      </c>
      <c r="I1027" s="2" t="s">
        <v>217</v>
      </c>
      <c r="J1027" s="2">
        <f>'Converted Diagram'!$J$2035</f>
        <v>0</v>
      </c>
      <c r="K1027" s="2" t="e">
        <f>'Converted Diagram'!$J$2034</f>
        <v>#VALUE!</v>
      </c>
      <c r="L1027" s="2" t="s">
        <v>1235</v>
      </c>
      <c r="M1027" s="2">
        <v>0</v>
      </c>
      <c r="O1027" s="2" t="str">
        <f>'Converted Diagram'!$K$2034</f>
        <v>Reduce overall rent</v>
      </c>
      <c r="P1027" s="2" t="b">
        <v>0</v>
      </c>
    </row>
    <row r="1028" spans="1:16" x14ac:dyDescent="0.3">
      <c r="A1028" s="2" t="e">
        <f>'Converted Diagram'!$L$2037</f>
        <v>#VALUE!</v>
      </c>
      <c r="B1028" s="1" t="s">
        <v>219</v>
      </c>
      <c r="C1028" s="2">
        <v>0</v>
      </c>
      <c r="I1028" s="2" t="s">
        <v>217</v>
      </c>
      <c r="J1028" s="2">
        <f>'Converted Diagram'!$K$2037</f>
        <v>0</v>
      </c>
      <c r="K1028" s="2" t="e">
        <f>'Converted Diagram'!$K$2036</f>
        <v>#VALUE!</v>
      </c>
      <c r="L1028" s="2" t="s">
        <v>1236</v>
      </c>
      <c r="M1028" s="2">
        <v>0</v>
      </c>
      <c r="O1028" s="2" t="str">
        <f>'Converted Diagram'!$L$2036</f>
        <v>Increase Overall Convenience</v>
      </c>
      <c r="P1028" s="2" t="b">
        <v>0</v>
      </c>
    </row>
    <row r="1029" spans="1:16" x14ac:dyDescent="0.3">
      <c r="A1029" s="2" t="e">
        <f>'Converted Diagram'!$M$2039</f>
        <v>#VALUE!</v>
      </c>
      <c r="B1029" s="1" t="s">
        <v>219</v>
      </c>
      <c r="C1029" s="2">
        <v>0</v>
      </c>
      <c r="I1029" s="2" t="e">
        <v>#VALUE!</v>
      </c>
      <c r="J1029" s="2">
        <f>'Converted Diagram'!$L$2039</f>
        <v>0</v>
      </c>
      <c r="K1029" s="2" t="e">
        <f>'Converted Diagram'!$L$2038</f>
        <v>#VALUE!</v>
      </c>
      <c r="L1029" s="2" t="s">
        <v>1237</v>
      </c>
      <c r="M1029" s="2">
        <v>0</v>
      </c>
      <c r="P1029" s="2" t="b">
        <v>0</v>
      </c>
    </row>
    <row r="1030" spans="1:16" x14ac:dyDescent="0.3">
      <c r="A1030" s="2" t="e">
        <f>'Converted Diagram'!$G$2041</f>
        <v>#VALUE!</v>
      </c>
      <c r="B1030" s="1" t="s">
        <v>32</v>
      </c>
      <c r="C1030" s="2">
        <v>0</v>
      </c>
      <c r="I1030" s="2" t="s">
        <v>217</v>
      </c>
      <c r="J1030" s="2">
        <f>'Converted Diagram'!$F$2041</f>
        <v>0</v>
      </c>
      <c r="K1030" s="2" t="e">
        <f>'Converted Diagram'!$F$2040</f>
        <v>#VALUE!</v>
      </c>
      <c r="L1030" s="2" t="s">
        <v>1238</v>
      </c>
      <c r="M1030" s="2">
        <v>0</v>
      </c>
      <c r="O1030" s="2" t="str">
        <f>'Converted Diagram'!$G$2040</f>
        <v>Grocery Store</v>
      </c>
      <c r="P1030" s="2" t="b">
        <v>0</v>
      </c>
    </row>
    <row r="1031" spans="1:16" x14ac:dyDescent="0.3">
      <c r="A1031" s="2" t="e">
        <f>'Converted Diagram'!$J$2043</f>
        <v>#VALUE!</v>
      </c>
      <c r="B1031" s="1" t="s">
        <v>31</v>
      </c>
      <c r="C1031" s="2">
        <v>0</v>
      </c>
      <c r="I1031" s="2" t="s">
        <v>217</v>
      </c>
      <c r="J1031" s="2">
        <f>'Converted Diagram'!$I$2043</f>
        <v>0</v>
      </c>
      <c r="K1031" s="2" t="e">
        <f>'Converted Diagram'!$I$2042</f>
        <v>#VALUE!</v>
      </c>
      <c r="L1031" s="2" t="s">
        <v>1239</v>
      </c>
      <c r="M1031" s="2">
        <v>0</v>
      </c>
      <c r="O1031" s="2" t="str">
        <f>'Converted Diagram'!$J$2042</f>
        <v>Reduce Commute Time</v>
      </c>
      <c r="P1031" s="2" t="b">
        <v>0</v>
      </c>
    </row>
    <row r="1032" spans="1:16" x14ac:dyDescent="0.3">
      <c r="A1032" s="2" t="e">
        <f>'Converted Diagram'!$K$2045</f>
        <v>#VALUE!</v>
      </c>
      <c r="B1032" s="1" t="s">
        <v>219</v>
      </c>
      <c r="C1032" s="2">
        <v>0</v>
      </c>
      <c r="I1032" s="2" t="s">
        <v>217</v>
      </c>
      <c r="J1032" s="2">
        <f>'Converted Diagram'!$J$2045</f>
        <v>0</v>
      </c>
      <c r="K1032" s="2" t="e">
        <f>'Converted Diagram'!$J$2044</f>
        <v>#VALUE!</v>
      </c>
      <c r="L1032" s="2" t="s">
        <v>1240</v>
      </c>
      <c r="M1032" s="2">
        <v>0</v>
      </c>
      <c r="O1032" s="2" t="str">
        <f>'Converted Diagram'!$K$2044</f>
        <v>Reduce overall rent</v>
      </c>
      <c r="P1032" s="2" t="b">
        <v>0</v>
      </c>
    </row>
    <row r="1033" spans="1:16" x14ac:dyDescent="0.3">
      <c r="A1033" s="2" t="e">
        <f>'Converted Diagram'!$L$2047</f>
        <v>#VALUE!</v>
      </c>
      <c r="B1033" s="1" t="s">
        <v>219</v>
      </c>
      <c r="C1033" s="2">
        <v>0</v>
      </c>
      <c r="I1033" s="2" t="s">
        <v>217</v>
      </c>
      <c r="J1033" s="2">
        <f>'Converted Diagram'!$K$2047</f>
        <v>0</v>
      </c>
      <c r="K1033" s="2" t="e">
        <f>'Converted Diagram'!$K$2046</f>
        <v>#VALUE!</v>
      </c>
      <c r="L1033" s="2" t="s">
        <v>1241</v>
      </c>
      <c r="M1033" s="2">
        <v>0</v>
      </c>
      <c r="O1033" s="2" t="str">
        <f>'Converted Diagram'!$L$2046</f>
        <v>Increase Overall Convenience</v>
      </c>
      <c r="P1033" s="2" t="b">
        <v>0</v>
      </c>
    </row>
    <row r="1034" spans="1:16" x14ac:dyDescent="0.3">
      <c r="A1034" s="2" t="e">
        <f>'Converted Diagram'!$M$2049</f>
        <v>#VALUE!</v>
      </c>
      <c r="B1034" s="1" t="s">
        <v>219</v>
      </c>
      <c r="C1034" s="2">
        <v>0</v>
      </c>
      <c r="I1034" s="2" t="e">
        <v>#VALUE!</v>
      </c>
      <c r="J1034" s="2">
        <f>'Converted Diagram'!$L$2049</f>
        <v>0</v>
      </c>
      <c r="K1034" s="2" t="e">
        <f>'Converted Diagram'!$L$2048</f>
        <v>#VALUE!</v>
      </c>
      <c r="L1034" s="2" t="s">
        <v>1242</v>
      </c>
      <c r="M1034" s="2">
        <v>0</v>
      </c>
      <c r="P1034" s="2" t="b">
        <v>0</v>
      </c>
    </row>
    <row r="1035" spans="1:16" x14ac:dyDescent="0.3">
      <c r="A1035" s="2" t="e">
        <f>'Converted Diagram'!$I$2051</f>
        <v>#VALUE!</v>
      </c>
      <c r="B1035" s="1" t="s">
        <v>31</v>
      </c>
      <c r="C1035" s="2">
        <v>0</v>
      </c>
      <c r="I1035" s="2" t="s">
        <v>217</v>
      </c>
      <c r="J1035" s="2">
        <f>'Converted Diagram'!$H$2051</f>
        <v>0</v>
      </c>
      <c r="K1035" s="2" t="e">
        <f>'Converted Diagram'!$H$2050</f>
        <v>#VALUE!</v>
      </c>
      <c r="L1035" s="2" t="s">
        <v>1243</v>
      </c>
      <c r="M1035" s="2">
        <v>0</v>
      </c>
      <c r="O1035" s="2" t="str">
        <f>'Converted Diagram'!$I$2050</f>
        <v>Floor</v>
      </c>
      <c r="P1035" s="2" t="b">
        <v>0</v>
      </c>
    </row>
    <row r="1036" spans="1:16" x14ac:dyDescent="0.3">
      <c r="A1036" s="2" t="e">
        <f>'Converted Diagram'!$J$2053</f>
        <v>#VALUE!</v>
      </c>
      <c r="B1036" s="1" t="s">
        <v>32</v>
      </c>
      <c r="C1036" s="2">
        <v>0</v>
      </c>
      <c r="I1036" s="2" t="s">
        <v>217</v>
      </c>
      <c r="J1036" s="2">
        <f>'Converted Diagram'!$I$2053</f>
        <v>0</v>
      </c>
      <c r="K1036" s="2" t="e">
        <f>'Converted Diagram'!$I$2052</f>
        <v>#VALUE!</v>
      </c>
      <c r="L1036" s="2" t="s">
        <v>1244</v>
      </c>
      <c r="M1036" s="2">
        <v>0</v>
      </c>
      <c r="O1036" s="2" t="str">
        <f>'Converted Diagram'!$J$2052</f>
        <v>Reduce Commute Time</v>
      </c>
      <c r="P1036" s="2" t="b">
        <v>0</v>
      </c>
    </row>
    <row r="1037" spans="1:16" x14ac:dyDescent="0.3">
      <c r="A1037" s="2" t="e">
        <f>'Converted Diagram'!$K$2055</f>
        <v>#VALUE!</v>
      </c>
      <c r="B1037" s="1" t="s">
        <v>219</v>
      </c>
      <c r="C1037" s="2">
        <v>0</v>
      </c>
      <c r="I1037" s="2" t="s">
        <v>217</v>
      </c>
      <c r="J1037" s="2">
        <f>'Converted Diagram'!$J$2055</f>
        <v>0</v>
      </c>
      <c r="K1037" s="2" t="e">
        <f>'Converted Diagram'!$J$2054</f>
        <v>#VALUE!</v>
      </c>
      <c r="L1037" s="2" t="s">
        <v>1245</v>
      </c>
      <c r="M1037" s="2">
        <v>0</v>
      </c>
      <c r="O1037" s="2" t="str">
        <f>'Converted Diagram'!$K$2054</f>
        <v>Reduce overall rent</v>
      </c>
      <c r="P1037" s="2" t="b">
        <v>0</v>
      </c>
    </row>
    <row r="1038" spans="1:16" x14ac:dyDescent="0.3">
      <c r="A1038" s="2" t="e">
        <f>'Converted Diagram'!$L$2057</f>
        <v>#VALUE!</v>
      </c>
      <c r="B1038" s="1" t="s">
        <v>219</v>
      </c>
      <c r="C1038" s="2">
        <v>0</v>
      </c>
      <c r="I1038" s="2" t="s">
        <v>217</v>
      </c>
      <c r="J1038" s="2">
        <f>'Converted Diagram'!$K$2057</f>
        <v>0</v>
      </c>
      <c r="K1038" s="2" t="e">
        <f>'Converted Diagram'!$K$2056</f>
        <v>#VALUE!</v>
      </c>
      <c r="L1038" s="2" t="s">
        <v>1246</v>
      </c>
      <c r="M1038" s="2">
        <v>0</v>
      </c>
      <c r="O1038" s="2" t="str">
        <f>'Converted Diagram'!$L$2056</f>
        <v>Increase Overall Convenience</v>
      </c>
      <c r="P1038" s="2" t="b">
        <v>0</v>
      </c>
    </row>
    <row r="1039" spans="1:16" x14ac:dyDescent="0.3">
      <c r="A1039" s="2" t="e">
        <f>'Converted Diagram'!$M$2059</f>
        <v>#VALUE!</v>
      </c>
      <c r="B1039" s="1" t="s">
        <v>219</v>
      </c>
      <c r="C1039" s="2">
        <v>0</v>
      </c>
      <c r="I1039" s="2" t="e">
        <v>#VALUE!</v>
      </c>
      <c r="J1039" s="2">
        <f>'Converted Diagram'!$L$2059</f>
        <v>0</v>
      </c>
      <c r="K1039" s="2" t="e">
        <f>'Converted Diagram'!$L$2058</f>
        <v>#VALUE!</v>
      </c>
      <c r="L1039" s="2" t="s">
        <v>1247</v>
      </c>
      <c r="M1039" s="2">
        <v>0</v>
      </c>
      <c r="P1039" s="2" t="b">
        <v>0</v>
      </c>
    </row>
    <row r="1040" spans="1:16" x14ac:dyDescent="0.3">
      <c r="A1040" s="2" t="e">
        <f>'Converted Diagram'!$H$2061</f>
        <v>#VALUE!</v>
      </c>
      <c r="B1040" s="1" t="s">
        <v>32</v>
      </c>
      <c r="C1040" s="2">
        <v>0</v>
      </c>
      <c r="I1040" s="2" t="s">
        <v>217</v>
      </c>
      <c r="J1040" s="2">
        <f>'Converted Diagram'!$G$2061</f>
        <v>0</v>
      </c>
      <c r="K1040" s="2" t="e">
        <f>'Converted Diagram'!$G$2060</f>
        <v>#VALUE!</v>
      </c>
      <c r="L1040" s="2" t="s">
        <v>1248</v>
      </c>
      <c r="M1040" s="2">
        <v>0</v>
      </c>
      <c r="O1040" s="2" t="str">
        <f>'Converted Diagram'!$H$2060</f>
        <v>Wi-Fi &amp; Cable Ready</v>
      </c>
      <c r="P1040" s="2" t="b">
        <v>0</v>
      </c>
    </row>
    <row r="1041" spans="1:16" x14ac:dyDescent="0.3">
      <c r="A1041" s="2" t="e">
        <f>'Converted Diagram'!$J$2063</f>
        <v>#VALUE!</v>
      </c>
      <c r="B1041" s="1" t="s">
        <v>31</v>
      </c>
      <c r="C1041" s="2">
        <v>0</v>
      </c>
      <c r="I1041" s="2" t="s">
        <v>217</v>
      </c>
      <c r="J1041" s="2">
        <f>'Converted Diagram'!$I$2063</f>
        <v>0</v>
      </c>
      <c r="K1041" s="2" t="e">
        <f>'Converted Diagram'!$I$2062</f>
        <v>#VALUE!</v>
      </c>
      <c r="L1041" s="2" t="s">
        <v>1249</v>
      </c>
      <c r="M1041" s="2">
        <v>0</v>
      </c>
      <c r="O1041" s="2" t="str">
        <f>'Converted Diagram'!$J$2062</f>
        <v>Reduce Commute Time</v>
      </c>
      <c r="P1041" s="2" t="b">
        <v>0</v>
      </c>
    </row>
    <row r="1042" spans="1:16" x14ac:dyDescent="0.3">
      <c r="A1042" s="2" t="e">
        <f>'Converted Diagram'!$K$2065</f>
        <v>#VALUE!</v>
      </c>
      <c r="B1042" s="1" t="s">
        <v>219</v>
      </c>
      <c r="C1042" s="2">
        <v>0</v>
      </c>
      <c r="I1042" s="2" t="s">
        <v>217</v>
      </c>
      <c r="J1042" s="2">
        <f>'Converted Diagram'!$J$2065</f>
        <v>0</v>
      </c>
      <c r="K1042" s="2" t="e">
        <f>'Converted Diagram'!$J$2064</f>
        <v>#VALUE!</v>
      </c>
      <c r="L1042" s="2" t="s">
        <v>1250</v>
      </c>
      <c r="M1042" s="2">
        <v>0</v>
      </c>
      <c r="O1042" s="2" t="str">
        <f>'Converted Diagram'!$K$2064</f>
        <v>Reduce overall rent</v>
      </c>
      <c r="P1042" s="2" t="b">
        <v>0</v>
      </c>
    </row>
    <row r="1043" spans="1:16" x14ac:dyDescent="0.3">
      <c r="A1043" s="2" t="e">
        <f>'Converted Diagram'!$L$2067</f>
        <v>#VALUE!</v>
      </c>
      <c r="B1043" s="1" t="s">
        <v>219</v>
      </c>
      <c r="C1043" s="2">
        <v>0</v>
      </c>
      <c r="I1043" s="2" t="s">
        <v>217</v>
      </c>
      <c r="J1043" s="2">
        <f>'Converted Diagram'!$K$2067</f>
        <v>0</v>
      </c>
      <c r="K1043" s="2" t="e">
        <f>'Converted Diagram'!$K$2066</f>
        <v>#VALUE!</v>
      </c>
      <c r="L1043" s="2" t="s">
        <v>1251</v>
      </c>
      <c r="M1043" s="2">
        <v>0</v>
      </c>
      <c r="O1043" s="2" t="str">
        <f>'Converted Diagram'!$L$2066</f>
        <v>Increase Overall Convenience</v>
      </c>
      <c r="P1043" s="2" t="b">
        <v>0</v>
      </c>
    </row>
    <row r="1044" spans="1:16" x14ac:dyDescent="0.3">
      <c r="A1044" s="2" t="e">
        <f>'Converted Diagram'!$M$2069</f>
        <v>#VALUE!</v>
      </c>
      <c r="B1044" s="1" t="s">
        <v>219</v>
      </c>
      <c r="C1044" s="2">
        <v>0</v>
      </c>
      <c r="I1044" s="2" t="e">
        <v>#VALUE!</v>
      </c>
      <c r="J1044" s="2">
        <f>'Converted Diagram'!$L$2069</f>
        <v>0</v>
      </c>
      <c r="K1044" s="2" t="e">
        <f>'Converted Diagram'!$L$2068</f>
        <v>#VALUE!</v>
      </c>
      <c r="L1044" s="2" t="s">
        <v>1252</v>
      </c>
      <c r="M1044" s="2">
        <v>0</v>
      </c>
      <c r="P1044" s="2" t="b">
        <v>0</v>
      </c>
    </row>
    <row r="1045" spans="1:16" x14ac:dyDescent="0.3">
      <c r="A1045" s="2" t="e">
        <f>'Converted Diagram'!$I$2071</f>
        <v>#VALUE!</v>
      </c>
      <c r="B1045" s="1" t="s">
        <v>32</v>
      </c>
      <c r="C1045" s="2">
        <v>0</v>
      </c>
      <c r="I1045" s="2" t="s">
        <v>217</v>
      </c>
      <c r="J1045" s="2">
        <f>'Converted Diagram'!$H$2071</f>
        <v>0</v>
      </c>
      <c r="K1045" s="2" t="e">
        <f>'Converted Diagram'!$H$2070</f>
        <v>#VALUE!</v>
      </c>
      <c r="L1045" s="2" t="s">
        <v>1253</v>
      </c>
      <c r="M1045" s="2">
        <v>0</v>
      </c>
      <c r="O1045" s="2" t="str">
        <f>'Converted Diagram'!$I$2070</f>
        <v>Floor</v>
      </c>
      <c r="P1045" s="2" t="b">
        <v>0</v>
      </c>
    </row>
    <row r="1046" spans="1:16" x14ac:dyDescent="0.3">
      <c r="A1046" s="2" t="e">
        <f>'Converted Diagram'!$J$2073</f>
        <v>#VALUE!</v>
      </c>
      <c r="B1046" s="1" t="s">
        <v>32</v>
      </c>
      <c r="C1046" s="2">
        <v>0</v>
      </c>
      <c r="I1046" s="2" t="s">
        <v>217</v>
      </c>
      <c r="J1046" s="2">
        <f>'Converted Diagram'!$I$2073</f>
        <v>0</v>
      </c>
      <c r="K1046" s="2" t="e">
        <f>'Converted Diagram'!$I$2072</f>
        <v>#VALUE!</v>
      </c>
      <c r="L1046" s="2" t="s">
        <v>1254</v>
      </c>
      <c r="M1046" s="2">
        <v>0</v>
      </c>
      <c r="O1046" s="2" t="str">
        <f>'Converted Diagram'!$J$2072</f>
        <v>Reduce Commute Time</v>
      </c>
      <c r="P1046" s="2" t="b">
        <v>0</v>
      </c>
    </row>
    <row r="1047" spans="1:16" x14ac:dyDescent="0.3">
      <c r="A1047" s="2" t="e">
        <f>'Converted Diagram'!$K$2075</f>
        <v>#VALUE!</v>
      </c>
      <c r="B1047" s="1" t="s">
        <v>219</v>
      </c>
      <c r="C1047" s="2">
        <v>0</v>
      </c>
      <c r="I1047" s="2" t="s">
        <v>217</v>
      </c>
      <c r="J1047" s="2">
        <f>'Converted Diagram'!$J$2075</f>
        <v>0</v>
      </c>
      <c r="K1047" s="2" t="e">
        <f>'Converted Diagram'!$J$2074</f>
        <v>#VALUE!</v>
      </c>
      <c r="L1047" s="2" t="s">
        <v>1255</v>
      </c>
      <c r="M1047" s="2">
        <v>0</v>
      </c>
      <c r="O1047" s="2" t="str">
        <f>'Converted Diagram'!$K$2074</f>
        <v>Reduce overall rent</v>
      </c>
      <c r="P1047" s="2" t="b">
        <v>0</v>
      </c>
    </row>
    <row r="1048" spans="1:16" x14ac:dyDescent="0.3">
      <c r="A1048" s="2" t="e">
        <f>'Converted Diagram'!$L$2077</f>
        <v>#VALUE!</v>
      </c>
      <c r="B1048" s="1" t="s">
        <v>219</v>
      </c>
      <c r="C1048" s="2">
        <v>0</v>
      </c>
      <c r="I1048" s="2" t="s">
        <v>217</v>
      </c>
      <c r="J1048" s="2">
        <f>'Converted Diagram'!$K$2077</f>
        <v>0</v>
      </c>
      <c r="K1048" s="2" t="e">
        <f>'Converted Diagram'!$K$2076</f>
        <v>#VALUE!</v>
      </c>
      <c r="L1048" s="2" t="s">
        <v>1256</v>
      </c>
      <c r="M1048" s="2">
        <v>0</v>
      </c>
      <c r="O1048" s="2" t="str">
        <f>'Converted Diagram'!$L$2076</f>
        <v>Increase Overall Convenience</v>
      </c>
      <c r="P1048" s="2" t="b">
        <v>0</v>
      </c>
    </row>
    <row r="1049" spans="1:16" x14ac:dyDescent="0.3">
      <c r="A1049" s="2" t="e">
        <f>'Converted Diagram'!$M$2079</f>
        <v>#VALUE!</v>
      </c>
      <c r="B1049" s="1" t="s">
        <v>219</v>
      </c>
      <c r="C1049" s="2">
        <v>0</v>
      </c>
      <c r="I1049" s="2" t="e">
        <v>#VALUE!</v>
      </c>
      <c r="J1049" s="2">
        <f>'Converted Diagram'!$L$2079</f>
        <v>0</v>
      </c>
      <c r="K1049" s="2" t="e">
        <f>'Converted Diagram'!$L$2078</f>
        <v>#VALUE!</v>
      </c>
      <c r="L1049" s="2" t="s">
        <v>1257</v>
      </c>
      <c r="M1049" s="2">
        <v>0</v>
      </c>
      <c r="P1049" s="2" t="b">
        <v>0</v>
      </c>
    </row>
    <row r="1050" spans="1:16" x14ac:dyDescent="0.3">
      <c r="A1050" s="2" t="e">
        <f>'Converted Diagram'!$E$2081</f>
        <v>#VALUE!</v>
      </c>
      <c r="B1050" s="1" t="s">
        <v>31</v>
      </c>
      <c r="C1050" s="2">
        <v>0</v>
      </c>
      <c r="I1050" s="2" t="s">
        <v>217</v>
      </c>
      <c r="J1050" s="2">
        <f>'Converted Diagram'!$D$2081</f>
        <v>0</v>
      </c>
      <c r="L1050" s="2" t="s">
        <v>1258</v>
      </c>
      <c r="M1050" s="2">
        <v>0</v>
      </c>
      <c r="O1050" s="2" t="str">
        <f>'Converted Diagram'!$E$2080</f>
        <v>Nearest Transportation Station</v>
      </c>
      <c r="P1050" s="2" t="b">
        <v>0</v>
      </c>
    </row>
    <row r="1051" spans="1:16" x14ac:dyDescent="0.3">
      <c r="A1051" s="2" t="e">
        <f>'Converted Diagram'!$J$2083</f>
        <v>#VALUE!</v>
      </c>
      <c r="B1051" s="1" t="s">
        <v>31</v>
      </c>
      <c r="C1051" s="2">
        <v>0</v>
      </c>
      <c r="I1051" s="2" t="s">
        <v>217</v>
      </c>
      <c r="J1051" s="2">
        <f>'Converted Diagram'!$I$2083</f>
        <v>0</v>
      </c>
      <c r="K1051" s="2" t="e">
        <f>'Converted Diagram'!$I$2082</f>
        <v>#VALUE!</v>
      </c>
      <c r="L1051" s="2" t="s">
        <v>1259</v>
      </c>
      <c r="M1051" s="2">
        <v>0</v>
      </c>
      <c r="O1051" s="2" t="str">
        <f>'Converted Diagram'!$J$2082</f>
        <v>Reduce Commute Time</v>
      </c>
      <c r="P1051" s="2" t="b">
        <v>0</v>
      </c>
    </row>
    <row r="1052" spans="1:16" x14ac:dyDescent="0.3">
      <c r="A1052" s="2" t="e">
        <f>'Converted Diagram'!$K$2085</f>
        <v>#VALUE!</v>
      </c>
      <c r="B1052" s="1" t="s">
        <v>219</v>
      </c>
      <c r="C1052" s="2">
        <v>0</v>
      </c>
      <c r="I1052" s="2" t="s">
        <v>217</v>
      </c>
      <c r="J1052" s="2">
        <f>'Converted Diagram'!$J$2085</f>
        <v>0</v>
      </c>
      <c r="K1052" s="2" t="e">
        <f>'Converted Diagram'!$J$2084</f>
        <v>#VALUE!</v>
      </c>
      <c r="L1052" s="2" t="s">
        <v>1260</v>
      </c>
      <c r="M1052" s="2">
        <v>0</v>
      </c>
      <c r="O1052" s="2" t="str">
        <f>'Converted Diagram'!$K$2084</f>
        <v>Reduce overall rent</v>
      </c>
      <c r="P1052" s="2" t="b">
        <v>0</v>
      </c>
    </row>
    <row r="1053" spans="1:16" x14ac:dyDescent="0.3">
      <c r="A1053" s="2" t="e">
        <f>'Converted Diagram'!$L$2087</f>
        <v>#VALUE!</v>
      </c>
      <c r="B1053" s="1" t="s">
        <v>219</v>
      </c>
      <c r="C1053" s="2">
        <v>0</v>
      </c>
      <c r="I1053" s="2" t="s">
        <v>217</v>
      </c>
      <c r="J1053" s="2">
        <f>'Converted Diagram'!$K$2087</f>
        <v>0</v>
      </c>
      <c r="K1053" s="2" t="e">
        <f>'Converted Diagram'!$K$2086</f>
        <v>#VALUE!</v>
      </c>
      <c r="L1053" s="2" t="s">
        <v>1261</v>
      </c>
      <c r="M1053" s="2">
        <v>0</v>
      </c>
      <c r="O1053" s="2" t="str">
        <f>'Converted Diagram'!$L$2086</f>
        <v>Increase Overall Convenience</v>
      </c>
      <c r="P1053" s="2" t="b">
        <v>0</v>
      </c>
    </row>
    <row r="1054" spans="1:16" x14ac:dyDescent="0.3">
      <c r="A1054" s="2" t="e">
        <f>'Converted Diagram'!$M$2089</f>
        <v>#VALUE!</v>
      </c>
      <c r="B1054" s="1" t="s">
        <v>219</v>
      </c>
      <c r="C1054" s="2">
        <v>0</v>
      </c>
      <c r="I1054" s="2" t="e">
        <v>#VALUE!</v>
      </c>
      <c r="J1054" s="2">
        <f>'Converted Diagram'!$L$2089</f>
        <v>0</v>
      </c>
      <c r="K1054" s="2" t="e">
        <f>'Converted Diagram'!$L$2088</f>
        <v>#VALUE!</v>
      </c>
      <c r="L1054" s="2" t="s">
        <v>1262</v>
      </c>
      <c r="M1054" s="2">
        <v>0</v>
      </c>
      <c r="P1054" s="2" t="b">
        <v>0</v>
      </c>
    </row>
    <row r="1055" spans="1:16" x14ac:dyDescent="0.3">
      <c r="A1055" s="2" t="e">
        <f>'Converted Diagram'!$I$2091</f>
        <v>#VALUE!</v>
      </c>
      <c r="B1055" s="1" t="s">
        <v>31</v>
      </c>
      <c r="C1055" s="2">
        <v>0</v>
      </c>
      <c r="I1055" s="2" t="s">
        <v>217</v>
      </c>
      <c r="J1055" s="2">
        <f>'Converted Diagram'!$H$2091</f>
        <v>0</v>
      </c>
      <c r="K1055" s="2" t="e">
        <f>'Converted Diagram'!$H$2090</f>
        <v>#VALUE!</v>
      </c>
      <c r="L1055" s="2" t="s">
        <v>1263</v>
      </c>
      <c r="M1055" s="2">
        <v>0</v>
      </c>
      <c r="O1055" s="2" t="str">
        <f>'Converted Diagram'!$I$2090</f>
        <v>Floor</v>
      </c>
      <c r="P1055" s="2" t="b">
        <v>0</v>
      </c>
    </row>
    <row r="1056" spans="1:16" x14ac:dyDescent="0.3">
      <c r="A1056" s="2" t="e">
        <f>'Converted Diagram'!$J$2093</f>
        <v>#VALUE!</v>
      </c>
      <c r="B1056" s="1" t="s">
        <v>32</v>
      </c>
      <c r="C1056" s="2">
        <v>0</v>
      </c>
      <c r="I1056" s="2" t="s">
        <v>217</v>
      </c>
      <c r="J1056" s="2">
        <f>'Converted Diagram'!$I$2093</f>
        <v>0</v>
      </c>
      <c r="K1056" s="2" t="e">
        <f>'Converted Diagram'!$I$2092</f>
        <v>#VALUE!</v>
      </c>
      <c r="L1056" s="2" t="s">
        <v>1264</v>
      </c>
      <c r="M1056" s="2">
        <v>0</v>
      </c>
      <c r="O1056" s="2" t="str">
        <f>'Converted Diagram'!$J$2092</f>
        <v>Reduce Commute Time</v>
      </c>
      <c r="P1056" s="2" t="b">
        <v>0</v>
      </c>
    </row>
    <row r="1057" spans="1:16" x14ac:dyDescent="0.3">
      <c r="A1057" s="2" t="e">
        <f>'Converted Diagram'!$K$2095</f>
        <v>#VALUE!</v>
      </c>
      <c r="B1057" s="1" t="s">
        <v>219</v>
      </c>
      <c r="C1057" s="2">
        <v>0</v>
      </c>
      <c r="I1057" s="2" t="s">
        <v>217</v>
      </c>
      <c r="J1057" s="2">
        <f>'Converted Diagram'!$J$2095</f>
        <v>0</v>
      </c>
      <c r="K1057" s="2" t="e">
        <f>'Converted Diagram'!$J$2094</f>
        <v>#VALUE!</v>
      </c>
      <c r="L1057" s="2" t="s">
        <v>1265</v>
      </c>
      <c r="M1057" s="2">
        <v>0</v>
      </c>
      <c r="O1057" s="2" t="str">
        <f>'Converted Diagram'!$K$2094</f>
        <v>Reduce overall rent</v>
      </c>
      <c r="P1057" s="2" t="b">
        <v>0</v>
      </c>
    </row>
    <row r="1058" spans="1:16" x14ac:dyDescent="0.3">
      <c r="A1058" s="2" t="e">
        <f>'Converted Diagram'!$L$2097</f>
        <v>#VALUE!</v>
      </c>
      <c r="B1058" s="1" t="s">
        <v>219</v>
      </c>
      <c r="C1058" s="2">
        <v>0</v>
      </c>
      <c r="I1058" s="2" t="s">
        <v>217</v>
      </c>
      <c r="J1058" s="2">
        <f>'Converted Diagram'!$K$2097</f>
        <v>0</v>
      </c>
      <c r="K1058" s="2" t="e">
        <f>'Converted Diagram'!$K$2096</f>
        <v>#VALUE!</v>
      </c>
      <c r="L1058" s="2" t="s">
        <v>1266</v>
      </c>
      <c r="M1058" s="2">
        <v>0</v>
      </c>
      <c r="O1058" s="2" t="str">
        <f>'Converted Diagram'!$L$2096</f>
        <v>Increase Overall Convenience</v>
      </c>
      <c r="P1058" s="2" t="b">
        <v>0</v>
      </c>
    </row>
    <row r="1059" spans="1:16" x14ac:dyDescent="0.3">
      <c r="A1059" s="2" t="e">
        <f>'Converted Diagram'!$M$2099</f>
        <v>#VALUE!</v>
      </c>
      <c r="B1059" s="1" t="s">
        <v>219</v>
      </c>
      <c r="C1059" s="2">
        <v>0</v>
      </c>
      <c r="I1059" s="2" t="e">
        <v>#VALUE!</v>
      </c>
      <c r="J1059" s="2">
        <f>'Converted Diagram'!$L$2099</f>
        <v>0</v>
      </c>
      <c r="K1059" s="2" t="e">
        <f>'Converted Diagram'!$L$2098</f>
        <v>#VALUE!</v>
      </c>
      <c r="L1059" s="2" t="s">
        <v>1267</v>
      </c>
      <c r="M1059" s="2">
        <v>0</v>
      </c>
      <c r="P1059" s="2" t="b">
        <v>0</v>
      </c>
    </row>
    <row r="1060" spans="1:16" x14ac:dyDescent="0.3">
      <c r="A1060" s="2" t="e">
        <f>'Converted Diagram'!$H$2101</f>
        <v>#VALUE!</v>
      </c>
      <c r="B1060" s="1" t="s">
        <v>31</v>
      </c>
      <c r="C1060" s="2">
        <v>0</v>
      </c>
      <c r="I1060" s="2" t="s">
        <v>217</v>
      </c>
      <c r="J1060" s="2">
        <f>'Converted Diagram'!$G$2101</f>
        <v>0</v>
      </c>
      <c r="K1060" s="2" t="e">
        <f>'Converted Diagram'!$G$2100</f>
        <v>#VALUE!</v>
      </c>
      <c r="L1060" s="2" t="s">
        <v>1268</v>
      </c>
      <c r="M1060" s="2">
        <v>0</v>
      </c>
      <c r="O1060" s="2" t="str">
        <f>'Converted Diagram'!$H$2100</f>
        <v>Wi-Fi &amp; Cable Ready</v>
      </c>
      <c r="P1060" s="2" t="b">
        <v>0</v>
      </c>
    </row>
    <row r="1061" spans="1:16" x14ac:dyDescent="0.3">
      <c r="A1061" s="2" t="e">
        <f>'Converted Diagram'!$J$2103</f>
        <v>#VALUE!</v>
      </c>
      <c r="B1061" s="1" t="s">
        <v>31</v>
      </c>
      <c r="C1061" s="2">
        <v>0</v>
      </c>
      <c r="I1061" s="2" t="s">
        <v>217</v>
      </c>
      <c r="J1061" s="2">
        <f>'Converted Diagram'!$I$2103</f>
        <v>0</v>
      </c>
      <c r="K1061" s="2" t="e">
        <f>'Converted Diagram'!$I$2102</f>
        <v>#VALUE!</v>
      </c>
      <c r="L1061" s="2" t="s">
        <v>1269</v>
      </c>
      <c r="M1061" s="2">
        <v>0</v>
      </c>
      <c r="O1061" s="2" t="str">
        <f>'Converted Diagram'!$J$2102</f>
        <v>Reduce Commute Time</v>
      </c>
      <c r="P1061" s="2" t="b">
        <v>0</v>
      </c>
    </row>
    <row r="1062" spans="1:16" x14ac:dyDescent="0.3">
      <c r="A1062" s="2" t="e">
        <f>'Converted Diagram'!$K$2105</f>
        <v>#VALUE!</v>
      </c>
      <c r="B1062" s="1" t="s">
        <v>219</v>
      </c>
      <c r="C1062" s="2">
        <v>0</v>
      </c>
      <c r="I1062" s="2" t="s">
        <v>217</v>
      </c>
      <c r="J1062" s="2">
        <f>'Converted Diagram'!$J$2105</f>
        <v>0</v>
      </c>
      <c r="K1062" s="2" t="e">
        <f>'Converted Diagram'!$J$2104</f>
        <v>#VALUE!</v>
      </c>
      <c r="L1062" s="2" t="s">
        <v>1270</v>
      </c>
      <c r="M1062" s="2">
        <v>0</v>
      </c>
      <c r="O1062" s="2" t="str">
        <f>'Converted Diagram'!$K$2104</f>
        <v>Reduce overall rent</v>
      </c>
      <c r="P1062" s="2" t="b">
        <v>0</v>
      </c>
    </row>
    <row r="1063" spans="1:16" x14ac:dyDescent="0.3">
      <c r="A1063" s="2" t="e">
        <f>'Converted Diagram'!$L$2107</f>
        <v>#VALUE!</v>
      </c>
      <c r="B1063" s="1" t="s">
        <v>219</v>
      </c>
      <c r="C1063" s="2">
        <v>0</v>
      </c>
      <c r="I1063" s="2" t="s">
        <v>217</v>
      </c>
      <c r="J1063" s="2">
        <f>'Converted Diagram'!$K$2107</f>
        <v>0</v>
      </c>
      <c r="K1063" s="2" t="e">
        <f>'Converted Diagram'!$K$2106</f>
        <v>#VALUE!</v>
      </c>
      <c r="L1063" s="2" t="s">
        <v>1271</v>
      </c>
      <c r="M1063" s="2">
        <v>0</v>
      </c>
      <c r="O1063" s="2" t="str">
        <f>'Converted Diagram'!$L$2106</f>
        <v>Increase Overall Convenience</v>
      </c>
      <c r="P1063" s="2" t="b">
        <v>0</v>
      </c>
    </row>
    <row r="1064" spans="1:16" x14ac:dyDescent="0.3">
      <c r="A1064" s="2" t="e">
        <f>'Converted Diagram'!$M$2109</f>
        <v>#VALUE!</v>
      </c>
      <c r="B1064" s="1" t="s">
        <v>219</v>
      </c>
      <c r="C1064" s="2">
        <v>0</v>
      </c>
      <c r="I1064" s="2" t="e">
        <v>#VALUE!</v>
      </c>
      <c r="J1064" s="2">
        <f>'Converted Diagram'!$L$2109</f>
        <v>0</v>
      </c>
      <c r="K1064" s="2" t="e">
        <f>'Converted Diagram'!$L$2108</f>
        <v>#VALUE!</v>
      </c>
      <c r="L1064" s="2" t="s">
        <v>1272</v>
      </c>
      <c r="M1064" s="2">
        <v>0</v>
      </c>
      <c r="P1064" s="2" t="b">
        <v>0</v>
      </c>
    </row>
    <row r="1065" spans="1:16" x14ac:dyDescent="0.3">
      <c r="A1065" s="2" t="e">
        <f>'Converted Diagram'!$I$2111</f>
        <v>#VALUE!</v>
      </c>
      <c r="B1065" s="1" t="s">
        <v>32</v>
      </c>
      <c r="C1065" s="2">
        <v>0</v>
      </c>
      <c r="I1065" s="2" t="s">
        <v>217</v>
      </c>
      <c r="J1065" s="2">
        <f>'Converted Diagram'!$H$2111</f>
        <v>0</v>
      </c>
      <c r="K1065" s="2" t="e">
        <f>'Converted Diagram'!$H$2110</f>
        <v>#VALUE!</v>
      </c>
      <c r="L1065" s="2" t="s">
        <v>1273</v>
      </c>
      <c r="M1065" s="2">
        <v>0</v>
      </c>
      <c r="O1065" s="2" t="str">
        <f>'Converted Diagram'!$I$2110</f>
        <v>Floor</v>
      </c>
      <c r="P1065" s="2" t="b">
        <v>0</v>
      </c>
    </row>
    <row r="1066" spans="1:16" x14ac:dyDescent="0.3">
      <c r="A1066" s="2" t="e">
        <f>'Converted Diagram'!$J$2113</f>
        <v>#VALUE!</v>
      </c>
      <c r="B1066" s="1" t="s">
        <v>32</v>
      </c>
      <c r="C1066" s="2">
        <v>0</v>
      </c>
      <c r="I1066" s="2" t="s">
        <v>217</v>
      </c>
      <c r="J1066" s="2">
        <f>'Converted Diagram'!$I$2113</f>
        <v>0</v>
      </c>
      <c r="K1066" s="2" t="e">
        <f>'Converted Diagram'!$I$2112</f>
        <v>#VALUE!</v>
      </c>
      <c r="L1066" s="2" t="s">
        <v>1274</v>
      </c>
      <c r="M1066" s="2">
        <v>0</v>
      </c>
      <c r="O1066" s="2" t="str">
        <f>'Converted Diagram'!$J$2112</f>
        <v>Reduce Commute Time</v>
      </c>
      <c r="P1066" s="2" t="b">
        <v>0</v>
      </c>
    </row>
    <row r="1067" spans="1:16" x14ac:dyDescent="0.3">
      <c r="A1067" s="2" t="e">
        <f>'Converted Diagram'!$K$2115</f>
        <v>#VALUE!</v>
      </c>
      <c r="B1067" s="1" t="s">
        <v>219</v>
      </c>
      <c r="C1067" s="2">
        <v>0</v>
      </c>
      <c r="I1067" s="2" t="s">
        <v>217</v>
      </c>
      <c r="J1067" s="2">
        <f>'Converted Diagram'!$J$2115</f>
        <v>0</v>
      </c>
      <c r="K1067" s="2" t="e">
        <f>'Converted Diagram'!$J$2114</f>
        <v>#VALUE!</v>
      </c>
      <c r="L1067" s="2" t="s">
        <v>1275</v>
      </c>
      <c r="M1067" s="2">
        <v>0</v>
      </c>
      <c r="O1067" s="2" t="str">
        <f>'Converted Diagram'!$K$2114</f>
        <v>Reduce overall rent</v>
      </c>
      <c r="P1067" s="2" t="b">
        <v>0</v>
      </c>
    </row>
    <row r="1068" spans="1:16" x14ac:dyDescent="0.3">
      <c r="A1068" s="2" t="e">
        <f>'Converted Diagram'!$L$2117</f>
        <v>#VALUE!</v>
      </c>
      <c r="B1068" s="1" t="s">
        <v>219</v>
      </c>
      <c r="C1068" s="2">
        <v>0</v>
      </c>
      <c r="I1068" s="2" t="s">
        <v>217</v>
      </c>
      <c r="J1068" s="2">
        <f>'Converted Diagram'!$K$2117</f>
        <v>0</v>
      </c>
      <c r="K1068" s="2" t="e">
        <f>'Converted Diagram'!$K$2116</f>
        <v>#VALUE!</v>
      </c>
      <c r="L1068" s="2" t="s">
        <v>1276</v>
      </c>
      <c r="M1068" s="2">
        <v>0</v>
      </c>
      <c r="O1068" s="2" t="str">
        <f>'Converted Diagram'!$L$2116</f>
        <v>Increase Overall Convenience</v>
      </c>
      <c r="P1068" s="2" t="b">
        <v>0</v>
      </c>
    </row>
    <row r="1069" spans="1:16" x14ac:dyDescent="0.3">
      <c r="A1069" s="2" t="e">
        <f>'Converted Diagram'!$M$2119</f>
        <v>#VALUE!</v>
      </c>
      <c r="B1069" s="1" t="s">
        <v>219</v>
      </c>
      <c r="C1069" s="2">
        <v>0</v>
      </c>
      <c r="I1069" s="2" t="e">
        <v>#VALUE!</v>
      </c>
      <c r="J1069" s="2">
        <f>'Converted Diagram'!$L$2119</f>
        <v>0</v>
      </c>
      <c r="K1069" s="2" t="e">
        <f>'Converted Diagram'!$L$2118</f>
        <v>#VALUE!</v>
      </c>
      <c r="L1069" s="2" t="s">
        <v>1277</v>
      </c>
      <c r="M1069" s="2">
        <v>0</v>
      </c>
      <c r="P1069" s="2" t="b">
        <v>0</v>
      </c>
    </row>
    <row r="1070" spans="1:16" x14ac:dyDescent="0.3">
      <c r="A1070" s="2" t="e">
        <f>'Converted Diagram'!$G$2121</f>
        <v>#VALUE!</v>
      </c>
      <c r="B1070" s="1" t="s">
        <v>31</v>
      </c>
      <c r="C1070" s="2">
        <v>0</v>
      </c>
      <c r="I1070" s="2" t="s">
        <v>217</v>
      </c>
      <c r="J1070" s="2">
        <f>'Converted Diagram'!$F$2121</f>
        <v>0</v>
      </c>
      <c r="K1070" s="2" t="e">
        <f>'Converted Diagram'!$F$2120</f>
        <v>#VALUE!</v>
      </c>
      <c r="L1070" s="2" t="s">
        <v>1278</v>
      </c>
      <c r="M1070" s="2">
        <v>0</v>
      </c>
      <c r="O1070" s="2" t="str">
        <f>'Converted Diagram'!$G$2120</f>
        <v>Grocery Store</v>
      </c>
      <c r="P1070" s="2" t="b">
        <v>0</v>
      </c>
    </row>
    <row r="1071" spans="1:16" x14ac:dyDescent="0.3">
      <c r="A1071" s="2" t="e">
        <f>'Converted Diagram'!$J$2123</f>
        <v>#VALUE!</v>
      </c>
      <c r="B1071" s="1" t="s">
        <v>31</v>
      </c>
      <c r="C1071" s="2">
        <v>0</v>
      </c>
      <c r="I1071" s="2" t="s">
        <v>217</v>
      </c>
      <c r="J1071" s="2">
        <f>'Converted Diagram'!$I$2123</f>
        <v>0</v>
      </c>
      <c r="K1071" s="2" t="e">
        <f>'Converted Diagram'!$I$2122</f>
        <v>#VALUE!</v>
      </c>
      <c r="L1071" s="2" t="s">
        <v>1279</v>
      </c>
      <c r="M1071" s="2">
        <v>0</v>
      </c>
      <c r="O1071" s="2" t="str">
        <f>'Converted Diagram'!$J$2122</f>
        <v>Reduce Commute Time</v>
      </c>
      <c r="P1071" s="2" t="b">
        <v>0</v>
      </c>
    </row>
    <row r="1072" spans="1:16" x14ac:dyDescent="0.3">
      <c r="A1072" s="2" t="e">
        <f>'Converted Diagram'!$K$2125</f>
        <v>#VALUE!</v>
      </c>
      <c r="B1072" s="1" t="s">
        <v>219</v>
      </c>
      <c r="C1072" s="2">
        <v>0</v>
      </c>
      <c r="I1072" s="2" t="s">
        <v>217</v>
      </c>
      <c r="J1072" s="2">
        <f>'Converted Diagram'!$J$2125</f>
        <v>0</v>
      </c>
      <c r="K1072" s="2" t="e">
        <f>'Converted Diagram'!$J$2124</f>
        <v>#VALUE!</v>
      </c>
      <c r="L1072" s="2" t="s">
        <v>1280</v>
      </c>
      <c r="M1072" s="2">
        <v>0</v>
      </c>
      <c r="O1072" s="2" t="str">
        <f>'Converted Diagram'!$K$2124</f>
        <v>Reduce overall rent</v>
      </c>
      <c r="P1072" s="2" t="b">
        <v>0</v>
      </c>
    </row>
    <row r="1073" spans="1:16" x14ac:dyDescent="0.3">
      <c r="A1073" s="2" t="e">
        <f>'Converted Diagram'!$L$2127</f>
        <v>#VALUE!</v>
      </c>
      <c r="B1073" s="1" t="s">
        <v>219</v>
      </c>
      <c r="C1073" s="2">
        <v>0</v>
      </c>
      <c r="I1073" s="2" t="s">
        <v>217</v>
      </c>
      <c r="J1073" s="2">
        <f>'Converted Diagram'!$K$2127</f>
        <v>0</v>
      </c>
      <c r="K1073" s="2" t="e">
        <f>'Converted Diagram'!$K$2126</f>
        <v>#VALUE!</v>
      </c>
      <c r="L1073" s="2" t="s">
        <v>1281</v>
      </c>
      <c r="M1073" s="2">
        <v>0</v>
      </c>
      <c r="O1073" s="2" t="str">
        <f>'Converted Diagram'!$L$2126</f>
        <v>Increase Overall Convenience</v>
      </c>
      <c r="P1073" s="2" t="b">
        <v>0</v>
      </c>
    </row>
    <row r="1074" spans="1:16" x14ac:dyDescent="0.3">
      <c r="A1074" s="2" t="e">
        <f>'Converted Diagram'!$M$2129</f>
        <v>#VALUE!</v>
      </c>
      <c r="B1074" s="1" t="s">
        <v>219</v>
      </c>
      <c r="C1074" s="2">
        <v>0</v>
      </c>
      <c r="I1074" s="2" t="e">
        <v>#VALUE!</v>
      </c>
      <c r="J1074" s="2">
        <f>'Converted Diagram'!$L$2129</f>
        <v>0</v>
      </c>
      <c r="K1074" s="2" t="e">
        <f>'Converted Diagram'!$L$2128</f>
        <v>#VALUE!</v>
      </c>
      <c r="L1074" s="2" t="s">
        <v>1282</v>
      </c>
      <c r="M1074" s="2">
        <v>0</v>
      </c>
      <c r="P1074" s="2" t="b">
        <v>0</v>
      </c>
    </row>
    <row r="1075" spans="1:16" x14ac:dyDescent="0.3">
      <c r="A1075" s="2" t="e">
        <f>'Converted Diagram'!$I$2131</f>
        <v>#VALUE!</v>
      </c>
      <c r="B1075" s="1" t="s">
        <v>31</v>
      </c>
      <c r="C1075" s="2">
        <v>0</v>
      </c>
      <c r="I1075" s="2" t="s">
        <v>217</v>
      </c>
      <c r="J1075" s="2">
        <f>'Converted Diagram'!$H$2131</f>
        <v>0</v>
      </c>
      <c r="K1075" s="2" t="e">
        <f>'Converted Diagram'!$H$2130</f>
        <v>#VALUE!</v>
      </c>
      <c r="L1075" s="2" t="s">
        <v>1283</v>
      </c>
      <c r="M1075" s="2">
        <v>0</v>
      </c>
      <c r="O1075" s="2" t="str">
        <f>'Converted Diagram'!$I$2130</f>
        <v>Floor</v>
      </c>
      <c r="P1075" s="2" t="b">
        <v>0</v>
      </c>
    </row>
    <row r="1076" spans="1:16" x14ac:dyDescent="0.3">
      <c r="A1076" s="2" t="e">
        <f>'Converted Diagram'!$J$2133</f>
        <v>#VALUE!</v>
      </c>
      <c r="B1076" s="1" t="s">
        <v>32</v>
      </c>
      <c r="C1076" s="2">
        <v>0</v>
      </c>
      <c r="I1076" s="2" t="s">
        <v>217</v>
      </c>
      <c r="J1076" s="2">
        <f>'Converted Diagram'!$I$2133</f>
        <v>0</v>
      </c>
      <c r="K1076" s="2" t="e">
        <f>'Converted Diagram'!$I$2132</f>
        <v>#VALUE!</v>
      </c>
      <c r="L1076" s="2" t="s">
        <v>1284</v>
      </c>
      <c r="M1076" s="2">
        <v>0</v>
      </c>
      <c r="O1076" s="2" t="str">
        <f>'Converted Diagram'!$J$2132</f>
        <v>Reduce Commute Time</v>
      </c>
      <c r="P1076" s="2" t="b">
        <v>0</v>
      </c>
    </row>
    <row r="1077" spans="1:16" x14ac:dyDescent="0.3">
      <c r="A1077" s="2" t="e">
        <f>'Converted Diagram'!$K$2135</f>
        <v>#VALUE!</v>
      </c>
      <c r="B1077" s="1" t="s">
        <v>219</v>
      </c>
      <c r="C1077" s="2">
        <v>0</v>
      </c>
      <c r="I1077" s="2" t="s">
        <v>217</v>
      </c>
      <c r="J1077" s="2">
        <f>'Converted Diagram'!$J$2135</f>
        <v>0</v>
      </c>
      <c r="K1077" s="2" t="e">
        <f>'Converted Diagram'!$J$2134</f>
        <v>#VALUE!</v>
      </c>
      <c r="L1077" s="2" t="s">
        <v>1285</v>
      </c>
      <c r="M1077" s="2">
        <v>0</v>
      </c>
      <c r="O1077" s="2" t="str">
        <f>'Converted Diagram'!$K$2134</f>
        <v>Reduce overall rent</v>
      </c>
      <c r="P1077" s="2" t="b">
        <v>0</v>
      </c>
    </row>
    <row r="1078" spans="1:16" x14ac:dyDescent="0.3">
      <c r="A1078" s="2" t="e">
        <f>'Converted Diagram'!$L$2137</f>
        <v>#VALUE!</v>
      </c>
      <c r="B1078" s="1" t="s">
        <v>219</v>
      </c>
      <c r="C1078" s="2">
        <v>0</v>
      </c>
      <c r="I1078" s="2" t="s">
        <v>217</v>
      </c>
      <c r="J1078" s="2">
        <f>'Converted Diagram'!$K$2137</f>
        <v>0</v>
      </c>
      <c r="K1078" s="2" t="e">
        <f>'Converted Diagram'!$K$2136</f>
        <v>#VALUE!</v>
      </c>
      <c r="L1078" s="2" t="s">
        <v>1286</v>
      </c>
      <c r="M1078" s="2">
        <v>0</v>
      </c>
      <c r="O1078" s="2" t="str">
        <f>'Converted Diagram'!$L$2136</f>
        <v>Increase Overall Convenience</v>
      </c>
      <c r="P1078" s="2" t="b">
        <v>0</v>
      </c>
    </row>
    <row r="1079" spans="1:16" x14ac:dyDescent="0.3">
      <c r="A1079" s="2" t="e">
        <f>'Converted Diagram'!$M$2139</f>
        <v>#VALUE!</v>
      </c>
      <c r="B1079" s="1" t="s">
        <v>219</v>
      </c>
      <c r="C1079" s="2">
        <v>0</v>
      </c>
      <c r="I1079" s="2" t="e">
        <v>#VALUE!</v>
      </c>
      <c r="J1079" s="2">
        <f>'Converted Diagram'!$L$2139</f>
        <v>0</v>
      </c>
      <c r="K1079" s="2" t="e">
        <f>'Converted Diagram'!$L$2138</f>
        <v>#VALUE!</v>
      </c>
      <c r="L1079" s="2" t="s">
        <v>1287</v>
      </c>
      <c r="M1079" s="2">
        <v>0</v>
      </c>
      <c r="P1079" s="2" t="b">
        <v>0</v>
      </c>
    </row>
    <row r="1080" spans="1:16" x14ac:dyDescent="0.3">
      <c r="A1080" s="2" t="e">
        <f>'Converted Diagram'!$H$2141</f>
        <v>#VALUE!</v>
      </c>
      <c r="B1080" s="1" t="s">
        <v>32</v>
      </c>
      <c r="C1080" s="2">
        <v>0</v>
      </c>
      <c r="I1080" s="2" t="s">
        <v>217</v>
      </c>
      <c r="J1080" s="2">
        <f>'Converted Diagram'!$G$2141</f>
        <v>0</v>
      </c>
      <c r="K1080" s="2" t="e">
        <f>'Converted Diagram'!$G$2140</f>
        <v>#VALUE!</v>
      </c>
      <c r="L1080" s="2" t="s">
        <v>1288</v>
      </c>
      <c r="M1080" s="2">
        <v>0</v>
      </c>
      <c r="O1080" s="2" t="str">
        <f>'Converted Diagram'!$H$2140</f>
        <v>Wi-Fi &amp; Cable Ready</v>
      </c>
      <c r="P1080" s="2" t="b">
        <v>0</v>
      </c>
    </row>
    <row r="1081" spans="1:16" x14ac:dyDescent="0.3">
      <c r="A1081" s="2" t="e">
        <f>'Converted Diagram'!$J$2143</f>
        <v>#VALUE!</v>
      </c>
      <c r="B1081" s="1" t="s">
        <v>31</v>
      </c>
      <c r="C1081" s="2">
        <v>0</v>
      </c>
      <c r="I1081" s="2" t="s">
        <v>217</v>
      </c>
      <c r="J1081" s="2">
        <f>'Converted Diagram'!$I$2143</f>
        <v>0</v>
      </c>
      <c r="K1081" s="2" t="e">
        <f>'Converted Diagram'!$I$2142</f>
        <v>#VALUE!</v>
      </c>
      <c r="L1081" s="2" t="s">
        <v>1289</v>
      </c>
      <c r="M1081" s="2">
        <v>0</v>
      </c>
      <c r="O1081" s="2" t="str">
        <f>'Converted Diagram'!$J$2142</f>
        <v>Reduce Commute Time</v>
      </c>
      <c r="P1081" s="2" t="b">
        <v>0</v>
      </c>
    </row>
    <row r="1082" spans="1:16" x14ac:dyDescent="0.3">
      <c r="A1082" s="2" t="e">
        <f>'Converted Diagram'!$K$2145</f>
        <v>#VALUE!</v>
      </c>
      <c r="B1082" s="1" t="s">
        <v>219</v>
      </c>
      <c r="C1082" s="2">
        <v>0</v>
      </c>
      <c r="I1082" s="2" t="s">
        <v>217</v>
      </c>
      <c r="J1082" s="2">
        <f>'Converted Diagram'!$J$2145</f>
        <v>0</v>
      </c>
      <c r="K1082" s="2" t="e">
        <f>'Converted Diagram'!$J$2144</f>
        <v>#VALUE!</v>
      </c>
      <c r="L1082" s="2" t="s">
        <v>1290</v>
      </c>
      <c r="M1082" s="2">
        <v>0</v>
      </c>
      <c r="O1082" s="2" t="str">
        <f>'Converted Diagram'!$K$2144</f>
        <v>Reduce overall rent</v>
      </c>
      <c r="P1082" s="2" t="b">
        <v>0</v>
      </c>
    </row>
    <row r="1083" spans="1:16" x14ac:dyDescent="0.3">
      <c r="A1083" s="2" t="e">
        <f>'Converted Diagram'!$L$2147</f>
        <v>#VALUE!</v>
      </c>
      <c r="B1083" s="1" t="s">
        <v>219</v>
      </c>
      <c r="C1083" s="2">
        <v>0</v>
      </c>
      <c r="I1083" s="2" t="s">
        <v>217</v>
      </c>
      <c r="J1083" s="2">
        <f>'Converted Diagram'!$K$2147</f>
        <v>0</v>
      </c>
      <c r="K1083" s="2" t="e">
        <f>'Converted Diagram'!$K$2146</f>
        <v>#VALUE!</v>
      </c>
      <c r="L1083" s="2" t="s">
        <v>1291</v>
      </c>
      <c r="M1083" s="2">
        <v>0</v>
      </c>
      <c r="O1083" s="2" t="str">
        <f>'Converted Diagram'!$L$2146</f>
        <v>Increase Overall Convenience</v>
      </c>
      <c r="P1083" s="2" t="b">
        <v>0</v>
      </c>
    </row>
    <row r="1084" spans="1:16" x14ac:dyDescent="0.3">
      <c r="A1084" s="2" t="e">
        <f>'Converted Diagram'!$M$2149</f>
        <v>#VALUE!</v>
      </c>
      <c r="B1084" s="1" t="s">
        <v>219</v>
      </c>
      <c r="C1084" s="2">
        <v>0</v>
      </c>
      <c r="I1084" s="2" t="e">
        <v>#VALUE!</v>
      </c>
      <c r="J1084" s="2">
        <f>'Converted Diagram'!$L$2149</f>
        <v>0</v>
      </c>
      <c r="K1084" s="2" t="e">
        <f>'Converted Diagram'!$L$2148</f>
        <v>#VALUE!</v>
      </c>
      <c r="L1084" s="2" t="s">
        <v>1292</v>
      </c>
      <c r="M1084" s="2">
        <v>0</v>
      </c>
      <c r="P1084" s="2" t="b">
        <v>0</v>
      </c>
    </row>
    <row r="1085" spans="1:16" x14ac:dyDescent="0.3">
      <c r="A1085" s="2" t="e">
        <f>'Converted Diagram'!$I$2151</f>
        <v>#VALUE!</v>
      </c>
      <c r="B1085" s="1" t="s">
        <v>32</v>
      </c>
      <c r="C1085" s="2">
        <v>0</v>
      </c>
      <c r="I1085" s="2" t="s">
        <v>217</v>
      </c>
      <c r="J1085" s="2">
        <f>'Converted Diagram'!$H$2151</f>
        <v>0</v>
      </c>
      <c r="K1085" s="2" t="e">
        <f>'Converted Diagram'!$H$2150</f>
        <v>#VALUE!</v>
      </c>
      <c r="L1085" s="2" t="s">
        <v>1293</v>
      </c>
      <c r="M1085" s="2">
        <v>0</v>
      </c>
      <c r="O1085" s="2" t="str">
        <f>'Converted Diagram'!$I$2150</f>
        <v>Floor</v>
      </c>
      <c r="P1085" s="2" t="b">
        <v>0</v>
      </c>
    </row>
    <row r="1086" spans="1:16" x14ac:dyDescent="0.3">
      <c r="A1086" s="2" t="e">
        <f>'Converted Diagram'!$J$2153</f>
        <v>#VALUE!</v>
      </c>
      <c r="B1086" s="1" t="s">
        <v>32</v>
      </c>
      <c r="C1086" s="2">
        <v>0</v>
      </c>
      <c r="I1086" s="2" t="s">
        <v>217</v>
      </c>
      <c r="J1086" s="2">
        <f>'Converted Diagram'!$I$2153</f>
        <v>0</v>
      </c>
      <c r="K1086" s="2" t="e">
        <f>'Converted Diagram'!$I$2152</f>
        <v>#VALUE!</v>
      </c>
      <c r="L1086" s="2" t="s">
        <v>1294</v>
      </c>
      <c r="M1086" s="2">
        <v>0</v>
      </c>
      <c r="O1086" s="2" t="str">
        <f>'Converted Diagram'!$J$2152</f>
        <v>Reduce Commute Time</v>
      </c>
      <c r="P1086" s="2" t="b">
        <v>0</v>
      </c>
    </row>
    <row r="1087" spans="1:16" x14ac:dyDescent="0.3">
      <c r="A1087" s="2" t="e">
        <f>'Converted Diagram'!$K$2155</f>
        <v>#VALUE!</v>
      </c>
      <c r="B1087" s="1" t="s">
        <v>219</v>
      </c>
      <c r="C1087" s="2">
        <v>0</v>
      </c>
      <c r="I1087" s="2" t="s">
        <v>217</v>
      </c>
      <c r="J1087" s="2">
        <f>'Converted Diagram'!$J$2155</f>
        <v>0</v>
      </c>
      <c r="K1087" s="2" t="e">
        <f>'Converted Diagram'!$J$2154</f>
        <v>#VALUE!</v>
      </c>
      <c r="L1087" s="2" t="s">
        <v>1295</v>
      </c>
      <c r="M1087" s="2">
        <v>0</v>
      </c>
      <c r="O1087" s="2" t="str">
        <f>'Converted Diagram'!$K$2154</f>
        <v>Reduce overall rent</v>
      </c>
      <c r="P1087" s="2" t="b">
        <v>0</v>
      </c>
    </row>
    <row r="1088" spans="1:16" x14ac:dyDescent="0.3">
      <c r="A1088" s="2" t="e">
        <f>'Converted Diagram'!$L$2157</f>
        <v>#VALUE!</v>
      </c>
      <c r="B1088" s="1" t="s">
        <v>219</v>
      </c>
      <c r="C1088" s="2">
        <v>0</v>
      </c>
      <c r="I1088" s="2" t="s">
        <v>217</v>
      </c>
      <c r="J1088" s="2">
        <f>'Converted Diagram'!$K$2157</f>
        <v>0</v>
      </c>
      <c r="K1088" s="2" t="e">
        <f>'Converted Diagram'!$K$2156</f>
        <v>#VALUE!</v>
      </c>
      <c r="L1088" s="2" t="s">
        <v>1296</v>
      </c>
      <c r="M1088" s="2">
        <v>0</v>
      </c>
      <c r="O1088" s="2" t="str">
        <f>'Converted Diagram'!$L$2156</f>
        <v>Increase Overall Convenience</v>
      </c>
      <c r="P1088" s="2" t="b">
        <v>0</v>
      </c>
    </row>
    <row r="1089" spans="1:16" x14ac:dyDescent="0.3">
      <c r="A1089" s="2" t="e">
        <f>'Converted Diagram'!$M$2159</f>
        <v>#VALUE!</v>
      </c>
      <c r="B1089" s="1" t="s">
        <v>219</v>
      </c>
      <c r="C1089" s="2">
        <v>0</v>
      </c>
      <c r="I1089" s="2" t="e">
        <v>#VALUE!</v>
      </c>
      <c r="J1089" s="2">
        <f>'Converted Diagram'!$L$2159</f>
        <v>0</v>
      </c>
      <c r="K1089" s="2" t="e">
        <f>'Converted Diagram'!$L$2158</f>
        <v>#VALUE!</v>
      </c>
      <c r="L1089" s="2" t="s">
        <v>1297</v>
      </c>
      <c r="M1089" s="2">
        <v>0</v>
      </c>
      <c r="P1089" s="2" t="b">
        <v>0</v>
      </c>
    </row>
    <row r="1090" spans="1:16" x14ac:dyDescent="0.3">
      <c r="A1090" s="2" t="e">
        <f>'Converted Diagram'!$F$2161</f>
        <v>#VALUE!</v>
      </c>
      <c r="B1090" s="1" t="s">
        <v>32</v>
      </c>
      <c r="C1090" s="2">
        <v>0</v>
      </c>
      <c r="I1090" s="2" t="s">
        <v>217</v>
      </c>
      <c r="J1090" s="2">
        <f>'Converted Diagram'!$E$2161</f>
        <v>0</v>
      </c>
      <c r="K1090" s="2" t="e">
        <f>'Converted Diagram'!$E$2160</f>
        <v>#VALUE!</v>
      </c>
      <c r="L1090" s="2" t="s">
        <v>1298</v>
      </c>
      <c r="M1090" s="2">
        <v>0</v>
      </c>
      <c r="O1090" s="2" t="str">
        <f>'Converted Diagram'!$F$2160</f>
        <v>Utilities</v>
      </c>
      <c r="P1090" s="2" t="b">
        <v>0</v>
      </c>
    </row>
    <row r="1091" spans="1:16" x14ac:dyDescent="0.3">
      <c r="A1091" s="2" t="e">
        <f>'Converted Diagram'!$J$2163</f>
        <v>#VALUE!</v>
      </c>
      <c r="B1091" s="1" t="s">
        <v>31</v>
      </c>
      <c r="C1091" s="2">
        <v>0</v>
      </c>
      <c r="I1091" s="2" t="s">
        <v>217</v>
      </c>
      <c r="J1091" s="2">
        <f>'Converted Diagram'!$I$2163</f>
        <v>0</v>
      </c>
      <c r="K1091" s="2" t="e">
        <f>'Converted Diagram'!$I$2162</f>
        <v>#VALUE!</v>
      </c>
      <c r="L1091" s="2" t="s">
        <v>1299</v>
      </c>
      <c r="M1091" s="2">
        <v>0</v>
      </c>
      <c r="O1091" s="2" t="str">
        <f>'Converted Diagram'!$J$2162</f>
        <v>Reduce Commute Time</v>
      </c>
      <c r="P1091" s="2" t="b">
        <v>0</v>
      </c>
    </row>
    <row r="1092" spans="1:16" x14ac:dyDescent="0.3">
      <c r="A1092" s="2" t="e">
        <f>'Converted Diagram'!$K$2165</f>
        <v>#VALUE!</v>
      </c>
      <c r="B1092" s="1" t="s">
        <v>219</v>
      </c>
      <c r="C1092" s="2">
        <v>0</v>
      </c>
      <c r="I1092" s="2" t="s">
        <v>217</v>
      </c>
      <c r="J1092" s="2">
        <f>'Converted Diagram'!$J$2165</f>
        <v>0</v>
      </c>
      <c r="K1092" s="2" t="e">
        <f>'Converted Diagram'!$J$2164</f>
        <v>#VALUE!</v>
      </c>
      <c r="L1092" s="2" t="s">
        <v>1300</v>
      </c>
      <c r="M1092" s="2">
        <v>0</v>
      </c>
      <c r="O1092" s="2" t="str">
        <f>'Converted Diagram'!$K$2164</f>
        <v>Reduce overall rent</v>
      </c>
      <c r="P1092" s="2" t="b">
        <v>0</v>
      </c>
    </row>
    <row r="1093" spans="1:16" x14ac:dyDescent="0.3">
      <c r="A1093" s="2" t="e">
        <f>'Converted Diagram'!$L$2167</f>
        <v>#VALUE!</v>
      </c>
      <c r="B1093" s="1" t="s">
        <v>219</v>
      </c>
      <c r="C1093" s="2">
        <v>0</v>
      </c>
      <c r="I1093" s="2" t="s">
        <v>217</v>
      </c>
      <c r="J1093" s="2">
        <f>'Converted Diagram'!$K$2167</f>
        <v>0</v>
      </c>
      <c r="K1093" s="2" t="e">
        <f>'Converted Diagram'!$K$2166</f>
        <v>#VALUE!</v>
      </c>
      <c r="L1093" s="2" t="s">
        <v>1301</v>
      </c>
      <c r="M1093" s="2">
        <v>0</v>
      </c>
      <c r="O1093" s="2" t="str">
        <f>'Converted Diagram'!$L$2166</f>
        <v>Increase Overall Convenience</v>
      </c>
      <c r="P1093" s="2" t="b">
        <v>0</v>
      </c>
    </row>
    <row r="1094" spans="1:16" x14ac:dyDescent="0.3">
      <c r="A1094" s="2" t="e">
        <f>'Converted Diagram'!$M$2169</f>
        <v>#VALUE!</v>
      </c>
      <c r="B1094" s="1" t="s">
        <v>219</v>
      </c>
      <c r="C1094" s="2">
        <v>0</v>
      </c>
      <c r="I1094" s="2" t="e">
        <v>#VALUE!</v>
      </c>
      <c r="J1094" s="2">
        <f>'Converted Diagram'!$L$2169</f>
        <v>0</v>
      </c>
      <c r="K1094" s="2" t="e">
        <f>'Converted Diagram'!$L$2168</f>
        <v>#VALUE!</v>
      </c>
      <c r="L1094" s="2" t="s">
        <v>1302</v>
      </c>
      <c r="M1094" s="2">
        <v>0</v>
      </c>
      <c r="P1094" s="2" t="b">
        <v>0</v>
      </c>
    </row>
    <row r="1095" spans="1:16" x14ac:dyDescent="0.3">
      <c r="A1095" s="2" t="e">
        <f>'Converted Diagram'!$I$2171</f>
        <v>#VALUE!</v>
      </c>
      <c r="B1095" s="1" t="s">
        <v>31</v>
      </c>
      <c r="C1095" s="2">
        <v>0</v>
      </c>
      <c r="I1095" s="2" t="s">
        <v>217</v>
      </c>
      <c r="J1095" s="2">
        <f>'Converted Diagram'!$H$2171</f>
        <v>0</v>
      </c>
      <c r="K1095" s="2" t="e">
        <f>'Converted Diagram'!$H$2170</f>
        <v>#VALUE!</v>
      </c>
      <c r="L1095" s="2" t="s">
        <v>1303</v>
      </c>
      <c r="M1095" s="2">
        <v>0</v>
      </c>
      <c r="O1095" s="2" t="str">
        <f>'Converted Diagram'!$I$2170</f>
        <v>Floor</v>
      </c>
      <c r="P1095" s="2" t="b">
        <v>0</v>
      </c>
    </row>
    <row r="1096" spans="1:16" x14ac:dyDescent="0.3">
      <c r="A1096" s="2" t="e">
        <f>'Converted Diagram'!$J$2173</f>
        <v>#VALUE!</v>
      </c>
      <c r="B1096" s="1" t="s">
        <v>32</v>
      </c>
      <c r="C1096" s="2">
        <v>0</v>
      </c>
      <c r="I1096" s="2" t="s">
        <v>217</v>
      </c>
      <c r="J1096" s="2">
        <f>'Converted Diagram'!$I$2173</f>
        <v>0</v>
      </c>
      <c r="K1096" s="2" t="e">
        <f>'Converted Diagram'!$I$2172</f>
        <v>#VALUE!</v>
      </c>
      <c r="L1096" s="2" t="s">
        <v>1304</v>
      </c>
      <c r="M1096" s="2">
        <v>0</v>
      </c>
      <c r="O1096" s="2" t="str">
        <f>'Converted Diagram'!$J$2172</f>
        <v>Reduce Commute Time</v>
      </c>
      <c r="P1096" s="2" t="b">
        <v>0</v>
      </c>
    </row>
    <row r="1097" spans="1:16" x14ac:dyDescent="0.3">
      <c r="A1097" s="2" t="e">
        <f>'Converted Diagram'!$K$2175</f>
        <v>#VALUE!</v>
      </c>
      <c r="B1097" s="1" t="s">
        <v>219</v>
      </c>
      <c r="C1097" s="2">
        <v>0</v>
      </c>
      <c r="I1097" s="2" t="s">
        <v>217</v>
      </c>
      <c r="J1097" s="2">
        <f>'Converted Diagram'!$J$2175</f>
        <v>0</v>
      </c>
      <c r="K1097" s="2" t="e">
        <f>'Converted Diagram'!$J$2174</f>
        <v>#VALUE!</v>
      </c>
      <c r="L1097" s="2" t="s">
        <v>1305</v>
      </c>
      <c r="M1097" s="2">
        <v>0</v>
      </c>
      <c r="O1097" s="2" t="str">
        <f>'Converted Diagram'!$K$2174</f>
        <v>Reduce overall rent</v>
      </c>
      <c r="P1097" s="2" t="b">
        <v>0</v>
      </c>
    </row>
    <row r="1098" spans="1:16" x14ac:dyDescent="0.3">
      <c r="A1098" s="2" t="e">
        <f>'Converted Diagram'!$L$2177</f>
        <v>#VALUE!</v>
      </c>
      <c r="B1098" s="1" t="s">
        <v>219</v>
      </c>
      <c r="C1098" s="2">
        <v>0</v>
      </c>
      <c r="I1098" s="2" t="s">
        <v>217</v>
      </c>
      <c r="J1098" s="2">
        <f>'Converted Diagram'!$K$2177</f>
        <v>0</v>
      </c>
      <c r="K1098" s="2" t="e">
        <f>'Converted Diagram'!$K$2176</f>
        <v>#VALUE!</v>
      </c>
      <c r="L1098" s="2" t="s">
        <v>1306</v>
      </c>
      <c r="M1098" s="2">
        <v>0</v>
      </c>
      <c r="O1098" s="2" t="str">
        <f>'Converted Diagram'!$L$2176</f>
        <v>Increase Overall Convenience</v>
      </c>
      <c r="P1098" s="2" t="b">
        <v>0</v>
      </c>
    </row>
    <row r="1099" spans="1:16" x14ac:dyDescent="0.3">
      <c r="A1099" s="2" t="e">
        <f>'Converted Diagram'!$M$2179</f>
        <v>#VALUE!</v>
      </c>
      <c r="B1099" s="1" t="s">
        <v>219</v>
      </c>
      <c r="C1099" s="2">
        <v>0</v>
      </c>
      <c r="I1099" s="2" t="e">
        <v>#VALUE!</v>
      </c>
      <c r="J1099" s="2">
        <f>'Converted Diagram'!$L$2179</f>
        <v>0</v>
      </c>
      <c r="K1099" s="2" t="e">
        <f>'Converted Diagram'!$L$2178</f>
        <v>#VALUE!</v>
      </c>
      <c r="L1099" s="2" t="s">
        <v>1307</v>
      </c>
      <c r="M1099" s="2">
        <v>0</v>
      </c>
      <c r="P1099" s="2" t="b">
        <v>0</v>
      </c>
    </row>
    <row r="1100" spans="1:16" x14ac:dyDescent="0.3">
      <c r="A1100" s="2" t="e">
        <f>'Converted Diagram'!$H$2181</f>
        <v>#VALUE!</v>
      </c>
      <c r="B1100" s="1" t="s">
        <v>31</v>
      </c>
      <c r="C1100" s="2">
        <v>0</v>
      </c>
      <c r="I1100" s="2" t="s">
        <v>217</v>
      </c>
      <c r="J1100" s="2">
        <f>'Converted Diagram'!$G$2181</f>
        <v>0</v>
      </c>
      <c r="K1100" s="2" t="e">
        <f>'Converted Diagram'!$G$2180</f>
        <v>#VALUE!</v>
      </c>
      <c r="L1100" s="2" t="s">
        <v>1308</v>
      </c>
      <c r="M1100" s="2">
        <v>0</v>
      </c>
      <c r="O1100" s="2" t="str">
        <f>'Converted Diagram'!$H$2180</f>
        <v>Wi-Fi &amp; Cable Ready</v>
      </c>
      <c r="P1100" s="2" t="b">
        <v>0</v>
      </c>
    </row>
    <row r="1101" spans="1:16" x14ac:dyDescent="0.3">
      <c r="A1101" s="2" t="e">
        <f>'Converted Diagram'!$J$2183</f>
        <v>#VALUE!</v>
      </c>
      <c r="B1101" s="1" t="s">
        <v>31</v>
      </c>
      <c r="C1101" s="2">
        <v>0</v>
      </c>
      <c r="I1101" s="2" t="s">
        <v>217</v>
      </c>
      <c r="J1101" s="2">
        <f>'Converted Diagram'!$I$2183</f>
        <v>0</v>
      </c>
      <c r="K1101" s="2" t="e">
        <f>'Converted Diagram'!$I$2182</f>
        <v>#VALUE!</v>
      </c>
      <c r="L1101" s="2" t="s">
        <v>1309</v>
      </c>
      <c r="M1101" s="2">
        <v>0</v>
      </c>
      <c r="O1101" s="2" t="str">
        <f>'Converted Diagram'!$J$2182</f>
        <v>Reduce Commute Time</v>
      </c>
      <c r="P1101" s="2" t="b">
        <v>0</v>
      </c>
    </row>
    <row r="1102" spans="1:16" x14ac:dyDescent="0.3">
      <c r="A1102" s="2" t="e">
        <f>'Converted Diagram'!$K$2185</f>
        <v>#VALUE!</v>
      </c>
      <c r="B1102" s="1" t="s">
        <v>219</v>
      </c>
      <c r="C1102" s="2">
        <v>0</v>
      </c>
      <c r="I1102" s="2" t="s">
        <v>217</v>
      </c>
      <c r="J1102" s="2">
        <f>'Converted Diagram'!$J$2185</f>
        <v>0</v>
      </c>
      <c r="K1102" s="2" t="e">
        <f>'Converted Diagram'!$J$2184</f>
        <v>#VALUE!</v>
      </c>
      <c r="L1102" s="2" t="s">
        <v>1310</v>
      </c>
      <c r="M1102" s="2">
        <v>0</v>
      </c>
      <c r="O1102" s="2" t="str">
        <f>'Converted Diagram'!$K$2184</f>
        <v>Reduce overall rent</v>
      </c>
      <c r="P1102" s="2" t="b">
        <v>0</v>
      </c>
    </row>
    <row r="1103" spans="1:16" x14ac:dyDescent="0.3">
      <c r="A1103" s="2" t="e">
        <f>'Converted Diagram'!$L$2187</f>
        <v>#VALUE!</v>
      </c>
      <c r="B1103" s="1" t="s">
        <v>219</v>
      </c>
      <c r="C1103" s="2">
        <v>0</v>
      </c>
      <c r="I1103" s="2" t="s">
        <v>217</v>
      </c>
      <c r="J1103" s="2">
        <f>'Converted Diagram'!$K$2187</f>
        <v>0</v>
      </c>
      <c r="K1103" s="2" t="e">
        <f>'Converted Diagram'!$K$2186</f>
        <v>#VALUE!</v>
      </c>
      <c r="L1103" s="2" t="s">
        <v>1311</v>
      </c>
      <c r="M1103" s="2">
        <v>0</v>
      </c>
      <c r="O1103" s="2" t="str">
        <f>'Converted Diagram'!$L$2186</f>
        <v>Increase Overall Convenience</v>
      </c>
      <c r="P1103" s="2" t="b">
        <v>0</v>
      </c>
    </row>
    <row r="1104" spans="1:16" x14ac:dyDescent="0.3">
      <c r="A1104" s="2" t="e">
        <f>'Converted Diagram'!$M$2189</f>
        <v>#VALUE!</v>
      </c>
      <c r="B1104" s="1" t="s">
        <v>219</v>
      </c>
      <c r="C1104" s="2">
        <v>0</v>
      </c>
      <c r="I1104" s="2" t="e">
        <v>#VALUE!</v>
      </c>
      <c r="J1104" s="2">
        <f>'Converted Diagram'!$L$2189</f>
        <v>0</v>
      </c>
      <c r="K1104" s="2" t="e">
        <f>'Converted Diagram'!$L$2188</f>
        <v>#VALUE!</v>
      </c>
      <c r="L1104" s="2" t="s">
        <v>1312</v>
      </c>
      <c r="M1104" s="2">
        <v>0</v>
      </c>
      <c r="P1104" s="2" t="b">
        <v>0</v>
      </c>
    </row>
    <row r="1105" spans="1:16" x14ac:dyDescent="0.3">
      <c r="A1105" s="2" t="e">
        <f>'Converted Diagram'!$I$2191</f>
        <v>#VALUE!</v>
      </c>
      <c r="B1105" s="1" t="s">
        <v>32</v>
      </c>
      <c r="C1105" s="2">
        <v>0</v>
      </c>
      <c r="I1105" s="2" t="s">
        <v>217</v>
      </c>
      <c r="J1105" s="2">
        <f>'Converted Diagram'!$H$2191</f>
        <v>0</v>
      </c>
      <c r="K1105" s="2" t="e">
        <f>'Converted Diagram'!$H$2190</f>
        <v>#VALUE!</v>
      </c>
      <c r="L1105" s="2" t="s">
        <v>1313</v>
      </c>
      <c r="M1105" s="2">
        <v>0</v>
      </c>
      <c r="O1105" s="2" t="str">
        <f>'Converted Diagram'!$I$2190</f>
        <v>Floor</v>
      </c>
      <c r="P1105" s="2" t="b">
        <v>0</v>
      </c>
    </row>
    <row r="1106" spans="1:16" x14ac:dyDescent="0.3">
      <c r="A1106" s="2" t="e">
        <f>'Converted Diagram'!$J$2193</f>
        <v>#VALUE!</v>
      </c>
      <c r="B1106" s="1" t="s">
        <v>32</v>
      </c>
      <c r="C1106" s="2">
        <v>0</v>
      </c>
      <c r="I1106" s="2" t="s">
        <v>217</v>
      </c>
      <c r="J1106" s="2">
        <f>'Converted Diagram'!$I$2193</f>
        <v>0</v>
      </c>
      <c r="K1106" s="2" t="e">
        <f>'Converted Diagram'!$I$2192</f>
        <v>#VALUE!</v>
      </c>
      <c r="L1106" s="2" t="s">
        <v>1314</v>
      </c>
      <c r="M1106" s="2">
        <v>0</v>
      </c>
      <c r="O1106" s="2" t="str">
        <f>'Converted Diagram'!$J$2192</f>
        <v>Reduce Commute Time</v>
      </c>
      <c r="P1106" s="2" t="b">
        <v>0</v>
      </c>
    </row>
    <row r="1107" spans="1:16" x14ac:dyDescent="0.3">
      <c r="A1107" s="2" t="e">
        <f>'Converted Diagram'!$K$2195</f>
        <v>#VALUE!</v>
      </c>
      <c r="B1107" s="1" t="s">
        <v>219</v>
      </c>
      <c r="C1107" s="2">
        <v>0</v>
      </c>
      <c r="I1107" s="2" t="s">
        <v>217</v>
      </c>
      <c r="J1107" s="2">
        <f>'Converted Diagram'!$J$2195</f>
        <v>0</v>
      </c>
      <c r="K1107" s="2" t="e">
        <f>'Converted Diagram'!$J$2194</f>
        <v>#VALUE!</v>
      </c>
      <c r="L1107" s="2" t="s">
        <v>1315</v>
      </c>
      <c r="M1107" s="2">
        <v>0</v>
      </c>
      <c r="O1107" s="2" t="str">
        <f>'Converted Diagram'!$K$2194</f>
        <v>Reduce overall rent</v>
      </c>
      <c r="P1107" s="2" t="b">
        <v>0</v>
      </c>
    </row>
    <row r="1108" spans="1:16" x14ac:dyDescent="0.3">
      <c r="A1108" s="2" t="e">
        <f>'Converted Diagram'!$L$2197</f>
        <v>#VALUE!</v>
      </c>
      <c r="B1108" s="1" t="s">
        <v>219</v>
      </c>
      <c r="C1108" s="2">
        <v>0</v>
      </c>
      <c r="I1108" s="2" t="s">
        <v>217</v>
      </c>
      <c r="J1108" s="2">
        <f>'Converted Diagram'!$K$2197</f>
        <v>0</v>
      </c>
      <c r="K1108" s="2" t="e">
        <f>'Converted Diagram'!$K$2196</f>
        <v>#VALUE!</v>
      </c>
      <c r="L1108" s="2" t="s">
        <v>1316</v>
      </c>
      <c r="M1108" s="2">
        <v>0</v>
      </c>
      <c r="O1108" s="2" t="str">
        <f>'Converted Diagram'!$L$2196</f>
        <v>Increase Overall Convenience</v>
      </c>
      <c r="P1108" s="2" t="b">
        <v>0</v>
      </c>
    </row>
    <row r="1109" spans="1:16" x14ac:dyDescent="0.3">
      <c r="A1109" s="2" t="e">
        <f>'Converted Diagram'!$M$2199</f>
        <v>#VALUE!</v>
      </c>
      <c r="B1109" s="1" t="s">
        <v>219</v>
      </c>
      <c r="C1109" s="2">
        <v>0</v>
      </c>
      <c r="I1109" s="2" t="e">
        <v>#VALUE!</v>
      </c>
      <c r="J1109" s="2">
        <f>'Converted Diagram'!$L$2199</f>
        <v>0</v>
      </c>
      <c r="K1109" s="2" t="e">
        <f>'Converted Diagram'!$L$2198</f>
        <v>#VALUE!</v>
      </c>
      <c r="L1109" s="2" t="s">
        <v>1317</v>
      </c>
      <c r="M1109" s="2">
        <v>0</v>
      </c>
      <c r="P1109" s="2" t="b">
        <v>0</v>
      </c>
    </row>
    <row r="1110" spans="1:16" x14ac:dyDescent="0.3">
      <c r="A1110" s="2" t="e">
        <f>'Converted Diagram'!$G$2201</f>
        <v>#VALUE!</v>
      </c>
      <c r="B1110" s="1" t="s">
        <v>32</v>
      </c>
      <c r="C1110" s="2">
        <v>0</v>
      </c>
      <c r="I1110" s="2" t="s">
        <v>217</v>
      </c>
      <c r="J1110" s="2">
        <f>'Converted Diagram'!$F$2201</f>
        <v>0</v>
      </c>
      <c r="K1110" s="2" t="e">
        <f>'Converted Diagram'!$F$2200</f>
        <v>#VALUE!</v>
      </c>
      <c r="L1110" s="2" t="s">
        <v>1318</v>
      </c>
      <c r="M1110" s="2">
        <v>0</v>
      </c>
      <c r="O1110" s="2" t="str">
        <f>'Converted Diagram'!$G$2200</f>
        <v>Grocery Store</v>
      </c>
      <c r="P1110" s="2" t="b">
        <v>0</v>
      </c>
    </row>
    <row r="1111" spans="1:16" x14ac:dyDescent="0.3">
      <c r="A1111" s="2" t="e">
        <f>'Converted Diagram'!$J$2203</f>
        <v>#VALUE!</v>
      </c>
      <c r="B1111" s="1" t="s">
        <v>31</v>
      </c>
      <c r="C1111" s="2">
        <v>0</v>
      </c>
      <c r="I1111" s="2" t="s">
        <v>217</v>
      </c>
      <c r="J1111" s="2">
        <f>'Converted Diagram'!$I$2203</f>
        <v>0</v>
      </c>
      <c r="K1111" s="2" t="e">
        <f>'Converted Diagram'!$I$2202</f>
        <v>#VALUE!</v>
      </c>
      <c r="L1111" s="2" t="s">
        <v>1319</v>
      </c>
      <c r="M1111" s="2">
        <v>0</v>
      </c>
      <c r="O1111" s="2" t="str">
        <f>'Converted Diagram'!$J$2202</f>
        <v>Reduce Commute Time</v>
      </c>
      <c r="P1111" s="2" t="b">
        <v>0</v>
      </c>
    </row>
    <row r="1112" spans="1:16" x14ac:dyDescent="0.3">
      <c r="A1112" s="2" t="e">
        <f>'Converted Diagram'!$K$2205</f>
        <v>#VALUE!</v>
      </c>
      <c r="B1112" s="1" t="s">
        <v>219</v>
      </c>
      <c r="C1112" s="2">
        <v>0</v>
      </c>
      <c r="I1112" s="2" t="s">
        <v>217</v>
      </c>
      <c r="J1112" s="2">
        <f>'Converted Diagram'!$J$2205</f>
        <v>0</v>
      </c>
      <c r="K1112" s="2" t="e">
        <f>'Converted Diagram'!$J$2204</f>
        <v>#VALUE!</v>
      </c>
      <c r="L1112" s="2" t="s">
        <v>1320</v>
      </c>
      <c r="M1112" s="2">
        <v>0</v>
      </c>
      <c r="O1112" s="2" t="str">
        <f>'Converted Diagram'!$K$2204</f>
        <v>Reduce overall rent</v>
      </c>
      <c r="P1112" s="2" t="b">
        <v>0</v>
      </c>
    </row>
    <row r="1113" spans="1:16" x14ac:dyDescent="0.3">
      <c r="A1113" s="2" t="e">
        <f>'Converted Diagram'!$L$2207</f>
        <v>#VALUE!</v>
      </c>
      <c r="B1113" s="1" t="s">
        <v>219</v>
      </c>
      <c r="C1113" s="2">
        <v>0</v>
      </c>
      <c r="I1113" s="2" t="s">
        <v>217</v>
      </c>
      <c r="J1113" s="2">
        <f>'Converted Diagram'!$K$2207</f>
        <v>0</v>
      </c>
      <c r="K1113" s="2" t="e">
        <f>'Converted Diagram'!$K$2206</f>
        <v>#VALUE!</v>
      </c>
      <c r="L1113" s="2" t="s">
        <v>1321</v>
      </c>
      <c r="M1113" s="2">
        <v>0</v>
      </c>
      <c r="O1113" s="2" t="str">
        <f>'Converted Diagram'!$L$2206</f>
        <v>Increase Overall Convenience</v>
      </c>
      <c r="P1113" s="2" t="b">
        <v>0</v>
      </c>
    </row>
    <row r="1114" spans="1:16" x14ac:dyDescent="0.3">
      <c r="A1114" s="2" t="e">
        <f>'Converted Diagram'!$M$2209</f>
        <v>#VALUE!</v>
      </c>
      <c r="B1114" s="1" t="s">
        <v>219</v>
      </c>
      <c r="C1114" s="2">
        <v>0</v>
      </c>
      <c r="I1114" s="2" t="e">
        <v>#VALUE!</v>
      </c>
      <c r="J1114" s="2">
        <f>'Converted Diagram'!$L$2209</f>
        <v>0</v>
      </c>
      <c r="K1114" s="2" t="e">
        <f>'Converted Diagram'!$L$2208</f>
        <v>#VALUE!</v>
      </c>
      <c r="L1114" s="2" t="s">
        <v>1322</v>
      </c>
      <c r="M1114" s="2">
        <v>0</v>
      </c>
      <c r="P1114" s="2" t="b">
        <v>0</v>
      </c>
    </row>
    <row r="1115" spans="1:16" x14ac:dyDescent="0.3">
      <c r="A1115" s="2" t="e">
        <f>'Converted Diagram'!$I$2211</f>
        <v>#VALUE!</v>
      </c>
      <c r="B1115" s="1" t="s">
        <v>31</v>
      </c>
      <c r="C1115" s="2">
        <v>0</v>
      </c>
      <c r="I1115" s="2" t="s">
        <v>217</v>
      </c>
      <c r="J1115" s="2">
        <f>'Converted Diagram'!$H$2211</f>
        <v>0</v>
      </c>
      <c r="K1115" s="2" t="e">
        <f>'Converted Diagram'!$H$2210</f>
        <v>#VALUE!</v>
      </c>
      <c r="L1115" s="2" t="s">
        <v>1323</v>
      </c>
      <c r="M1115" s="2">
        <v>0</v>
      </c>
      <c r="O1115" s="2" t="str">
        <f>'Converted Diagram'!$I$2210</f>
        <v>Floor</v>
      </c>
      <c r="P1115" s="2" t="b">
        <v>0</v>
      </c>
    </row>
    <row r="1116" spans="1:16" x14ac:dyDescent="0.3">
      <c r="A1116" s="2" t="e">
        <f>'Converted Diagram'!$J$2213</f>
        <v>#VALUE!</v>
      </c>
      <c r="B1116" s="1" t="s">
        <v>32</v>
      </c>
      <c r="C1116" s="2">
        <v>0</v>
      </c>
      <c r="I1116" s="2" t="s">
        <v>217</v>
      </c>
      <c r="J1116" s="2">
        <f>'Converted Diagram'!$I$2213</f>
        <v>0</v>
      </c>
      <c r="K1116" s="2" t="e">
        <f>'Converted Diagram'!$I$2212</f>
        <v>#VALUE!</v>
      </c>
      <c r="L1116" s="2" t="s">
        <v>1324</v>
      </c>
      <c r="M1116" s="2">
        <v>0</v>
      </c>
      <c r="O1116" s="2" t="str">
        <f>'Converted Diagram'!$J$2212</f>
        <v>Reduce Commute Time</v>
      </c>
      <c r="P1116" s="2" t="b">
        <v>0</v>
      </c>
    </row>
    <row r="1117" spans="1:16" x14ac:dyDescent="0.3">
      <c r="A1117" s="2" t="e">
        <f>'Converted Diagram'!$K$2215</f>
        <v>#VALUE!</v>
      </c>
      <c r="B1117" s="1" t="s">
        <v>219</v>
      </c>
      <c r="C1117" s="2">
        <v>0</v>
      </c>
      <c r="I1117" s="2" t="s">
        <v>217</v>
      </c>
      <c r="J1117" s="2">
        <f>'Converted Diagram'!$J$2215</f>
        <v>0</v>
      </c>
      <c r="K1117" s="2" t="e">
        <f>'Converted Diagram'!$J$2214</f>
        <v>#VALUE!</v>
      </c>
      <c r="L1117" s="2" t="s">
        <v>1325</v>
      </c>
      <c r="M1117" s="2">
        <v>0</v>
      </c>
      <c r="O1117" s="2" t="str">
        <f>'Converted Diagram'!$K$2214</f>
        <v>Reduce overall rent</v>
      </c>
      <c r="P1117" s="2" t="b">
        <v>0</v>
      </c>
    </row>
    <row r="1118" spans="1:16" x14ac:dyDescent="0.3">
      <c r="A1118" s="2" t="e">
        <f>'Converted Diagram'!$L$2217</f>
        <v>#VALUE!</v>
      </c>
      <c r="B1118" s="1" t="s">
        <v>219</v>
      </c>
      <c r="C1118" s="2">
        <v>0</v>
      </c>
      <c r="I1118" s="2" t="s">
        <v>217</v>
      </c>
      <c r="J1118" s="2">
        <f>'Converted Diagram'!$K$2217</f>
        <v>0</v>
      </c>
      <c r="K1118" s="2" t="e">
        <f>'Converted Diagram'!$K$2216</f>
        <v>#VALUE!</v>
      </c>
      <c r="L1118" s="2" t="s">
        <v>1326</v>
      </c>
      <c r="M1118" s="2">
        <v>0</v>
      </c>
      <c r="O1118" s="2" t="str">
        <f>'Converted Diagram'!$L$2216</f>
        <v>Increase Overall Convenience</v>
      </c>
      <c r="P1118" s="2" t="b">
        <v>0</v>
      </c>
    </row>
    <row r="1119" spans="1:16" x14ac:dyDescent="0.3">
      <c r="A1119" s="2" t="e">
        <f>'Converted Diagram'!$M$2219</f>
        <v>#VALUE!</v>
      </c>
      <c r="B1119" s="1" t="s">
        <v>219</v>
      </c>
      <c r="C1119" s="2">
        <v>0</v>
      </c>
      <c r="I1119" s="2" t="e">
        <v>#VALUE!</v>
      </c>
      <c r="J1119" s="2">
        <f>'Converted Diagram'!$L$2219</f>
        <v>0</v>
      </c>
      <c r="K1119" s="2" t="e">
        <f>'Converted Diagram'!$L$2218</f>
        <v>#VALUE!</v>
      </c>
      <c r="L1119" s="2" t="s">
        <v>1327</v>
      </c>
      <c r="M1119" s="2">
        <v>0</v>
      </c>
      <c r="P1119" s="2" t="b">
        <v>0</v>
      </c>
    </row>
    <row r="1120" spans="1:16" x14ac:dyDescent="0.3">
      <c r="A1120" s="2" t="e">
        <f>'Converted Diagram'!$H$2221</f>
        <v>#VALUE!</v>
      </c>
      <c r="B1120" s="1" t="s">
        <v>32</v>
      </c>
      <c r="C1120" s="2">
        <v>0</v>
      </c>
      <c r="I1120" s="2" t="s">
        <v>217</v>
      </c>
      <c r="J1120" s="2">
        <f>'Converted Diagram'!$G$2221</f>
        <v>0</v>
      </c>
      <c r="K1120" s="2" t="e">
        <f>'Converted Diagram'!$G$2220</f>
        <v>#VALUE!</v>
      </c>
      <c r="L1120" s="2" t="s">
        <v>1328</v>
      </c>
      <c r="M1120" s="2">
        <v>0</v>
      </c>
      <c r="O1120" s="2" t="str">
        <f>'Converted Diagram'!$H$2220</f>
        <v>Wi-Fi &amp; Cable Ready</v>
      </c>
      <c r="P1120" s="2" t="b">
        <v>0</v>
      </c>
    </row>
    <row r="1121" spans="1:16" x14ac:dyDescent="0.3">
      <c r="A1121" s="2" t="e">
        <f>'Converted Diagram'!$J$2223</f>
        <v>#VALUE!</v>
      </c>
      <c r="B1121" s="1" t="s">
        <v>31</v>
      </c>
      <c r="C1121" s="2">
        <v>0</v>
      </c>
      <c r="I1121" s="2" t="s">
        <v>217</v>
      </c>
      <c r="J1121" s="2">
        <f>'Converted Diagram'!$I$2223</f>
        <v>0</v>
      </c>
      <c r="K1121" s="2" t="e">
        <f>'Converted Diagram'!$I$2222</f>
        <v>#VALUE!</v>
      </c>
      <c r="L1121" s="2" t="s">
        <v>1329</v>
      </c>
      <c r="M1121" s="2">
        <v>0</v>
      </c>
      <c r="O1121" s="2" t="str">
        <f>'Converted Diagram'!$J$2222</f>
        <v>Reduce Commute Time</v>
      </c>
      <c r="P1121" s="2" t="b">
        <v>0</v>
      </c>
    </row>
    <row r="1122" spans="1:16" x14ac:dyDescent="0.3">
      <c r="A1122" s="2" t="e">
        <f>'Converted Diagram'!$K$2225</f>
        <v>#VALUE!</v>
      </c>
      <c r="B1122" s="1" t="s">
        <v>219</v>
      </c>
      <c r="C1122" s="2">
        <v>0</v>
      </c>
      <c r="I1122" s="2" t="s">
        <v>217</v>
      </c>
      <c r="J1122" s="2">
        <f>'Converted Diagram'!$J$2225</f>
        <v>0</v>
      </c>
      <c r="K1122" s="2" t="e">
        <f>'Converted Diagram'!$J$2224</f>
        <v>#VALUE!</v>
      </c>
      <c r="L1122" s="2" t="s">
        <v>1330</v>
      </c>
      <c r="M1122" s="2">
        <v>0</v>
      </c>
      <c r="O1122" s="2" t="str">
        <f>'Converted Diagram'!$K$2224</f>
        <v>Reduce overall rent</v>
      </c>
      <c r="P1122" s="2" t="b">
        <v>0</v>
      </c>
    </row>
    <row r="1123" spans="1:16" x14ac:dyDescent="0.3">
      <c r="A1123" s="2" t="e">
        <f>'Converted Diagram'!$L$2227</f>
        <v>#VALUE!</v>
      </c>
      <c r="B1123" s="1" t="s">
        <v>219</v>
      </c>
      <c r="C1123" s="2">
        <v>0</v>
      </c>
      <c r="I1123" s="2" t="s">
        <v>217</v>
      </c>
      <c r="J1123" s="2">
        <f>'Converted Diagram'!$K$2227</f>
        <v>0</v>
      </c>
      <c r="K1123" s="2" t="e">
        <f>'Converted Diagram'!$K$2226</f>
        <v>#VALUE!</v>
      </c>
      <c r="L1123" s="2" t="s">
        <v>1331</v>
      </c>
      <c r="M1123" s="2">
        <v>0</v>
      </c>
      <c r="O1123" s="2" t="str">
        <f>'Converted Diagram'!$L$2226</f>
        <v>Increase Overall Convenience</v>
      </c>
      <c r="P1123" s="2" t="b">
        <v>0</v>
      </c>
    </row>
    <row r="1124" spans="1:16" x14ac:dyDescent="0.3">
      <c r="A1124" s="2" t="e">
        <f>'Converted Diagram'!$M$2229</f>
        <v>#VALUE!</v>
      </c>
      <c r="B1124" s="1" t="s">
        <v>219</v>
      </c>
      <c r="C1124" s="2">
        <v>0</v>
      </c>
      <c r="I1124" s="2" t="e">
        <v>#VALUE!</v>
      </c>
      <c r="J1124" s="2">
        <f>'Converted Diagram'!$L$2229</f>
        <v>0</v>
      </c>
      <c r="K1124" s="2" t="e">
        <f>'Converted Diagram'!$L$2228</f>
        <v>#VALUE!</v>
      </c>
      <c r="L1124" s="2" t="s">
        <v>1332</v>
      </c>
      <c r="M1124" s="2">
        <v>0</v>
      </c>
      <c r="P1124" s="2" t="b">
        <v>0</v>
      </c>
    </row>
    <row r="1125" spans="1:16" x14ac:dyDescent="0.3">
      <c r="A1125" s="2" t="e">
        <f>'Converted Diagram'!$I$2231</f>
        <v>#VALUE!</v>
      </c>
      <c r="B1125" s="1" t="s">
        <v>32</v>
      </c>
      <c r="C1125" s="2">
        <v>0</v>
      </c>
      <c r="I1125" s="2" t="s">
        <v>217</v>
      </c>
      <c r="J1125" s="2">
        <f>'Converted Diagram'!$H$2231</f>
        <v>0</v>
      </c>
      <c r="K1125" s="2" t="e">
        <f>'Converted Diagram'!$H$2230</f>
        <v>#VALUE!</v>
      </c>
      <c r="L1125" s="2" t="s">
        <v>1333</v>
      </c>
      <c r="M1125" s="2">
        <v>0</v>
      </c>
      <c r="O1125" s="2" t="str">
        <f>'Converted Diagram'!$I$2230</f>
        <v>Floor</v>
      </c>
      <c r="P1125" s="2" t="b">
        <v>0</v>
      </c>
    </row>
    <row r="1126" spans="1:16" x14ac:dyDescent="0.3">
      <c r="A1126" s="2" t="e">
        <f>'Converted Diagram'!$J$2233</f>
        <v>#VALUE!</v>
      </c>
      <c r="B1126" s="1" t="s">
        <v>32</v>
      </c>
      <c r="C1126" s="2">
        <v>0</v>
      </c>
      <c r="I1126" s="2" t="s">
        <v>217</v>
      </c>
      <c r="J1126" s="2">
        <f>'Converted Diagram'!$I$2233</f>
        <v>0</v>
      </c>
      <c r="K1126" s="2" t="e">
        <f>'Converted Diagram'!$I$2232</f>
        <v>#VALUE!</v>
      </c>
      <c r="L1126" s="2" t="s">
        <v>1334</v>
      </c>
      <c r="M1126" s="2">
        <v>0</v>
      </c>
      <c r="O1126" s="2" t="str">
        <f>'Converted Diagram'!$J$2232</f>
        <v>Reduce Commute Time</v>
      </c>
      <c r="P1126" s="2" t="b">
        <v>0</v>
      </c>
    </row>
    <row r="1127" spans="1:16" x14ac:dyDescent="0.3">
      <c r="A1127" s="2" t="e">
        <f>'Converted Diagram'!$K$2235</f>
        <v>#VALUE!</v>
      </c>
      <c r="B1127" s="1" t="s">
        <v>219</v>
      </c>
      <c r="C1127" s="2">
        <v>0</v>
      </c>
      <c r="I1127" s="2" t="s">
        <v>217</v>
      </c>
      <c r="J1127" s="2">
        <f>'Converted Diagram'!$J$2235</f>
        <v>0</v>
      </c>
      <c r="K1127" s="2" t="e">
        <f>'Converted Diagram'!$J$2234</f>
        <v>#VALUE!</v>
      </c>
      <c r="L1127" s="2" t="s">
        <v>1335</v>
      </c>
      <c r="M1127" s="2">
        <v>0</v>
      </c>
      <c r="O1127" s="2" t="str">
        <f>'Converted Diagram'!$K$2234</f>
        <v>Reduce overall rent</v>
      </c>
      <c r="P1127" s="2" t="b">
        <v>0</v>
      </c>
    </row>
    <row r="1128" spans="1:16" x14ac:dyDescent="0.3">
      <c r="A1128" s="2" t="e">
        <f>'Converted Diagram'!$L$2237</f>
        <v>#VALUE!</v>
      </c>
      <c r="B1128" s="1" t="s">
        <v>219</v>
      </c>
      <c r="C1128" s="2">
        <v>0</v>
      </c>
      <c r="I1128" s="2" t="s">
        <v>217</v>
      </c>
      <c r="J1128" s="2">
        <f>'Converted Diagram'!$K$2237</f>
        <v>0</v>
      </c>
      <c r="K1128" s="2" t="e">
        <f>'Converted Diagram'!$K$2236</f>
        <v>#VALUE!</v>
      </c>
      <c r="L1128" s="2" t="s">
        <v>1336</v>
      </c>
      <c r="M1128" s="2">
        <v>0</v>
      </c>
      <c r="O1128" s="2" t="str">
        <f>'Converted Diagram'!$L$2236</f>
        <v>Increase Overall Convenience</v>
      </c>
      <c r="P1128" s="2" t="b">
        <v>0</v>
      </c>
    </row>
    <row r="1129" spans="1:16" x14ac:dyDescent="0.3">
      <c r="A1129" s="2" t="e">
        <f>'Converted Diagram'!$M$2239</f>
        <v>#VALUE!</v>
      </c>
      <c r="B1129" s="1" t="s">
        <v>219</v>
      </c>
      <c r="C1129" s="2">
        <v>0</v>
      </c>
      <c r="I1129" s="2" t="e">
        <v>#VALUE!</v>
      </c>
      <c r="J1129" s="2">
        <f>'Converted Diagram'!$L$2239</f>
        <v>0</v>
      </c>
      <c r="K1129" s="2" t="e">
        <f>'Converted Diagram'!$L$2238</f>
        <v>#VALUE!</v>
      </c>
      <c r="L1129" s="2" t="s">
        <v>1337</v>
      </c>
      <c r="M1129" s="2">
        <v>0</v>
      </c>
      <c r="P1129" s="2" t="b">
        <v>0</v>
      </c>
    </row>
    <row r="1130" spans="1:16" x14ac:dyDescent="0.3">
      <c r="A1130" s="2" t="e">
        <f>'Converted Diagram'!$D$2241</f>
        <v>#VALUE!</v>
      </c>
      <c r="B1130" s="1" t="s">
        <v>32</v>
      </c>
      <c r="C1130" s="2">
        <v>0</v>
      </c>
      <c r="I1130" s="2" t="s">
        <v>217</v>
      </c>
      <c r="J1130" s="2">
        <f>'Converted Diagram'!$C$2241</f>
        <v>0</v>
      </c>
      <c r="L1130" s="2" t="s">
        <v>1338</v>
      </c>
      <c r="M1130" s="2">
        <v>0</v>
      </c>
      <c r="O1130" s="2" t="str">
        <f>'Converted Diagram'!$D$2240</f>
        <v>Number of Rooms and Restrooms</v>
      </c>
      <c r="P1130" s="2" t="b">
        <v>0</v>
      </c>
    </row>
    <row r="1131" spans="1:16" x14ac:dyDescent="0.3">
      <c r="A1131" s="2" t="e">
        <f>'Converted Diagram'!$J$2243</f>
        <v>#VALUE!</v>
      </c>
      <c r="B1131" s="1" t="s">
        <v>31</v>
      </c>
      <c r="C1131" s="2">
        <v>0</v>
      </c>
      <c r="I1131" s="2" t="s">
        <v>217</v>
      </c>
      <c r="J1131" s="2">
        <f>'Converted Diagram'!$I$2243</f>
        <v>0</v>
      </c>
      <c r="K1131" s="2" t="e">
        <f>'Converted Diagram'!$I$2242</f>
        <v>#VALUE!</v>
      </c>
      <c r="L1131" s="2" t="s">
        <v>1339</v>
      </c>
      <c r="M1131" s="2">
        <v>0</v>
      </c>
      <c r="O1131" s="2" t="str">
        <f>'Converted Diagram'!$J$2242</f>
        <v>Reduce Commute Time</v>
      </c>
      <c r="P1131" s="2" t="b">
        <v>0</v>
      </c>
    </row>
    <row r="1132" spans="1:16" x14ac:dyDescent="0.3">
      <c r="A1132" s="2" t="e">
        <f>'Converted Diagram'!$K$2245</f>
        <v>#VALUE!</v>
      </c>
      <c r="B1132" s="1" t="s">
        <v>219</v>
      </c>
      <c r="C1132" s="2">
        <v>0</v>
      </c>
      <c r="I1132" s="2" t="s">
        <v>217</v>
      </c>
      <c r="J1132" s="2">
        <f>'Converted Diagram'!$J$2245</f>
        <v>0</v>
      </c>
      <c r="K1132" s="2" t="e">
        <f>'Converted Diagram'!$J$2244</f>
        <v>#VALUE!</v>
      </c>
      <c r="L1132" s="2" t="s">
        <v>1340</v>
      </c>
      <c r="M1132" s="2">
        <v>0</v>
      </c>
      <c r="O1132" s="2" t="str">
        <f>'Converted Diagram'!$K$2244</f>
        <v>Reduce overall rent</v>
      </c>
      <c r="P1132" s="2" t="b">
        <v>0</v>
      </c>
    </row>
    <row r="1133" spans="1:16" x14ac:dyDescent="0.3">
      <c r="A1133" s="2" t="e">
        <f>'Converted Diagram'!$L$2247</f>
        <v>#VALUE!</v>
      </c>
      <c r="B1133" s="1" t="s">
        <v>219</v>
      </c>
      <c r="C1133" s="2">
        <v>0</v>
      </c>
      <c r="I1133" s="2" t="s">
        <v>217</v>
      </c>
      <c r="J1133" s="2">
        <f>'Converted Diagram'!$K$2247</f>
        <v>0</v>
      </c>
      <c r="K1133" s="2" t="e">
        <f>'Converted Diagram'!$K$2246</f>
        <v>#VALUE!</v>
      </c>
      <c r="L1133" s="2" t="s">
        <v>1341</v>
      </c>
      <c r="M1133" s="2">
        <v>0</v>
      </c>
      <c r="O1133" s="2" t="str">
        <f>'Converted Diagram'!$L$2246</f>
        <v>Increase Overall Convenience</v>
      </c>
      <c r="P1133" s="2" t="b">
        <v>0</v>
      </c>
    </row>
    <row r="1134" spans="1:16" x14ac:dyDescent="0.3">
      <c r="A1134" s="2" t="e">
        <f>'Converted Diagram'!$M$2249</f>
        <v>#VALUE!</v>
      </c>
      <c r="B1134" s="1" t="s">
        <v>219</v>
      </c>
      <c r="C1134" s="2">
        <v>0</v>
      </c>
      <c r="I1134" s="2" t="e">
        <v>#VALUE!</v>
      </c>
      <c r="J1134" s="2">
        <f>'Converted Diagram'!$L$2249</f>
        <v>0</v>
      </c>
      <c r="K1134" s="2" t="e">
        <f>'Converted Diagram'!$L$2248</f>
        <v>#VALUE!</v>
      </c>
      <c r="L1134" s="2" t="s">
        <v>1342</v>
      </c>
      <c r="M1134" s="2">
        <v>0</v>
      </c>
      <c r="P1134" s="2" t="b">
        <v>0</v>
      </c>
    </row>
    <row r="1135" spans="1:16" x14ac:dyDescent="0.3">
      <c r="A1135" s="2" t="e">
        <f>'Converted Diagram'!$I$2251</f>
        <v>#VALUE!</v>
      </c>
      <c r="B1135" s="1" t="s">
        <v>31</v>
      </c>
      <c r="C1135" s="2">
        <v>0</v>
      </c>
      <c r="I1135" s="2" t="s">
        <v>217</v>
      </c>
      <c r="J1135" s="2">
        <f>'Converted Diagram'!$H$2251</f>
        <v>0</v>
      </c>
      <c r="K1135" s="2" t="e">
        <f>'Converted Diagram'!$H$2250</f>
        <v>#VALUE!</v>
      </c>
      <c r="L1135" s="2" t="s">
        <v>1343</v>
      </c>
      <c r="M1135" s="2">
        <v>0</v>
      </c>
      <c r="O1135" s="2" t="str">
        <f>'Converted Diagram'!$I$2250</f>
        <v>Floor</v>
      </c>
      <c r="P1135" s="2" t="b">
        <v>0</v>
      </c>
    </row>
    <row r="1136" spans="1:16" x14ac:dyDescent="0.3">
      <c r="A1136" s="2" t="e">
        <f>'Converted Diagram'!$J$2253</f>
        <v>#VALUE!</v>
      </c>
      <c r="B1136" s="1" t="s">
        <v>32</v>
      </c>
      <c r="C1136" s="2">
        <v>0</v>
      </c>
      <c r="I1136" s="2" t="s">
        <v>217</v>
      </c>
      <c r="J1136" s="2">
        <f>'Converted Diagram'!$I$2253</f>
        <v>0</v>
      </c>
      <c r="K1136" s="2" t="e">
        <f>'Converted Diagram'!$I$2252</f>
        <v>#VALUE!</v>
      </c>
      <c r="L1136" s="2" t="s">
        <v>1344</v>
      </c>
      <c r="M1136" s="2">
        <v>0</v>
      </c>
      <c r="O1136" s="2" t="str">
        <f>'Converted Diagram'!$J$2252</f>
        <v>Reduce Commute Time</v>
      </c>
      <c r="P1136" s="2" t="b">
        <v>0</v>
      </c>
    </row>
    <row r="1137" spans="1:16" x14ac:dyDescent="0.3">
      <c r="A1137" s="2" t="e">
        <f>'Converted Diagram'!$K$2255</f>
        <v>#VALUE!</v>
      </c>
      <c r="B1137" s="1" t="s">
        <v>219</v>
      </c>
      <c r="C1137" s="2">
        <v>0</v>
      </c>
      <c r="I1137" s="2" t="s">
        <v>217</v>
      </c>
      <c r="J1137" s="2">
        <f>'Converted Diagram'!$J$2255</f>
        <v>0</v>
      </c>
      <c r="K1137" s="2" t="e">
        <f>'Converted Diagram'!$J$2254</f>
        <v>#VALUE!</v>
      </c>
      <c r="L1137" s="2" t="s">
        <v>1345</v>
      </c>
      <c r="M1137" s="2">
        <v>0</v>
      </c>
      <c r="O1137" s="2" t="str">
        <f>'Converted Diagram'!$K$2254</f>
        <v>Reduce overall rent</v>
      </c>
      <c r="P1137" s="2" t="b">
        <v>0</v>
      </c>
    </row>
    <row r="1138" spans="1:16" x14ac:dyDescent="0.3">
      <c r="A1138" s="2" t="e">
        <f>'Converted Diagram'!$L$2257</f>
        <v>#VALUE!</v>
      </c>
      <c r="B1138" s="1" t="s">
        <v>219</v>
      </c>
      <c r="C1138" s="2">
        <v>0</v>
      </c>
      <c r="I1138" s="2" t="s">
        <v>217</v>
      </c>
      <c r="J1138" s="2">
        <f>'Converted Diagram'!$K$2257</f>
        <v>0</v>
      </c>
      <c r="K1138" s="2" t="e">
        <f>'Converted Diagram'!$K$2256</f>
        <v>#VALUE!</v>
      </c>
      <c r="L1138" s="2" t="s">
        <v>1346</v>
      </c>
      <c r="M1138" s="2">
        <v>0</v>
      </c>
      <c r="O1138" s="2" t="str">
        <f>'Converted Diagram'!$L$2256</f>
        <v>Increase Overall Convenience</v>
      </c>
      <c r="P1138" s="2" t="b">
        <v>0</v>
      </c>
    </row>
    <row r="1139" spans="1:16" x14ac:dyDescent="0.3">
      <c r="A1139" s="2" t="e">
        <f>'Converted Diagram'!$M$2259</f>
        <v>#VALUE!</v>
      </c>
      <c r="B1139" s="1" t="s">
        <v>219</v>
      </c>
      <c r="C1139" s="2">
        <v>0</v>
      </c>
      <c r="I1139" s="2" t="e">
        <v>#VALUE!</v>
      </c>
      <c r="J1139" s="2">
        <f>'Converted Diagram'!$L$2259</f>
        <v>0</v>
      </c>
      <c r="K1139" s="2" t="e">
        <f>'Converted Diagram'!$L$2258</f>
        <v>#VALUE!</v>
      </c>
      <c r="L1139" s="2" t="s">
        <v>1347</v>
      </c>
      <c r="M1139" s="2">
        <v>0</v>
      </c>
      <c r="P1139" s="2" t="b">
        <v>0</v>
      </c>
    </row>
    <row r="1140" spans="1:16" x14ac:dyDescent="0.3">
      <c r="A1140" s="2" t="e">
        <f>'Converted Diagram'!$H$2261</f>
        <v>#VALUE!</v>
      </c>
      <c r="B1140" s="1" t="s">
        <v>31</v>
      </c>
      <c r="C1140" s="2">
        <v>0</v>
      </c>
      <c r="I1140" s="2" t="s">
        <v>217</v>
      </c>
      <c r="J1140" s="2">
        <f>'Converted Diagram'!$G$2261</f>
        <v>0</v>
      </c>
      <c r="K1140" s="2" t="e">
        <f>'Converted Diagram'!$G$2260</f>
        <v>#VALUE!</v>
      </c>
      <c r="L1140" s="2" t="s">
        <v>1348</v>
      </c>
      <c r="M1140" s="2">
        <v>0</v>
      </c>
      <c r="O1140" s="2" t="str">
        <f>'Converted Diagram'!$H$2260</f>
        <v>Wi-Fi &amp; Cable Ready</v>
      </c>
      <c r="P1140" s="2" t="b">
        <v>0</v>
      </c>
    </row>
    <row r="1141" spans="1:16" x14ac:dyDescent="0.3">
      <c r="A1141" s="2" t="e">
        <f>'Converted Diagram'!$J$2263</f>
        <v>#VALUE!</v>
      </c>
      <c r="B1141" s="1" t="s">
        <v>31</v>
      </c>
      <c r="C1141" s="2">
        <v>0</v>
      </c>
      <c r="I1141" s="2" t="s">
        <v>217</v>
      </c>
      <c r="J1141" s="2">
        <f>'Converted Diagram'!$I$2263</f>
        <v>0</v>
      </c>
      <c r="K1141" s="2" t="e">
        <f>'Converted Diagram'!$I$2262</f>
        <v>#VALUE!</v>
      </c>
      <c r="L1141" s="2" t="s">
        <v>1349</v>
      </c>
      <c r="M1141" s="2">
        <v>0</v>
      </c>
      <c r="O1141" s="2" t="str">
        <f>'Converted Diagram'!$J$2262</f>
        <v>Reduce Commute Time</v>
      </c>
      <c r="P1141" s="2" t="b">
        <v>0</v>
      </c>
    </row>
    <row r="1142" spans="1:16" x14ac:dyDescent="0.3">
      <c r="A1142" s="2" t="e">
        <f>'Converted Diagram'!$K$2265</f>
        <v>#VALUE!</v>
      </c>
      <c r="B1142" s="1" t="s">
        <v>219</v>
      </c>
      <c r="C1142" s="2">
        <v>0</v>
      </c>
      <c r="I1142" s="2" t="s">
        <v>217</v>
      </c>
      <c r="J1142" s="2">
        <f>'Converted Diagram'!$J$2265</f>
        <v>0</v>
      </c>
      <c r="K1142" s="2" t="e">
        <f>'Converted Diagram'!$J$2264</f>
        <v>#VALUE!</v>
      </c>
      <c r="L1142" s="2" t="s">
        <v>1350</v>
      </c>
      <c r="M1142" s="2">
        <v>0</v>
      </c>
      <c r="O1142" s="2" t="str">
        <f>'Converted Diagram'!$K$2264</f>
        <v>Reduce overall rent</v>
      </c>
      <c r="P1142" s="2" t="b">
        <v>0</v>
      </c>
    </row>
    <row r="1143" spans="1:16" x14ac:dyDescent="0.3">
      <c r="A1143" s="2" t="e">
        <f>'Converted Diagram'!$L$2267</f>
        <v>#VALUE!</v>
      </c>
      <c r="B1143" s="1" t="s">
        <v>219</v>
      </c>
      <c r="C1143" s="2">
        <v>0</v>
      </c>
      <c r="I1143" s="2" t="s">
        <v>217</v>
      </c>
      <c r="J1143" s="2">
        <f>'Converted Diagram'!$K$2267</f>
        <v>0</v>
      </c>
      <c r="K1143" s="2" t="e">
        <f>'Converted Diagram'!$K$2266</f>
        <v>#VALUE!</v>
      </c>
      <c r="L1143" s="2" t="s">
        <v>1351</v>
      </c>
      <c r="M1143" s="2">
        <v>0</v>
      </c>
      <c r="O1143" s="2" t="str">
        <f>'Converted Diagram'!$L$2266</f>
        <v>Increase Overall Convenience</v>
      </c>
      <c r="P1143" s="2" t="b">
        <v>0</v>
      </c>
    </row>
    <row r="1144" spans="1:16" x14ac:dyDescent="0.3">
      <c r="A1144" s="2" t="e">
        <f>'Converted Diagram'!$M$2269</f>
        <v>#VALUE!</v>
      </c>
      <c r="B1144" s="1" t="s">
        <v>219</v>
      </c>
      <c r="C1144" s="2">
        <v>0</v>
      </c>
      <c r="I1144" s="2" t="e">
        <v>#VALUE!</v>
      </c>
      <c r="J1144" s="2">
        <f>'Converted Diagram'!$L$2269</f>
        <v>0</v>
      </c>
      <c r="K1144" s="2" t="e">
        <f>'Converted Diagram'!$L$2268</f>
        <v>#VALUE!</v>
      </c>
      <c r="L1144" s="2" t="s">
        <v>1352</v>
      </c>
      <c r="M1144" s="2">
        <v>0</v>
      </c>
      <c r="P1144" s="2" t="b">
        <v>0</v>
      </c>
    </row>
    <row r="1145" spans="1:16" x14ac:dyDescent="0.3">
      <c r="A1145" s="2" t="e">
        <f>'Converted Diagram'!$I$2271</f>
        <v>#VALUE!</v>
      </c>
      <c r="B1145" s="1" t="s">
        <v>32</v>
      </c>
      <c r="C1145" s="2">
        <v>0</v>
      </c>
      <c r="I1145" s="2" t="s">
        <v>217</v>
      </c>
      <c r="J1145" s="2">
        <f>'Converted Diagram'!$H$2271</f>
        <v>0</v>
      </c>
      <c r="K1145" s="2" t="e">
        <f>'Converted Diagram'!$H$2270</f>
        <v>#VALUE!</v>
      </c>
      <c r="L1145" s="2" t="s">
        <v>1353</v>
      </c>
      <c r="M1145" s="2">
        <v>0</v>
      </c>
      <c r="O1145" s="2" t="str">
        <f>'Converted Diagram'!$I$2270</f>
        <v>Floor</v>
      </c>
      <c r="P1145" s="2" t="b">
        <v>0</v>
      </c>
    </row>
    <row r="1146" spans="1:16" x14ac:dyDescent="0.3">
      <c r="A1146" s="2" t="e">
        <f>'Converted Diagram'!$J$2273</f>
        <v>#VALUE!</v>
      </c>
      <c r="B1146" s="1" t="s">
        <v>32</v>
      </c>
      <c r="C1146" s="2">
        <v>0</v>
      </c>
      <c r="I1146" s="2" t="s">
        <v>217</v>
      </c>
      <c r="J1146" s="2">
        <f>'Converted Diagram'!$I$2273</f>
        <v>0</v>
      </c>
      <c r="K1146" s="2" t="e">
        <f>'Converted Diagram'!$I$2272</f>
        <v>#VALUE!</v>
      </c>
      <c r="L1146" s="2" t="s">
        <v>1354</v>
      </c>
      <c r="M1146" s="2">
        <v>0</v>
      </c>
      <c r="O1146" s="2" t="str">
        <f>'Converted Diagram'!$J$2272</f>
        <v>Reduce Commute Time</v>
      </c>
      <c r="P1146" s="2" t="b">
        <v>0</v>
      </c>
    </row>
    <row r="1147" spans="1:16" x14ac:dyDescent="0.3">
      <c r="A1147" s="2" t="e">
        <f>'Converted Diagram'!$K$2275</f>
        <v>#VALUE!</v>
      </c>
      <c r="B1147" s="1" t="s">
        <v>219</v>
      </c>
      <c r="C1147" s="2">
        <v>0</v>
      </c>
      <c r="I1147" s="2" t="s">
        <v>217</v>
      </c>
      <c r="J1147" s="2">
        <f>'Converted Diagram'!$J$2275</f>
        <v>0</v>
      </c>
      <c r="K1147" s="2" t="e">
        <f>'Converted Diagram'!$J$2274</f>
        <v>#VALUE!</v>
      </c>
      <c r="L1147" s="2" t="s">
        <v>1355</v>
      </c>
      <c r="M1147" s="2">
        <v>0</v>
      </c>
      <c r="O1147" s="2" t="str">
        <f>'Converted Diagram'!$K$2274</f>
        <v>Reduce overall rent</v>
      </c>
      <c r="P1147" s="2" t="b">
        <v>0</v>
      </c>
    </row>
    <row r="1148" spans="1:16" x14ac:dyDescent="0.3">
      <c r="A1148" s="2" t="e">
        <f>'Converted Diagram'!$L$2277</f>
        <v>#VALUE!</v>
      </c>
      <c r="B1148" s="1" t="s">
        <v>219</v>
      </c>
      <c r="C1148" s="2">
        <v>0</v>
      </c>
      <c r="I1148" s="2" t="s">
        <v>217</v>
      </c>
      <c r="J1148" s="2">
        <f>'Converted Diagram'!$K$2277</f>
        <v>0</v>
      </c>
      <c r="K1148" s="2" t="e">
        <f>'Converted Diagram'!$K$2276</f>
        <v>#VALUE!</v>
      </c>
      <c r="L1148" s="2" t="s">
        <v>1356</v>
      </c>
      <c r="M1148" s="2">
        <v>0</v>
      </c>
      <c r="O1148" s="2" t="str">
        <f>'Converted Diagram'!$L$2276</f>
        <v>Increase Overall Convenience</v>
      </c>
      <c r="P1148" s="2" t="b">
        <v>0</v>
      </c>
    </row>
    <row r="1149" spans="1:16" x14ac:dyDescent="0.3">
      <c r="A1149" s="2" t="e">
        <f>'Converted Diagram'!$M$2279</f>
        <v>#VALUE!</v>
      </c>
      <c r="B1149" s="1" t="s">
        <v>219</v>
      </c>
      <c r="C1149" s="2">
        <v>0</v>
      </c>
      <c r="I1149" s="2" t="e">
        <v>#VALUE!</v>
      </c>
      <c r="J1149" s="2">
        <f>'Converted Diagram'!$L$2279</f>
        <v>0</v>
      </c>
      <c r="K1149" s="2" t="e">
        <f>'Converted Diagram'!$L$2278</f>
        <v>#VALUE!</v>
      </c>
      <c r="L1149" s="2" t="s">
        <v>1357</v>
      </c>
      <c r="M1149" s="2">
        <v>0</v>
      </c>
      <c r="P1149" s="2" t="b">
        <v>0</v>
      </c>
    </row>
    <row r="1150" spans="1:16" x14ac:dyDescent="0.3">
      <c r="A1150" s="2" t="e">
        <f>'Converted Diagram'!$G$2281</f>
        <v>#VALUE!</v>
      </c>
      <c r="B1150" s="1" t="s">
        <v>31</v>
      </c>
      <c r="C1150" s="2">
        <v>0</v>
      </c>
      <c r="I1150" s="2" t="s">
        <v>217</v>
      </c>
      <c r="J1150" s="2">
        <f>'Converted Diagram'!$F$2281</f>
        <v>0</v>
      </c>
      <c r="K1150" s="2" t="e">
        <f>'Converted Diagram'!$F$2280</f>
        <v>#VALUE!</v>
      </c>
      <c r="L1150" s="2" t="s">
        <v>1358</v>
      </c>
      <c r="M1150" s="2">
        <v>0</v>
      </c>
      <c r="O1150" s="2" t="str">
        <f>'Converted Diagram'!$G$2280</f>
        <v>Grocery Store</v>
      </c>
      <c r="P1150" s="2" t="b">
        <v>0</v>
      </c>
    </row>
    <row r="1151" spans="1:16" x14ac:dyDescent="0.3">
      <c r="A1151" s="2" t="e">
        <f>'Converted Diagram'!$J$2283</f>
        <v>#VALUE!</v>
      </c>
      <c r="B1151" s="1" t="s">
        <v>31</v>
      </c>
      <c r="C1151" s="2">
        <v>0</v>
      </c>
      <c r="I1151" s="2" t="s">
        <v>217</v>
      </c>
      <c r="J1151" s="2">
        <f>'Converted Diagram'!$I$2283</f>
        <v>0</v>
      </c>
      <c r="K1151" s="2" t="e">
        <f>'Converted Diagram'!$I$2282</f>
        <v>#VALUE!</v>
      </c>
      <c r="L1151" s="2" t="s">
        <v>1359</v>
      </c>
      <c r="M1151" s="2">
        <v>0</v>
      </c>
      <c r="O1151" s="2" t="str">
        <f>'Converted Diagram'!$J$2282</f>
        <v>Reduce Commute Time</v>
      </c>
      <c r="P1151" s="2" t="b">
        <v>0</v>
      </c>
    </row>
    <row r="1152" spans="1:16" x14ac:dyDescent="0.3">
      <c r="A1152" s="2" t="e">
        <f>'Converted Diagram'!$K$2285</f>
        <v>#VALUE!</v>
      </c>
      <c r="B1152" s="1" t="s">
        <v>219</v>
      </c>
      <c r="C1152" s="2">
        <v>0</v>
      </c>
      <c r="I1152" s="2" t="s">
        <v>217</v>
      </c>
      <c r="J1152" s="2">
        <f>'Converted Diagram'!$J$2285</f>
        <v>0</v>
      </c>
      <c r="K1152" s="2" t="e">
        <f>'Converted Diagram'!$J$2284</f>
        <v>#VALUE!</v>
      </c>
      <c r="L1152" s="2" t="s">
        <v>1360</v>
      </c>
      <c r="M1152" s="2">
        <v>0</v>
      </c>
      <c r="O1152" s="2" t="str">
        <f>'Converted Diagram'!$K$2284</f>
        <v>Reduce overall rent</v>
      </c>
      <c r="P1152" s="2" t="b">
        <v>0</v>
      </c>
    </row>
    <row r="1153" spans="1:16" x14ac:dyDescent="0.3">
      <c r="A1153" s="2" t="e">
        <f>'Converted Diagram'!$L$2287</f>
        <v>#VALUE!</v>
      </c>
      <c r="B1153" s="1" t="s">
        <v>219</v>
      </c>
      <c r="C1153" s="2">
        <v>0</v>
      </c>
      <c r="I1153" s="2" t="s">
        <v>217</v>
      </c>
      <c r="J1153" s="2">
        <f>'Converted Diagram'!$K$2287</f>
        <v>0</v>
      </c>
      <c r="K1153" s="2" t="e">
        <f>'Converted Diagram'!$K$2286</f>
        <v>#VALUE!</v>
      </c>
      <c r="L1153" s="2" t="s">
        <v>1361</v>
      </c>
      <c r="M1153" s="2">
        <v>0</v>
      </c>
      <c r="O1153" s="2" t="str">
        <f>'Converted Diagram'!$L$2286</f>
        <v>Increase Overall Convenience</v>
      </c>
      <c r="P1153" s="2" t="b">
        <v>0</v>
      </c>
    </row>
    <row r="1154" spans="1:16" x14ac:dyDescent="0.3">
      <c r="A1154" s="2" t="e">
        <f>'Converted Diagram'!$M$2289</f>
        <v>#VALUE!</v>
      </c>
      <c r="B1154" s="1" t="s">
        <v>219</v>
      </c>
      <c r="C1154" s="2">
        <v>0</v>
      </c>
      <c r="I1154" s="2" t="e">
        <v>#VALUE!</v>
      </c>
      <c r="J1154" s="2">
        <f>'Converted Diagram'!$L$2289</f>
        <v>0</v>
      </c>
      <c r="K1154" s="2" t="e">
        <f>'Converted Diagram'!$L$2288</f>
        <v>#VALUE!</v>
      </c>
      <c r="L1154" s="2" t="s">
        <v>1362</v>
      </c>
      <c r="M1154" s="2">
        <v>0</v>
      </c>
      <c r="P1154" s="2" t="b">
        <v>0</v>
      </c>
    </row>
    <row r="1155" spans="1:16" x14ac:dyDescent="0.3">
      <c r="A1155" s="2" t="e">
        <f>'Converted Diagram'!$I$2291</f>
        <v>#VALUE!</v>
      </c>
      <c r="B1155" s="1" t="s">
        <v>31</v>
      </c>
      <c r="C1155" s="2">
        <v>0</v>
      </c>
      <c r="I1155" s="2" t="s">
        <v>217</v>
      </c>
      <c r="J1155" s="2">
        <f>'Converted Diagram'!$H$2291</f>
        <v>0</v>
      </c>
      <c r="K1155" s="2" t="e">
        <f>'Converted Diagram'!$H$2290</f>
        <v>#VALUE!</v>
      </c>
      <c r="L1155" s="2" t="s">
        <v>1363</v>
      </c>
      <c r="M1155" s="2">
        <v>0</v>
      </c>
      <c r="O1155" s="2" t="str">
        <f>'Converted Diagram'!$I$2290</f>
        <v>Floor</v>
      </c>
      <c r="P1155" s="2" t="b">
        <v>0</v>
      </c>
    </row>
    <row r="1156" spans="1:16" x14ac:dyDescent="0.3">
      <c r="A1156" s="2" t="e">
        <f>'Converted Diagram'!$J$2293</f>
        <v>#VALUE!</v>
      </c>
      <c r="B1156" s="1" t="s">
        <v>32</v>
      </c>
      <c r="C1156" s="2">
        <v>0</v>
      </c>
      <c r="I1156" s="2" t="s">
        <v>217</v>
      </c>
      <c r="J1156" s="2">
        <f>'Converted Diagram'!$I$2293</f>
        <v>0</v>
      </c>
      <c r="K1156" s="2" t="e">
        <f>'Converted Diagram'!$I$2292</f>
        <v>#VALUE!</v>
      </c>
      <c r="L1156" s="2" t="s">
        <v>1364</v>
      </c>
      <c r="M1156" s="2">
        <v>0</v>
      </c>
      <c r="O1156" s="2" t="str">
        <f>'Converted Diagram'!$J$2292</f>
        <v>Reduce Commute Time</v>
      </c>
      <c r="P1156" s="2" t="b">
        <v>0</v>
      </c>
    </row>
    <row r="1157" spans="1:16" x14ac:dyDescent="0.3">
      <c r="A1157" s="2" t="e">
        <f>'Converted Diagram'!$K$2295</f>
        <v>#VALUE!</v>
      </c>
      <c r="B1157" s="1" t="s">
        <v>219</v>
      </c>
      <c r="C1157" s="2">
        <v>0</v>
      </c>
      <c r="I1157" s="2" t="s">
        <v>217</v>
      </c>
      <c r="J1157" s="2">
        <f>'Converted Diagram'!$J$2295</f>
        <v>0</v>
      </c>
      <c r="K1157" s="2" t="e">
        <f>'Converted Diagram'!$J$2294</f>
        <v>#VALUE!</v>
      </c>
      <c r="L1157" s="2" t="s">
        <v>1365</v>
      </c>
      <c r="M1157" s="2">
        <v>0</v>
      </c>
      <c r="O1157" s="2" t="str">
        <f>'Converted Diagram'!$K$2294</f>
        <v>Reduce overall rent</v>
      </c>
      <c r="P1157" s="2" t="b">
        <v>0</v>
      </c>
    </row>
    <row r="1158" spans="1:16" x14ac:dyDescent="0.3">
      <c r="A1158" s="2" t="e">
        <f>'Converted Diagram'!$L$2297</f>
        <v>#VALUE!</v>
      </c>
      <c r="B1158" s="1" t="s">
        <v>219</v>
      </c>
      <c r="C1158" s="2">
        <v>0</v>
      </c>
      <c r="I1158" s="2" t="s">
        <v>217</v>
      </c>
      <c r="J1158" s="2">
        <f>'Converted Diagram'!$K$2297</f>
        <v>0</v>
      </c>
      <c r="K1158" s="2" t="e">
        <f>'Converted Diagram'!$K$2296</f>
        <v>#VALUE!</v>
      </c>
      <c r="L1158" s="2" t="s">
        <v>1366</v>
      </c>
      <c r="M1158" s="2">
        <v>0</v>
      </c>
      <c r="O1158" s="2" t="str">
        <f>'Converted Diagram'!$L$2296</f>
        <v>Increase Overall Convenience</v>
      </c>
      <c r="P1158" s="2" t="b">
        <v>0</v>
      </c>
    </row>
    <row r="1159" spans="1:16" x14ac:dyDescent="0.3">
      <c r="A1159" s="2" t="e">
        <f>'Converted Diagram'!$M$2299</f>
        <v>#VALUE!</v>
      </c>
      <c r="B1159" s="1" t="s">
        <v>219</v>
      </c>
      <c r="C1159" s="2">
        <v>0</v>
      </c>
      <c r="I1159" s="2" t="e">
        <v>#VALUE!</v>
      </c>
      <c r="J1159" s="2">
        <f>'Converted Diagram'!$L$2299</f>
        <v>0</v>
      </c>
      <c r="K1159" s="2" t="e">
        <f>'Converted Diagram'!$L$2298</f>
        <v>#VALUE!</v>
      </c>
      <c r="L1159" s="2" t="s">
        <v>1367</v>
      </c>
      <c r="M1159" s="2">
        <v>0</v>
      </c>
      <c r="P1159" s="2" t="b">
        <v>0</v>
      </c>
    </row>
    <row r="1160" spans="1:16" x14ac:dyDescent="0.3">
      <c r="A1160" s="2" t="e">
        <f>'Converted Diagram'!$H$2301</f>
        <v>#VALUE!</v>
      </c>
      <c r="B1160" s="1" t="s">
        <v>32</v>
      </c>
      <c r="C1160" s="2">
        <v>0</v>
      </c>
      <c r="I1160" s="2" t="s">
        <v>217</v>
      </c>
      <c r="J1160" s="2">
        <f>'Converted Diagram'!$G$2301</f>
        <v>0</v>
      </c>
      <c r="K1160" s="2" t="e">
        <f>'Converted Diagram'!$G$2300</f>
        <v>#VALUE!</v>
      </c>
      <c r="L1160" s="2" t="s">
        <v>1368</v>
      </c>
      <c r="M1160" s="2">
        <v>0</v>
      </c>
      <c r="O1160" s="2" t="str">
        <f>'Converted Diagram'!$H$2300</f>
        <v>Wi-Fi &amp; Cable Ready</v>
      </c>
      <c r="P1160" s="2" t="b">
        <v>0</v>
      </c>
    </row>
    <row r="1161" spans="1:16" x14ac:dyDescent="0.3">
      <c r="A1161" s="2" t="e">
        <f>'Converted Diagram'!$J$2303</f>
        <v>#VALUE!</v>
      </c>
      <c r="B1161" s="1" t="s">
        <v>31</v>
      </c>
      <c r="C1161" s="2">
        <v>0</v>
      </c>
      <c r="I1161" s="2" t="s">
        <v>217</v>
      </c>
      <c r="J1161" s="2">
        <f>'Converted Diagram'!$I$2303</f>
        <v>0</v>
      </c>
      <c r="K1161" s="2" t="e">
        <f>'Converted Diagram'!$I$2302</f>
        <v>#VALUE!</v>
      </c>
      <c r="L1161" s="2" t="s">
        <v>1369</v>
      </c>
      <c r="M1161" s="2">
        <v>0</v>
      </c>
      <c r="O1161" s="2" t="str">
        <f>'Converted Diagram'!$J$2302</f>
        <v>Reduce Commute Time</v>
      </c>
      <c r="P1161" s="2" t="b">
        <v>0</v>
      </c>
    </row>
    <row r="1162" spans="1:16" x14ac:dyDescent="0.3">
      <c r="A1162" s="2" t="e">
        <f>'Converted Diagram'!$K$2305</f>
        <v>#VALUE!</v>
      </c>
      <c r="B1162" s="1" t="s">
        <v>219</v>
      </c>
      <c r="C1162" s="2">
        <v>0</v>
      </c>
      <c r="I1162" s="2" t="s">
        <v>217</v>
      </c>
      <c r="J1162" s="2">
        <f>'Converted Diagram'!$J$2305</f>
        <v>0</v>
      </c>
      <c r="K1162" s="2" t="e">
        <f>'Converted Diagram'!$J$2304</f>
        <v>#VALUE!</v>
      </c>
      <c r="L1162" s="2" t="s">
        <v>1370</v>
      </c>
      <c r="M1162" s="2">
        <v>0</v>
      </c>
      <c r="O1162" s="2" t="str">
        <f>'Converted Diagram'!$K$2304</f>
        <v>Reduce overall rent</v>
      </c>
      <c r="P1162" s="2" t="b">
        <v>0</v>
      </c>
    </row>
    <row r="1163" spans="1:16" x14ac:dyDescent="0.3">
      <c r="A1163" s="2" t="e">
        <f>'Converted Diagram'!$L$2307</f>
        <v>#VALUE!</v>
      </c>
      <c r="B1163" s="1" t="s">
        <v>219</v>
      </c>
      <c r="C1163" s="2">
        <v>0</v>
      </c>
      <c r="I1163" s="2" t="s">
        <v>217</v>
      </c>
      <c r="J1163" s="2">
        <f>'Converted Diagram'!$K$2307</f>
        <v>0</v>
      </c>
      <c r="K1163" s="2" t="e">
        <f>'Converted Diagram'!$K$2306</f>
        <v>#VALUE!</v>
      </c>
      <c r="L1163" s="2" t="s">
        <v>1371</v>
      </c>
      <c r="M1163" s="2">
        <v>0</v>
      </c>
      <c r="O1163" s="2" t="str">
        <f>'Converted Diagram'!$L$2306</f>
        <v>Increase Overall Convenience</v>
      </c>
      <c r="P1163" s="2" t="b">
        <v>0</v>
      </c>
    </row>
    <row r="1164" spans="1:16" x14ac:dyDescent="0.3">
      <c r="A1164" s="2" t="e">
        <f>'Converted Diagram'!$M$2309</f>
        <v>#VALUE!</v>
      </c>
      <c r="B1164" s="1" t="s">
        <v>219</v>
      </c>
      <c r="C1164" s="2">
        <v>0</v>
      </c>
      <c r="I1164" s="2" t="e">
        <v>#VALUE!</v>
      </c>
      <c r="J1164" s="2">
        <f>'Converted Diagram'!$L$2309</f>
        <v>0</v>
      </c>
      <c r="K1164" s="2" t="e">
        <f>'Converted Diagram'!$L$2308</f>
        <v>#VALUE!</v>
      </c>
      <c r="L1164" s="2" t="s">
        <v>1372</v>
      </c>
      <c r="M1164" s="2">
        <v>0</v>
      </c>
      <c r="P1164" s="2" t="b">
        <v>0</v>
      </c>
    </row>
    <row r="1165" spans="1:16" x14ac:dyDescent="0.3">
      <c r="A1165" s="2" t="e">
        <f>'Converted Diagram'!$I$2311</f>
        <v>#VALUE!</v>
      </c>
      <c r="B1165" s="1" t="s">
        <v>32</v>
      </c>
      <c r="C1165" s="2">
        <v>0</v>
      </c>
      <c r="I1165" s="2" t="s">
        <v>217</v>
      </c>
      <c r="J1165" s="2">
        <f>'Converted Diagram'!$H$2311</f>
        <v>0</v>
      </c>
      <c r="K1165" s="2" t="e">
        <f>'Converted Diagram'!$H$2310</f>
        <v>#VALUE!</v>
      </c>
      <c r="L1165" s="2" t="s">
        <v>1373</v>
      </c>
      <c r="M1165" s="2">
        <v>0</v>
      </c>
      <c r="O1165" s="2" t="str">
        <f>'Converted Diagram'!$I$2310</f>
        <v>Floor</v>
      </c>
      <c r="P1165" s="2" t="b">
        <v>0</v>
      </c>
    </row>
    <row r="1166" spans="1:16" x14ac:dyDescent="0.3">
      <c r="A1166" s="2" t="e">
        <f>'Converted Diagram'!$J$2313</f>
        <v>#VALUE!</v>
      </c>
      <c r="B1166" s="1" t="s">
        <v>32</v>
      </c>
      <c r="C1166" s="2">
        <v>0</v>
      </c>
      <c r="I1166" s="2" t="s">
        <v>217</v>
      </c>
      <c r="J1166" s="2">
        <f>'Converted Diagram'!$I$2313</f>
        <v>0</v>
      </c>
      <c r="K1166" s="2" t="e">
        <f>'Converted Diagram'!$I$2312</f>
        <v>#VALUE!</v>
      </c>
      <c r="L1166" s="2" t="s">
        <v>1374</v>
      </c>
      <c r="M1166" s="2">
        <v>0</v>
      </c>
      <c r="O1166" s="2" t="str">
        <f>'Converted Diagram'!$J$2312</f>
        <v>Reduce Commute Time</v>
      </c>
      <c r="P1166" s="2" t="b">
        <v>0</v>
      </c>
    </row>
    <row r="1167" spans="1:16" x14ac:dyDescent="0.3">
      <c r="A1167" s="2" t="e">
        <f>'Converted Diagram'!$K$2315</f>
        <v>#VALUE!</v>
      </c>
      <c r="B1167" s="1" t="s">
        <v>219</v>
      </c>
      <c r="C1167" s="2">
        <v>0</v>
      </c>
      <c r="I1167" s="2" t="s">
        <v>217</v>
      </c>
      <c r="J1167" s="2">
        <f>'Converted Diagram'!$J$2315</f>
        <v>0</v>
      </c>
      <c r="K1167" s="2" t="e">
        <f>'Converted Diagram'!$J$2314</f>
        <v>#VALUE!</v>
      </c>
      <c r="L1167" s="2" t="s">
        <v>1375</v>
      </c>
      <c r="M1167" s="2">
        <v>0</v>
      </c>
      <c r="O1167" s="2" t="str">
        <f>'Converted Diagram'!$K$2314</f>
        <v>Reduce overall rent</v>
      </c>
      <c r="P1167" s="2" t="b">
        <v>0</v>
      </c>
    </row>
    <row r="1168" spans="1:16" x14ac:dyDescent="0.3">
      <c r="A1168" s="2" t="e">
        <f>'Converted Diagram'!$L$2317</f>
        <v>#VALUE!</v>
      </c>
      <c r="B1168" s="1" t="s">
        <v>219</v>
      </c>
      <c r="C1168" s="2">
        <v>0</v>
      </c>
      <c r="I1168" s="2" t="s">
        <v>217</v>
      </c>
      <c r="J1168" s="2">
        <f>'Converted Diagram'!$K$2317</f>
        <v>0</v>
      </c>
      <c r="K1168" s="2" t="e">
        <f>'Converted Diagram'!$K$2316</f>
        <v>#VALUE!</v>
      </c>
      <c r="L1168" s="2" t="s">
        <v>1376</v>
      </c>
      <c r="M1168" s="2">
        <v>0</v>
      </c>
      <c r="O1168" s="2" t="str">
        <f>'Converted Diagram'!$L$2316</f>
        <v>Increase Overall Convenience</v>
      </c>
      <c r="P1168" s="2" t="b">
        <v>0</v>
      </c>
    </row>
    <row r="1169" spans="1:16" x14ac:dyDescent="0.3">
      <c r="A1169" s="2" t="e">
        <f>'Converted Diagram'!$M$2319</f>
        <v>#VALUE!</v>
      </c>
      <c r="B1169" s="1" t="s">
        <v>219</v>
      </c>
      <c r="C1169" s="2">
        <v>0</v>
      </c>
      <c r="I1169" s="2" t="e">
        <v>#VALUE!</v>
      </c>
      <c r="J1169" s="2">
        <f>'Converted Diagram'!$L$2319</f>
        <v>0</v>
      </c>
      <c r="K1169" s="2" t="e">
        <f>'Converted Diagram'!$L$2318</f>
        <v>#VALUE!</v>
      </c>
      <c r="L1169" s="2" t="s">
        <v>1377</v>
      </c>
      <c r="M1169" s="2">
        <v>0</v>
      </c>
      <c r="P1169" s="2" t="b">
        <v>0</v>
      </c>
    </row>
    <row r="1170" spans="1:16" x14ac:dyDescent="0.3">
      <c r="A1170" s="2" t="e">
        <f>'Converted Diagram'!$F$2321</f>
        <v>#VALUE!</v>
      </c>
      <c r="B1170" s="1" t="s">
        <v>31</v>
      </c>
      <c r="C1170" s="2">
        <v>0</v>
      </c>
      <c r="I1170" s="2" t="s">
        <v>217</v>
      </c>
      <c r="J1170" s="2">
        <f>'Converted Diagram'!$E$2321</f>
        <v>0</v>
      </c>
      <c r="K1170" s="2" t="e">
        <f>'Converted Diagram'!$E$2320</f>
        <v>#VALUE!</v>
      </c>
      <c r="L1170" s="2" t="s">
        <v>1378</v>
      </c>
      <c r="M1170" s="2">
        <v>0</v>
      </c>
      <c r="O1170" s="2" t="str">
        <f>'Converted Diagram'!$F$2320</f>
        <v>Utilities</v>
      </c>
      <c r="P1170" s="2" t="b">
        <v>0</v>
      </c>
    </row>
    <row r="1171" spans="1:16" x14ac:dyDescent="0.3">
      <c r="A1171" s="2" t="e">
        <f>'Converted Diagram'!$J$2323</f>
        <v>#VALUE!</v>
      </c>
      <c r="B1171" s="1" t="s">
        <v>31</v>
      </c>
      <c r="C1171" s="2">
        <v>0</v>
      </c>
      <c r="I1171" s="2" t="s">
        <v>217</v>
      </c>
      <c r="J1171" s="2">
        <f>'Converted Diagram'!$I$2323</f>
        <v>0</v>
      </c>
      <c r="K1171" s="2" t="e">
        <f>'Converted Diagram'!$I$2322</f>
        <v>#VALUE!</v>
      </c>
      <c r="L1171" s="2" t="s">
        <v>1379</v>
      </c>
      <c r="M1171" s="2">
        <v>0</v>
      </c>
      <c r="O1171" s="2" t="str">
        <f>'Converted Diagram'!$J$2322</f>
        <v>Reduce Commute Time</v>
      </c>
      <c r="P1171" s="2" t="b">
        <v>0</v>
      </c>
    </row>
    <row r="1172" spans="1:16" x14ac:dyDescent="0.3">
      <c r="A1172" s="2" t="e">
        <f>'Converted Diagram'!$K$2325</f>
        <v>#VALUE!</v>
      </c>
      <c r="B1172" s="1" t="s">
        <v>219</v>
      </c>
      <c r="C1172" s="2">
        <v>0</v>
      </c>
      <c r="I1172" s="2" t="s">
        <v>217</v>
      </c>
      <c r="J1172" s="2">
        <f>'Converted Diagram'!$J$2325</f>
        <v>0</v>
      </c>
      <c r="K1172" s="2" t="e">
        <f>'Converted Diagram'!$J$2324</f>
        <v>#VALUE!</v>
      </c>
      <c r="L1172" s="2" t="s">
        <v>1380</v>
      </c>
      <c r="M1172" s="2">
        <v>0</v>
      </c>
      <c r="O1172" s="2" t="str">
        <f>'Converted Diagram'!$K$2324</f>
        <v>Reduce overall rent</v>
      </c>
      <c r="P1172" s="2" t="b">
        <v>0</v>
      </c>
    </row>
    <row r="1173" spans="1:16" x14ac:dyDescent="0.3">
      <c r="A1173" s="2" t="e">
        <f>'Converted Diagram'!$L$2327</f>
        <v>#VALUE!</v>
      </c>
      <c r="B1173" s="1" t="s">
        <v>219</v>
      </c>
      <c r="C1173" s="2">
        <v>0</v>
      </c>
      <c r="I1173" s="2" t="s">
        <v>217</v>
      </c>
      <c r="J1173" s="2">
        <f>'Converted Diagram'!$K$2327</f>
        <v>0</v>
      </c>
      <c r="K1173" s="2" t="e">
        <f>'Converted Diagram'!$K$2326</f>
        <v>#VALUE!</v>
      </c>
      <c r="L1173" s="2" t="s">
        <v>1381</v>
      </c>
      <c r="M1173" s="2">
        <v>0</v>
      </c>
      <c r="O1173" s="2" t="str">
        <f>'Converted Diagram'!$L$2326</f>
        <v>Increase Overall Convenience</v>
      </c>
      <c r="P1173" s="2" t="b">
        <v>0</v>
      </c>
    </row>
    <row r="1174" spans="1:16" x14ac:dyDescent="0.3">
      <c r="A1174" s="2" t="e">
        <f>'Converted Diagram'!$M$2329</f>
        <v>#VALUE!</v>
      </c>
      <c r="B1174" s="1" t="s">
        <v>219</v>
      </c>
      <c r="C1174" s="2">
        <v>0</v>
      </c>
      <c r="I1174" s="2" t="e">
        <v>#VALUE!</v>
      </c>
      <c r="J1174" s="2">
        <f>'Converted Diagram'!$L$2329</f>
        <v>0</v>
      </c>
      <c r="K1174" s="2" t="e">
        <f>'Converted Diagram'!$L$2328</f>
        <v>#VALUE!</v>
      </c>
      <c r="L1174" s="2" t="s">
        <v>1382</v>
      </c>
      <c r="M1174" s="2">
        <v>0</v>
      </c>
      <c r="P1174" s="2" t="b">
        <v>0</v>
      </c>
    </row>
    <row r="1175" spans="1:16" x14ac:dyDescent="0.3">
      <c r="A1175" s="2" t="e">
        <f>'Converted Diagram'!$I$2331</f>
        <v>#VALUE!</v>
      </c>
      <c r="B1175" s="1" t="s">
        <v>31</v>
      </c>
      <c r="C1175" s="2">
        <v>0</v>
      </c>
      <c r="I1175" s="2" t="s">
        <v>217</v>
      </c>
      <c r="J1175" s="2">
        <f>'Converted Diagram'!$H$2331</f>
        <v>0</v>
      </c>
      <c r="K1175" s="2" t="e">
        <f>'Converted Diagram'!$H$2330</f>
        <v>#VALUE!</v>
      </c>
      <c r="L1175" s="2" t="s">
        <v>1383</v>
      </c>
      <c r="M1175" s="2">
        <v>0</v>
      </c>
      <c r="O1175" s="2" t="str">
        <f>'Converted Diagram'!$I$2330</f>
        <v>Floor</v>
      </c>
      <c r="P1175" s="2" t="b">
        <v>0</v>
      </c>
    </row>
    <row r="1176" spans="1:16" x14ac:dyDescent="0.3">
      <c r="A1176" s="2" t="e">
        <f>'Converted Diagram'!$J$2333</f>
        <v>#VALUE!</v>
      </c>
      <c r="B1176" s="1" t="s">
        <v>32</v>
      </c>
      <c r="C1176" s="2">
        <v>0</v>
      </c>
      <c r="I1176" s="2" t="s">
        <v>217</v>
      </c>
      <c r="J1176" s="2">
        <f>'Converted Diagram'!$I$2333</f>
        <v>0</v>
      </c>
      <c r="K1176" s="2" t="e">
        <f>'Converted Diagram'!$I$2332</f>
        <v>#VALUE!</v>
      </c>
      <c r="L1176" s="2" t="s">
        <v>1384</v>
      </c>
      <c r="M1176" s="2">
        <v>0</v>
      </c>
      <c r="O1176" s="2" t="str">
        <f>'Converted Diagram'!$J$2332</f>
        <v>Reduce Commute Time</v>
      </c>
      <c r="P1176" s="2" t="b">
        <v>0</v>
      </c>
    </row>
    <row r="1177" spans="1:16" x14ac:dyDescent="0.3">
      <c r="A1177" s="2" t="e">
        <f>'Converted Diagram'!$K$2335</f>
        <v>#VALUE!</v>
      </c>
      <c r="B1177" s="1" t="s">
        <v>219</v>
      </c>
      <c r="C1177" s="2">
        <v>0</v>
      </c>
      <c r="I1177" s="2" t="s">
        <v>217</v>
      </c>
      <c r="J1177" s="2">
        <f>'Converted Diagram'!$J$2335</f>
        <v>0</v>
      </c>
      <c r="K1177" s="2" t="e">
        <f>'Converted Diagram'!$J$2334</f>
        <v>#VALUE!</v>
      </c>
      <c r="L1177" s="2" t="s">
        <v>1385</v>
      </c>
      <c r="M1177" s="2">
        <v>0</v>
      </c>
      <c r="O1177" s="2" t="str">
        <f>'Converted Diagram'!$K$2334</f>
        <v>Reduce overall rent</v>
      </c>
      <c r="P1177" s="2" t="b">
        <v>0</v>
      </c>
    </row>
    <row r="1178" spans="1:16" x14ac:dyDescent="0.3">
      <c r="A1178" s="2" t="e">
        <f>'Converted Diagram'!$L$2337</f>
        <v>#VALUE!</v>
      </c>
      <c r="B1178" s="1" t="s">
        <v>219</v>
      </c>
      <c r="C1178" s="2">
        <v>0</v>
      </c>
      <c r="I1178" s="2" t="s">
        <v>217</v>
      </c>
      <c r="J1178" s="2">
        <f>'Converted Diagram'!$K$2337</f>
        <v>0</v>
      </c>
      <c r="K1178" s="2" t="e">
        <f>'Converted Diagram'!$K$2336</f>
        <v>#VALUE!</v>
      </c>
      <c r="L1178" s="2" t="s">
        <v>1386</v>
      </c>
      <c r="M1178" s="2">
        <v>0</v>
      </c>
      <c r="O1178" s="2" t="str">
        <f>'Converted Diagram'!$L$2336</f>
        <v>Increase Overall Convenience</v>
      </c>
      <c r="P1178" s="2" t="b">
        <v>0</v>
      </c>
    </row>
    <row r="1179" spans="1:16" x14ac:dyDescent="0.3">
      <c r="A1179" s="2" t="e">
        <f>'Converted Diagram'!$M$2339</f>
        <v>#VALUE!</v>
      </c>
      <c r="B1179" s="1" t="s">
        <v>219</v>
      </c>
      <c r="C1179" s="2">
        <v>0</v>
      </c>
      <c r="I1179" s="2" t="e">
        <v>#VALUE!</v>
      </c>
      <c r="J1179" s="2">
        <f>'Converted Diagram'!$L$2339</f>
        <v>0</v>
      </c>
      <c r="K1179" s="2" t="e">
        <f>'Converted Diagram'!$L$2338</f>
        <v>#VALUE!</v>
      </c>
      <c r="L1179" s="2" t="s">
        <v>1387</v>
      </c>
      <c r="M1179" s="2">
        <v>0</v>
      </c>
      <c r="P1179" s="2" t="b">
        <v>0</v>
      </c>
    </row>
    <row r="1180" spans="1:16" x14ac:dyDescent="0.3">
      <c r="A1180" s="2" t="e">
        <f>'Converted Diagram'!$H$2341</f>
        <v>#VALUE!</v>
      </c>
      <c r="B1180" s="1" t="s">
        <v>31</v>
      </c>
      <c r="C1180" s="2">
        <v>0</v>
      </c>
      <c r="I1180" s="2" t="s">
        <v>217</v>
      </c>
      <c r="J1180" s="2">
        <f>'Converted Diagram'!$G$2341</f>
        <v>0</v>
      </c>
      <c r="K1180" s="2" t="e">
        <f>'Converted Diagram'!$G$2340</f>
        <v>#VALUE!</v>
      </c>
      <c r="L1180" s="2" t="s">
        <v>1388</v>
      </c>
      <c r="M1180" s="2">
        <v>0</v>
      </c>
      <c r="O1180" s="2" t="str">
        <f>'Converted Diagram'!$H$2340</f>
        <v>Wi-Fi &amp; Cable Ready</v>
      </c>
      <c r="P1180" s="2" t="b">
        <v>0</v>
      </c>
    </row>
    <row r="1181" spans="1:16" x14ac:dyDescent="0.3">
      <c r="A1181" s="2" t="e">
        <f>'Converted Diagram'!$J$2343</f>
        <v>#VALUE!</v>
      </c>
      <c r="B1181" s="1" t="s">
        <v>31</v>
      </c>
      <c r="C1181" s="2">
        <v>0</v>
      </c>
      <c r="I1181" s="2" t="s">
        <v>217</v>
      </c>
      <c r="J1181" s="2">
        <f>'Converted Diagram'!$I$2343</f>
        <v>0</v>
      </c>
      <c r="K1181" s="2" t="e">
        <f>'Converted Diagram'!$I$2342</f>
        <v>#VALUE!</v>
      </c>
      <c r="L1181" s="2" t="s">
        <v>1389</v>
      </c>
      <c r="M1181" s="2">
        <v>0</v>
      </c>
      <c r="O1181" s="2" t="str">
        <f>'Converted Diagram'!$J$2342</f>
        <v>Reduce Commute Time</v>
      </c>
      <c r="P1181" s="2" t="b">
        <v>0</v>
      </c>
    </row>
    <row r="1182" spans="1:16" x14ac:dyDescent="0.3">
      <c r="A1182" s="2" t="e">
        <f>'Converted Diagram'!$K$2345</f>
        <v>#VALUE!</v>
      </c>
      <c r="B1182" s="1" t="s">
        <v>219</v>
      </c>
      <c r="C1182" s="2">
        <v>0</v>
      </c>
      <c r="I1182" s="2" t="s">
        <v>217</v>
      </c>
      <c r="J1182" s="2">
        <f>'Converted Diagram'!$J$2345</f>
        <v>0</v>
      </c>
      <c r="K1182" s="2" t="e">
        <f>'Converted Diagram'!$J$2344</f>
        <v>#VALUE!</v>
      </c>
      <c r="L1182" s="2" t="s">
        <v>1390</v>
      </c>
      <c r="M1182" s="2">
        <v>0</v>
      </c>
      <c r="O1182" s="2" t="str">
        <f>'Converted Diagram'!$K$2344</f>
        <v>Reduce overall rent</v>
      </c>
      <c r="P1182" s="2" t="b">
        <v>0</v>
      </c>
    </row>
    <row r="1183" spans="1:16" x14ac:dyDescent="0.3">
      <c r="A1183" s="2" t="e">
        <f>'Converted Diagram'!$L$2347</f>
        <v>#VALUE!</v>
      </c>
      <c r="B1183" s="1" t="s">
        <v>219</v>
      </c>
      <c r="C1183" s="2">
        <v>0</v>
      </c>
      <c r="I1183" s="2" t="s">
        <v>217</v>
      </c>
      <c r="J1183" s="2">
        <f>'Converted Diagram'!$K$2347</f>
        <v>0</v>
      </c>
      <c r="K1183" s="2" t="e">
        <f>'Converted Diagram'!$K$2346</f>
        <v>#VALUE!</v>
      </c>
      <c r="L1183" s="2" t="s">
        <v>1391</v>
      </c>
      <c r="M1183" s="2">
        <v>0</v>
      </c>
      <c r="O1183" s="2" t="str">
        <f>'Converted Diagram'!$L$2346</f>
        <v>Increase Overall Convenience</v>
      </c>
      <c r="P1183" s="2" t="b">
        <v>0</v>
      </c>
    </row>
    <row r="1184" spans="1:16" x14ac:dyDescent="0.3">
      <c r="A1184" s="2" t="e">
        <f>'Converted Diagram'!$M$2349</f>
        <v>#VALUE!</v>
      </c>
      <c r="B1184" s="1" t="s">
        <v>219</v>
      </c>
      <c r="C1184" s="2">
        <v>0</v>
      </c>
      <c r="I1184" s="2" t="e">
        <v>#VALUE!</v>
      </c>
      <c r="J1184" s="2">
        <f>'Converted Diagram'!$L$2349</f>
        <v>0</v>
      </c>
      <c r="K1184" s="2" t="e">
        <f>'Converted Diagram'!$L$2348</f>
        <v>#VALUE!</v>
      </c>
      <c r="L1184" s="2" t="s">
        <v>1392</v>
      </c>
      <c r="M1184" s="2">
        <v>0</v>
      </c>
      <c r="P1184" s="2" t="b">
        <v>0</v>
      </c>
    </row>
    <row r="1185" spans="1:16" x14ac:dyDescent="0.3">
      <c r="A1185" s="2" t="e">
        <f>'Converted Diagram'!$I$2351</f>
        <v>#VALUE!</v>
      </c>
      <c r="B1185" s="1" t="s">
        <v>32</v>
      </c>
      <c r="C1185" s="2">
        <v>0</v>
      </c>
      <c r="I1185" s="2" t="s">
        <v>217</v>
      </c>
      <c r="J1185" s="2">
        <f>'Converted Diagram'!$H$2351</f>
        <v>0</v>
      </c>
      <c r="K1185" s="2" t="e">
        <f>'Converted Diagram'!$H$2350</f>
        <v>#VALUE!</v>
      </c>
      <c r="L1185" s="2" t="s">
        <v>1393</v>
      </c>
      <c r="M1185" s="2">
        <v>0</v>
      </c>
      <c r="O1185" s="2" t="str">
        <f>'Converted Diagram'!$I$2350</f>
        <v>Floor</v>
      </c>
      <c r="P1185" s="2" t="b">
        <v>0</v>
      </c>
    </row>
    <row r="1186" spans="1:16" x14ac:dyDescent="0.3">
      <c r="A1186" s="2" t="e">
        <f>'Converted Diagram'!$J$2353</f>
        <v>#VALUE!</v>
      </c>
      <c r="B1186" s="1" t="s">
        <v>32</v>
      </c>
      <c r="C1186" s="2">
        <v>0</v>
      </c>
      <c r="I1186" s="2" t="s">
        <v>217</v>
      </c>
      <c r="J1186" s="2">
        <f>'Converted Diagram'!$I$2353</f>
        <v>0</v>
      </c>
      <c r="K1186" s="2" t="e">
        <f>'Converted Diagram'!$I$2352</f>
        <v>#VALUE!</v>
      </c>
      <c r="L1186" s="2" t="s">
        <v>1394</v>
      </c>
      <c r="M1186" s="2">
        <v>0</v>
      </c>
      <c r="O1186" s="2" t="str">
        <f>'Converted Diagram'!$J$2352</f>
        <v>Reduce Commute Time</v>
      </c>
      <c r="P1186" s="2" t="b">
        <v>0</v>
      </c>
    </row>
    <row r="1187" spans="1:16" x14ac:dyDescent="0.3">
      <c r="A1187" s="2" t="e">
        <f>'Converted Diagram'!$K$2355</f>
        <v>#VALUE!</v>
      </c>
      <c r="B1187" s="1" t="s">
        <v>219</v>
      </c>
      <c r="C1187" s="2">
        <v>0</v>
      </c>
      <c r="I1187" s="2" t="s">
        <v>217</v>
      </c>
      <c r="J1187" s="2">
        <f>'Converted Diagram'!$J$2355</f>
        <v>0</v>
      </c>
      <c r="K1187" s="2" t="e">
        <f>'Converted Diagram'!$J$2354</f>
        <v>#VALUE!</v>
      </c>
      <c r="L1187" s="2" t="s">
        <v>1395</v>
      </c>
      <c r="M1187" s="2">
        <v>0</v>
      </c>
      <c r="O1187" s="2" t="str">
        <f>'Converted Diagram'!$K$2354</f>
        <v>Reduce overall rent</v>
      </c>
      <c r="P1187" s="2" t="b">
        <v>0</v>
      </c>
    </row>
    <row r="1188" spans="1:16" x14ac:dyDescent="0.3">
      <c r="A1188" s="2" t="e">
        <f>'Converted Diagram'!$L$2357</f>
        <v>#VALUE!</v>
      </c>
      <c r="B1188" s="1" t="s">
        <v>219</v>
      </c>
      <c r="C1188" s="2">
        <v>0</v>
      </c>
      <c r="I1188" s="2" t="s">
        <v>217</v>
      </c>
      <c r="J1188" s="2">
        <f>'Converted Diagram'!$K$2357</f>
        <v>0</v>
      </c>
      <c r="K1188" s="2" t="e">
        <f>'Converted Diagram'!$K$2356</f>
        <v>#VALUE!</v>
      </c>
      <c r="L1188" s="2" t="s">
        <v>1396</v>
      </c>
      <c r="M1188" s="2">
        <v>0</v>
      </c>
      <c r="O1188" s="2" t="str">
        <f>'Converted Diagram'!$L$2356</f>
        <v>Increase Overall Convenience</v>
      </c>
      <c r="P1188" s="2" t="b">
        <v>0</v>
      </c>
    </row>
    <row r="1189" spans="1:16" x14ac:dyDescent="0.3">
      <c r="A1189" s="2" t="e">
        <f>'Converted Diagram'!$M$2359</f>
        <v>#VALUE!</v>
      </c>
      <c r="B1189" s="1" t="s">
        <v>219</v>
      </c>
      <c r="C1189" s="2">
        <v>0</v>
      </c>
      <c r="I1189" s="2" t="e">
        <v>#VALUE!</v>
      </c>
      <c r="J1189" s="2">
        <f>'Converted Diagram'!$L$2359</f>
        <v>0</v>
      </c>
      <c r="K1189" s="2" t="e">
        <f>'Converted Diagram'!$L$2358</f>
        <v>#VALUE!</v>
      </c>
      <c r="L1189" s="2" t="s">
        <v>1397</v>
      </c>
      <c r="M1189" s="2">
        <v>0</v>
      </c>
      <c r="P1189" s="2" t="b">
        <v>0</v>
      </c>
    </row>
    <row r="1190" spans="1:16" x14ac:dyDescent="0.3">
      <c r="A1190" s="2" t="e">
        <f>'Converted Diagram'!$G$2361</f>
        <v>#VALUE!</v>
      </c>
      <c r="B1190" s="1" t="s">
        <v>32</v>
      </c>
      <c r="C1190" s="2">
        <v>0</v>
      </c>
      <c r="I1190" s="2" t="s">
        <v>217</v>
      </c>
      <c r="J1190" s="2">
        <f>'Converted Diagram'!$F$2361</f>
        <v>0</v>
      </c>
      <c r="K1190" s="2" t="e">
        <f>'Converted Diagram'!$F$2360</f>
        <v>#VALUE!</v>
      </c>
      <c r="L1190" s="2" t="s">
        <v>1398</v>
      </c>
      <c r="M1190" s="2">
        <v>0</v>
      </c>
      <c r="O1190" s="2" t="str">
        <f>'Converted Diagram'!$G$2360</f>
        <v>Grocery Store</v>
      </c>
      <c r="P1190" s="2" t="b">
        <v>0</v>
      </c>
    </row>
    <row r="1191" spans="1:16" x14ac:dyDescent="0.3">
      <c r="A1191" s="2" t="e">
        <f>'Converted Diagram'!$J$2363</f>
        <v>#VALUE!</v>
      </c>
      <c r="B1191" s="1" t="s">
        <v>31</v>
      </c>
      <c r="C1191" s="2">
        <v>0</v>
      </c>
      <c r="I1191" s="2" t="s">
        <v>217</v>
      </c>
      <c r="J1191" s="2">
        <f>'Converted Diagram'!$I$2363</f>
        <v>0</v>
      </c>
      <c r="K1191" s="2" t="e">
        <f>'Converted Diagram'!$I$2362</f>
        <v>#VALUE!</v>
      </c>
      <c r="L1191" s="2" t="s">
        <v>1399</v>
      </c>
      <c r="M1191" s="2">
        <v>0</v>
      </c>
      <c r="O1191" s="2" t="str">
        <f>'Converted Diagram'!$J$2362</f>
        <v>Reduce Commute Time</v>
      </c>
      <c r="P1191" s="2" t="b">
        <v>0</v>
      </c>
    </row>
    <row r="1192" spans="1:16" x14ac:dyDescent="0.3">
      <c r="A1192" s="2" t="e">
        <f>'Converted Diagram'!$K$2365</f>
        <v>#VALUE!</v>
      </c>
      <c r="B1192" s="1" t="s">
        <v>219</v>
      </c>
      <c r="C1192" s="2">
        <v>0</v>
      </c>
      <c r="I1192" s="2" t="s">
        <v>217</v>
      </c>
      <c r="J1192" s="2">
        <f>'Converted Diagram'!$J$2365</f>
        <v>0</v>
      </c>
      <c r="K1192" s="2" t="e">
        <f>'Converted Diagram'!$J$2364</f>
        <v>#VALUE!</v>
      </c>
      <c r="L1192" s="2" t="s">
        <v>1400</v>
      </c>
      <c r="M1192" s="2">
        <v>0</v>
      </c>
      <c r="O1192" s="2" t="str">
        <f>'Converted Diagram'!$K$2364</f>
        <v>Reduce overall rent</v>
      </c>
      <c r="P1192" s="2" t="b">
        <v>0</v>
      </c>
    </row>
    <row r="1193" spans="1:16" x14ac:dyDescent="0.3">
      <c r="A1193" s="2" t="e">
        <f>'Converted Diagram'!$L$2367</f>
        <v>#VALUE!</v>
      </c>
      <c r="B1193" s="1" t="s">
        <v>219</v>
      </c>
      <c r="C1193" s="2">
        <v>0</v>
      </c>
      <c r="I1193" s="2" t="s">
        <v>217</v>
      </c>
      <c r="J1193" s="2">
        <f>'Converted Diagram'!$K$2367</f>
        <v>0</v>
      </c>
      <c r="K1193" s="2" t="e">
        <f>'Converted Diagram'!$K$2366</f>
        <v>#VALUE!</v>
      </c>
      <c r="L1193" s="2" t="s">
        <v>1401</v>
      </c>
      <c r="M1193" s="2">
        <v>0</v>
      </c>
      <c r="O1193" s="2" t="str">
        <f>'Converted Diagram'!$L$2366</f>
        <v>Increase Overall Convenience</v>
      </c>
      <c r="P1193" s="2" t="b">
        <v>0</v>
      </c>
    </row>
    <row r="1194" spans="1:16" x14ac:dyDescent="0.3">
      <c r="A1194" s="2" t="e">
        <f>'Converted Diagram'!$M$2369</f>
        <v>#VALUE!</v>
      </c>
      <c r="B1194" s="1" t="s">
        <v>219</v>
      </c>
      <c r="C1194" s="2">
        <v>0</v>
      </c>
      <c r="I1194" s="2" t="e">
        <v>#VALUE!</v>
      </c>
      <c r="J1194" s="2">
        <f>'Converted Diagram'!$L$2369</f>
        <v>0</v>
      </c>
      <c r="K1194" s="2" t="e">
        <f>'Converted Diagram'!$L$2368</f>
        <v>#VALUE!</v>
      </c>
      <c r="L1194" s="2" t="s">
        <v>1402</v>
      </c>
      <c r="M1194" s="2">
        <v>0</v>
      </c>
      <c r="P1194" s="2" t="b">
        <v>0</v>
      </c>
    </row>
    <row r="1195" spans="1:16" x14ac:dyDescent="0.3">
      <c r="A1195" s="2" t="e">
        <f>'Converted Diagram'!$I$2371</f>
        <v>#VALUE!</v>
      </c>
      <c r="B1195" s="1" t="s">
        <v>31</v>
      </c>
      <c r="C1195" s="2">
        <v>0</v>
      </c>
      <c r="I1195" s="2" t="s">
        <v>217</v>
      </c>
      <c r="J1195" s="2">
        <f>'Converted Diagram'!$H$2371</f>
        <v>0</v>
      </c>
      <c r="K1195" s="2" t="e">
        <f>'Converted Diagram'!$H$2370</f>
        <v>#VALUE!</v>
      </c>
      <c r="L1195" s="2" t="s">
        <v>1403</v>
      </c>
      <c r="M1195" s="2">
        <v>0</v>
      </c>
      <c r="O1195" s="2" t="str">
        <f>'Converted Diagram'!$I$2370</f>
        <v>Floor</v>
      </c>
      <c r="P1195" s="2" t="b">
        <v>0</v>
      </c>
    </row>
    <row r="1196" spans="1:16" x14ac:dyDescent="0.3">
      <c r="A1196" s="2" t="e">
        <f>'Converted Diagram'!$J$2373</f>
        <v>#VALUE!</v>
      </c>
      <c r="B1196" s="1" t="s">
        <v>32</v>
      </c>
      <c r="C1196" s="2">
        <v>0</v>
      </c>
      <c r="I1196" s="2" t="s">
        <v>217</v>
      </c>
      <c r="J1196" s="2">
        <f>'Converted Diagram'!$I$2373</f>
        <v>0</v>
      </c>
      <c r="K1196" s="2" t="e">
        <f>'Converted Diagram'!$I$2372</f>
        <v>#VALUE!</v>
      </c>
      <c r="L1196" s="2" t="s">
        <v>1404</v>
      </c>
      <c r="M1196" s="2">
        <v>0</v>
      </c>
      <c r="O1196" s="2" t="str">
        <f>'Converted Diagram'!$J$2372</f>
        <v>Reduce Commute Time</v>
      </c>
      <c r="P1196" s="2" t="b">
        <v>0</v>
      </c>
    </row>
    <row r="1197" spans="1:16" x14ac:dyDescent="0.3">
      <c r="A1197" s="2" t="e">
        <f>'Converted Diagram'!$K$2375</f>
        <v>#VALUE!</v>
      </c>
      <c r="B1197" s="1" t="s">
        <v>219</v>
      </c>
      <c r="C1197" s="2">
        <v>0</v>
      </c>
      <c r="I1197" s="2" t="s">
        <v>217</v>
      </c>
      <c r="J1197" s="2">
        <f>'Converted Diagram'!$J$2375</f>
        <v>0</v>
      </c>
      <c r="K1197" s="2" t="e">
        <f>'Converted Diagram'!$J$2374</f>
        <v>#VALUE!</v>
      </c>
      <c r="L1197" s="2" t="s">
        <v>1405</v>
      </c>
      <c r="M1197" s="2">
        <v>0</v>
      </c>
      <c r="O1197" s="2" t="str">
        <f>'Converted Diagram'!$K$2374</f>
        <v>Reduce overall rent</v>
      </c>
      <c r="P1197" s="2" t="b">
        <v>0</v>
      </c>
    </row>
    <row r="1198" spans="1:16" x14ac:dyDescent="0.3">
      <c r="A1198" s="2" t="e">
        <f>'Converted Diagram'!$L$2377</f>
        <v>#VALUE!</v>
      </c>
      <c r="B1198" s="1" t="s">
        <v>219</v>
      </c>
      <c r="C1198" s="2">
        <v>0</v>
      </c>
      <c r="I1198" s="2" t="s">
        <v>217</v>
      </c>
      <c r="J1198" s="2">
        <f>'Converted Diagram'!$K$2377</f>
        <v>0</v>
      </c>
      <c r="K1198" s="2" t="e">
        <f>'Converted Diagram'!$K$2376</f>
        <v>#VALUE!</v>
      </c>
      <c r="L1198" s="2" t="s">
        <v>1406</v>
      </c>
      <c r="M1198" s="2">
        <v>0</v>
      </c>
      <c r="O1198" s="2" t="str">
        <f>'Converted Diagram'!$L$2376</f>
        <v>Increase Overall Convenience</v>
      </c>
      <c r="P1198" s="2" t="b">
        <v>0</v>
      </c>
    </row>
    <row r="1199" spans="1:16" x14ac:dyDescent="0.3">
      <c r="A1199" s="2" t="e">
        <f>'Converted Diagram'!$M$2379</f>
        <v>#VALUE!</v>
      </c>
      <c r="B1199" s="1" t="s">
        <v>219</v>
      </c>
      <c r="C1199" s="2">
        <v>0</v>
      </c>
      <c r="I1199" s="2" t="e">
        <v>#VALUE!</v>
      </c>
      <c r="J1199" s="2">
        <f>'Converted Diagram'!$L$2379</f>
        <v>0</v>
      </c>
      <c r="K1199" s="2" t="e">
        <f>'Converted Diagram'!$L$2378</f>
        <v>#VALUE!</v>
      </c>
      <c r="L1199" s="2" t="s">
        <v>1407</v>
      </c>
      <c r="M1199" s="2">
        <v>0</v>
      </c>
      <c r="P1199" s="2" t="b">
        <v>0</v>
      </c>
    </row>
    <row r="1200" spans="1:16" x14ac:dyDescent="0.3">
      <c r="A1200" s="2" t="e">
        <f>'Converted Diagram'!$H$2381</f>
        <v>#VALUE!</v>
      </c>
      <c r="B1200" s="1" t="s">
        <v>32</v>
      </c>
      <c r="C1200" s="2">
        <v>0</v>
      </c>
      <c r="I1200" s="2" t="s">
        <v>217</v>
      </c>
      <c r="J1200" s="2">
        <f>'Converted Diagram'!$G$2381</f>
        <v>0</v>
      </c>
      <c r="K1200" s="2" t="e">
        <f>'Converted Diagram'!$G$2380</f>
        <v>#VALUE!</v>
      </c>
      <c r="L1200" s="2" t="s">
        <v>1408</v>
      </c>
      <c r="M1200" s="2">
        <v>0</v>
      </c>
      <c r="O1200" s="2" t="str">
        <f>'Converted Diagram'!$H$2380</f>
        <v>Wi-Fi &amp; Cable Ready</v>
      </c>
      <c r="P1200" s="2" t="b">
        <v>0</v>
      </c>
    </row>
    <row r="1201" spans="1:16" x14ac:dyDescent="0.3">
      <c r="A1201" s="2" t="e">
        <f>'Converted Diagram'!$J$2383</f>
        <v>#VALUE!</v>
      </c>
      <c r="B1201" s="1" t="s">
        <v>31</v>
      </c>
      <c r="C1201" s="2">
        <v>0</v>
      </c>
      <c r="I1201" s="2" t="s">
        <v>217</v>
      </c>
      <c r="J1201" s="2">
        <f>'Converted Diagram'!$I$2383</f>
        <v>0</v>
      </c>
      <c r="K1201" s="2" t="e">
        <f>'Converted Diagram'!$I$2382</f>
        <v>#VALUE!</v>
      </c>
      <c r="L1201" s="2" t="s">
        <v>1409</v>
      </c>
      <c r="M1201" s="2">
        <v>0</v>
      </c>
      <c r="O1201" s="2" t="str">
        <f>'Converted Diagram'!$J$2382</f>
        <v>Reduce Commute Time</v>
      </c>
      <c r="P1201" s="2" t="b">
        <v>0</v>
      </c>
    </row>
    <row r="1202" spans="1:16" x14ac:dyDescent="0.3">
      <c r="A1202" s="2" t="e">
        <f>'Converted Diagram'!$K$2385</f>
        <v>#VALUE!</v>
      </c>
      <c r="B1202" s="1" t="s">
        <v>219</v>
      </c>
      <c r="C1202" s="2">
        <v>0</v>
      </c>
      <c r="I1202" s="2" t="s">
        <v>217</v>
      </c>
      <c r="J1202" s="2">
        <f>'Converted Diagram'!$J$2385</f>
        <v>0</v>
      </c>
      <c r="K1202" s="2" t="e">
        <f>'Converted Diagram'!$J$2384</f>
        <v>#VALUE!</v>
      </c>
      <c r="L1202" s="2" t="s">
        <v>1410</v>
      </c>
      <c r="M1202" s="2">
        <v>0</v>
      </c>
      <c r="O1202" s="2" t="str">
        <f>'Converted Diagram'!$K$2384</f>
        <v>Reduce overall rent</v>
      </c>
      <c r="P1202" s="2" t="b">
        <v>0</v>
      </c>
    </row>
    <row r="1203" spans="1:16" x14ac:dyDescent="0.3">
      <c r="A1203" s="2" t="e">
        <f>'Converted Diagram'!$L$2387</f>
        <v>#VALUE!</v>
      </c>
      <c r="B1203" s="1" t="s">
        <v>219</v>
      </c>
      <c r="C1203" s="2">
        <v>0</v>
      </c>
      <c r="I1203" s="2" t="s">
        <v>217</v>
      </c>
      <c r="J1203" s="2">
        <f>'Converted Diagram'!$K$2387</f>
        <v>0</v>
      </c>
      <c r="K1203" s="2" t="e">
        <f>'Converted Diagram'!$K$2386</f>
        <v>#VALUE!</v>
      </c>
      <c r="L1203" s="2" t="s">
        <v>1411</v>
      </c>
      <c r="M1203" s="2">
        <v>0</v>
      </c>
      <c r="O1203" s="2" t="str">
        <f>'Converted Diagram'!$L$2386</f>
        <v>Increase Overall Convenience</v>
      </c>
      <c r="P1203" s="2" t="b">
        <v>0</v>
      </c>
    </row>
    <row r="1204" spans="1:16" x14ac:dyDescent="0.3">
      <c r="A1204" s="2" t="e">
        <f>'Converted Diagram'!$M$2389</f>
        <v>#VALUE!</v>
      </c>
      <c r="B1204" s="1" t="s">
        <v>219</v>
      </c>
      <c r="C1204" s="2">
        <v>0</v>
      </c>
      <c r="I1204" s="2" t="e">
        <v>#VALUE!</v>
      </c>
      <c r="J1204" s="2">
        <f>'Converted Diagram'!$L$2389</f>
        <v>0</v>
      </c>
      <c r="K1204" s="2" t="e">
        <f>'Converted Diagram'!$L$2388</f>
        <v>#VALUE!</v>
      </c>
      <c r="L1204" s="2" t="s">
        <v>1412</v>
      </c>
      <c r="M1204" s="2">
        <v>0</v>
      </c>
      <c r="P1204" s="2" t="b">
        <v>0</v>
      </c>
    </row>
    <row r="1205" spans="1:16" x14ac:dyDescent="0.3">
      <c r="A1205" s="2" t="e">
        <f>'Converted Diagram'!$I$2391</f>
        <v>#VALUE!</v>
      </c>
      <c r="B1205" s="1" t="s">
        <v>32</v>
      </c>
      <c r="C1205" s="2">
        <v>0</v>
      </c>
      <c r="I1205" s="2" t="s">
        <v>217</v>
      </c>
      <c r="J1205" s="2">
        <f>'Converted Diagram'!$H$2391</f>
        <v>0</v>
      </c>
      <c r="K1205" s="2" t="e">
        <f>'Converted Diagram'!$H$2390</f>
        <v>#VALUE!</v>
      </c>
      <c r="L1205" s="2" t="s">
        <v>1413</v>
      </c>
      <c r="M1205" s="2">
        <v>0</v>
      </c>
      <c r="O1205" s="2" t="str">
        <f>'Converted Diagram'!$I$2390</f>
        <v>Floor</v>
      </c>
      <c r="P1205" s="2" t="b">
        <v>0</v>
      </c>
    </row>
    <row r="1206" spans="1:16" x14ac:dyDescent="0.3">
      <c r="A1206" s="2" t="e">
        <f>'Converted Diagram'!$J$2393</f>
        <v>#VALUE!</v>
      </c>
      <c r="B1206" s="1" t="s">
        <v>32</v>
      </c>
      <c r="C1206" s="2">
        <v>0</v>
      </c>
      <c r="I1206" s="2" t="s">
        <v>217</v>
      </c>
      <c r="J1206" s="2">
        <f>'Converted Diagram'!$I$2393</f>
        <v>0</v>
      </c>
      <c r="K1206" s="2" t="e">
        <f>'Converted Diagram'!$I$2392</f>
        <v>#VALUE!</v>
      </c>
      <c r="L1206" s="2" t="s">
        <v>1414</v>
      </c>
      <c r="M1206" s="2">
        <v>0</v>
      </c>
      <c r="O1206" s="2" t="str">
        <f>'Converted Diagram'!$J$2392</f>
        <v>Reduce Commute Time</v>
      </c>
      <c r="P1206" s="2" t="b">
        <v>0</v>
      </c>
    </row>
    <row r="1207" spans="1:16" x14ac:dyDescent="0.3">
      <c r="A1207" s="2" t="e">
        <f>'Converted Diagram'!$K$2395</f>
        <v>#VALUE!</v>
      </c>
      <c r="B1207" s="1" t="s">
        <v>219</v>
      </c>
      <c r="C1207" s="2">
        <v>0</v>
      </c>
      <c r="I1207" s="2" t="s">
        <v>217</v>
      </c>
      <c r="J1207" s="2">
        <f>'Converted Diagram'!$J$2395</f>
        <v>0</v>
      </c>
      <c r="K1207" s="2" t="e">
        <f>'Converted Diagram'!$J$2394</f>
        <v>#VALUE!</v>
      </c>
      <c r="L1207" s="2" t="s">
        <v>1415</v>
      </c>
      <c r="M1207" s="2">
        <v>0</v>
      </c>
      <c r="O1207" s="2" t="str">
        <f>'Converted Diagram'!$K$2394</f>
        <v>Reduce overall rent</v>
      </c>
      <c r="P1207" s="2" t="b">
        <v>0</v>
      </c>
    </row>
    <row r="1208" spans="1:16" x14ac:dyDescent="0.3">
      <c r="A1208" s="2" t="e">
        <f>'Converted Diagram'!$L$2397</f>
        <v>#VALUE!</v>
      </c>
      <c r="B1208" s="1" t="s">
        <v>219</v>
      </c>
      <c r="C1208" s="2">
        <v>0</v>
      </c>
      <c r="I1208" s="2" t="s">
        <v>217</v>
      </c>
      <c r="J1208" s="2">
        <f>'Converted Diagram'!$K$2397</f>
        <v>0</v>
      </c>
      <c r="K1208" s="2" t="e">
        <f>'Converted Diagram'!$K$2396</f>
        <v>#VALUE!</v>
      </c>
      <c r="L1208" s="2" t="s">
        <v>1416</v>
      </c>
      <c r="M1208" s="2">
        <v>0</v>
      </c>
      <c r="O1208" s="2" t="str">
        <f>'Converted Diagram'!$L$2396</f>
        <v>Increase Overall Convenience</v>
      </c>
      <c r="P1208" s="2" t="b">
        <v>0</v>
      </c>
    </row>
    <row r="1209" spans="1:16" x14ac:dyDescent="0.3">
      <c r="A1209" s="2" t="e">
        <f>'Converted Diagram'!$M$2399</f>
        <v>#VALUE!</v>
      </c>
      <c r="B1209" s="1" t="s">
        <v>219</v>
      </c>
      <c r="C1209" s="2">
        <v>0</v>
      </c>
      <c r="I1209" s="2" t="e">
        <v>#VALUE!</v>
      </c>
      <c r="J1209" s="2">
        <f>'Converted Diagram'!$L$2399</f>
        <v>0</v>
      </c>
      <c r="K1209" s="2" t="e">
        <f>'Converted Diagram'!$L$2398</f>
        <v>#VALUE!</v>
      </c>
      <c r="L1209" s="2" t="s">
        <v>1417</v>
      </c>
      <c r="M1209" s="2">
        <v>0</v>
      </c>
      <c r="P1209" s="2" t="b">
        <v>0</v>
      </c>
    </row>
    <row r="1210" spans="1:16" x14ac:dyDescent="0.3">
      <c r="A1210" s="2" t="e">
        <f>'Converted Diagram'!$E$2401</f>
        <v>#VALUE!</v>
      </c>
      <c r="B1210" s="1" t="s">
        <v>32</v>
      </c>
      <c r="C1210" s="2">
        <v>0</v>
      </c>
      <c r="I1210" s="2" t="s">
        <v>217</v>
      </c>
      <c r="J1210" s="2">
        <f>'Converted Diagram'!$D$2401</f>
        <v>0</v>
      </c>
      <c r="L1210" s="2" t="s">
        <v>1418</v>
      </c>
      <c r="M1210" s="2">
        <v>0</v>
      </c>
      <c r="O1210" s="2" t="str">
        <f>'Converted Diagram'!$E$2400</f>
        <v>Nearest Transportation Station</v>
      </c>
      <c r="P1210" s="2" t="b">
        <v>0</v>
      </c>
    </row>
    <row r="1211" spans="1:16" x14ac:dyDescent="0.3">
      <c r="A1211" s="2" t="e">
        <f>'Converted Diagram'!$J$2403</f>
        <v>#VALUE!</v>
      </c>
      <c r="B1211" s="1" t="s">
        <v>31</v>
      </c>
      <c r="C1211" s="2">
        <v>0</v>
      </c>
      <c r="I1211" s="2" t="s">
        <v>217</v>
      </c>
      <c r="J1211" s="2">
        <f>'Converted Diagram'!$I$2403</f>
        <v>0</v>
      </c>
      <c r="K1211" s="2" t="e">
        <f>'Converted Diagram'!$I$2402</f>
        <v>#VALUE!</v>
      </c>
      <c r="L1211" s="2" t="s">
        <v>1419</v>
      </c>
      <c r="M1211" s="2">
        <v>0</v>
      </c>
      <c r="O1211" s="2" t="str">
        <f>'Converted Diagram'!$J$2402</f>
        <v>Reduce Commute Time</v>
      </c>
      <c r="P1211" s="2" t="b">
        <v>0</v>
      </c>
    </row>
    <row r="1212" spans="1:16" x14ac:dyDescent="0.3">
      <c r="A1212" s="2" t="e">
        <f>'Converted Diagram'!$K$2405</f>
        <v>#VALUE!</v>
      </c>
      <c r="B1212" s="1" t="s">
        <v>219</v>
      </c>
      <c r="C1212" s="2">
        <v>0</v>
      </c>
      <c r="I1212" s="2" t="s">
        <v>217</v>
      </c>
      <c r="J1212" s="2">
        <f>'Converted Diagram'!$J$2405</f>
        <v>0</v>
      </c>
      <c r="K1212" s="2" t="e">
        <f>'Converted Diagram'!$J$2404</f>
        <v>#VALUE!</v>
      </c>
      <c r="L1212" s="2" t="s">
        <v>1420</v>
      </c>
      <c r="M1212" s="2">
        <v>0</v>
      </c>
      <c r="O1212" s="2" t="str">
        <f>'Converted Diagram'!$K$2404</f>
        <v>Reduce overall rent</v>
      </c>
      <c r="P1212" s="2" t="b">
        <v>0</v>
      </c>
    </row>
    <row r="1213" spans="1:16" x14ac:dyDescent="0.3">
      <c r="A1213" s="2" t="e">
        <f>'Converted Diagram'!$L$2407</f>
        <v>#VALUE!</v>
      </c>
      <c r="B1213" s="1" t="s">
        <v>219</v>
      </c>
      <c r="C1213" s="2">
        <v>0</v>
      </c>
      <c r="I1213" s="2" t="s">
        <v>217</v>
      </c>
      <c r="J1213" s="2">
        <f>'Converted Diagram'!$K$2407</f>
        <v>0</v>
      </c>
      <c r="K1213" s="2" t="e">
        <f>'Converted Diagram'!$K$2406</f>
        <v>#VALUE!</v>
      </c>
      <c r="L1213" s="2" t="s">
        <v>1421</v>
      </c>
      <c r="M1213" s="2">
        <v>0</v>
      </c>
      <c r="O1213" s="2" t="str">
        <f>'Converted Diagram'!$L$2406</f>
        <v>Increase Overall Convenience</v>
      </c>
      <c r="P1213" s="2" t="b">
        <v>0</v>
      </c>
    </row>
    <row r="1214" spans="1:16" x14ac:dyDescent="0.3">
      <c r="A1214" s="2" t="e">
        <f>'Converted Diagram'!$M$2409</f>
        <v>#VALUE!</v>
      </c>
      <c r="B1214" s="1" t="s">
        <v>219</v>
      </c>
      <c r="C1214" s="2">
        <v>0</v>
      </c>
      <c r="I1214" s="2" t="e">
        <v>#VALUE!</v>
      </c>
      <c r="J1214" s="2">
        <f>'Converted Diagram'!$L$2409</f>
        <v>0</v>
      </c>
      <c r="K1214" s="2" t="e">
        <f>'Converted Diagram'!$L$2408</f>
        <v>#VALUE!</v>
      </c>
      <c r="L1214" s="2" t="s">
        <v>1422</v>
      </c>
      <c r="M1214" s="2">
        <v>0</v>
      </c>
      <c r="P1214" s="2" t="b">
        <v>0</v>
      </c>
    </row>
    <row r="1215" spans="1:16" x14ac:dyDescent="0.3">
      <c r="A1215" s="2" t="e">
        <f>'Converted Diagram'!$I$2411</f>
        <v>#VALUE!</v>
      </c>
      <c r="B1215" s="1" t="s">
        <v>31</v>
      </c>
      <c r="C1215" s="2">
        <v>0</v>
      </c>
      <c r="I1215" s="2" t="s">
        <v>217</v>
      </c>
      <c r="J1215" s="2">
        <f>'Converted Diagram'!$H$2411</f>
        <v>0</v>
      </c>
      <c r="K1215" s="2" t="e">
        <f>'Converted Diagram'!$H$2410</f>
        <v>#VALUE!</v>
      </c>
      <c r="L1215" s="2" t="s">
        <v>1423</v>
      </c>
      <c r="M1215" s="2">
        <v>0</v>
      </c>
      <c r="O1215" s="2" t="str">
        <f>'Converted Diagram'!$I$2410</f>
        <v>Floor</v>
      </c>
      <c r="P1215" s="2" t="b">
        <v>0</v>
      </c>
    </row>
    <row r="1216" spans="1:16" x14ac:dyDescent="0.3">
      <c r="A1216" s="2" t="e">
        <f>'Converted Diagram'!$J$2413</f>
        <v>#VALUE!</v>
      </c>
      <c r="B1216" s="1" t="s">
        <v>32</v>
      </c>
      <c r="C1216" s="2">
        <v>0</v>
      </c>
      <c r="I1216" s="2" t="s">
        <v>217</v>
      </c>
      <c r="J1216" s="2">
        <f>'Converted Diagram'!$I$2413</f>
        <v>0</v>
      </c>
      <c r="K1216" s="2" t="e">
        <f>'Converted Diagram'!$I$2412</f>
        <v>#VALUE!</v>
      </c>
      <c r="L1216" s="2" t="s">
        <v>1424</v>
      </c>
      <c r="M1216" s="2">
        <v>0</v>
      </c>
      <c r="O1216" s="2" t="str">
        <f>'Converted Diagram'!$J$2412</f>
        <v>Reduce Commute Time</v>
      </c>
      <c r="P1216" s="2" t="b">
        <v>0</v>
      </c>
    </row>
    <row r="1217" spans="1:16" x14ac:dyDescent="0.3">
      <c r="A1217" s="2" t="e">
        <f>'Converted Diagram'!$K$2415</f>
        <v>#VALUE!</v>
      </c>
      <c r="B1217" s="1" t="s">
        <v>219</v>
      </c>
      <c r="C1217" s="2">
        <v>0</v>
      </c>
      <c r="I1217" s="2" t="s">
        <v>217</v>
      </c>
      <c r="J1217" s="2">
        <f>'Converted Diagram'!$J$2415</f>
        <v>0</v>
      </c>
      <c r="K1217" s="2" t="e">
        <f>'Converted Diagram'!$J$2414</f>
        <v>#VALUE!</v>
      </c>
      <c r="L1217" s="2" t="s">
        <v>1425</v>
      </c>
      <c r="M1217" s="2">
        <v>0</v>
      </c>
      <c r="O1217" s="2" t="str">
        <f>'Converted Diagram'!$K$2414</f>
        <v>Reduce overall rent</v>
      </c>
      <c r="P1217" s="2" t="b">
        <v>0</v>
      </c>
    </row>
    <row r="1218" spans="1:16" x14ac:dyDescent="0.3">
      <c r="A1218" s="2" t="e">
        <f>'Converted Diagram'!$L$2417</f>
        <v>#VALUE!</v>
      </c>
      <c r="B1218" s="1" t="s">
        <v>219</v>
      </c>
      <c r="C1218" s="2">
        <v>0</v>
      </c>
      <c r="I1218" s="2" t="s">
        <v>217</v>
      </c>
      <c r="J1218" s="2">
        <f>'Converted Diagram'!$K$2417</f>
        <v>0</v>
      </c>
      <c r="K1218" s="2" t="e">
        <f>'Converted Diagram'!$K$2416</f>
        <v>#VALUE!</v>
      </c>
      <c r="L1218" s="2" t="s">
        <v>1426</v>
      </c>
      <c r="M1218" s="2">
        <v>0</v>
      </c>
      <c r="O1218" s="2" t="str">
        <f>'Converted Diagram'!$L$2416</f>
        <v>Increase Overall Convenience</v>
      </c>
      <c r="P1218" s="2" t="b">
        <v>0</v>
      </c>
    </row>
    <row r="1219" spans="1:16" x14ac:dyDescent="0.3">
      <c r="A1219" s="2" t="e">
        <f>'Converted Diagram'!$M$2419</f>
        <v>#VALUE!</v>
      </c>
      <c r="B1219" s="1" t="s">
        <v>219</v>
      </c>
      <c r="C1219" s="2">
        <v>0</v>
      </c>
      <c r="I1219" s="2" t="e">
        <v>#VALUE!</v>
      </c>
      <c r="J1219" s="2">
        <f>'Converted Diagram'!$L$2419</f>
        <v>0</v>
      </c>
      <c r="K1219" s="2" t="e">
        <f>'Converted Diagram'!$L$2418</f>
        <v>#VALUE!</v>
      </c>
      <c r="L1219" s="2" t="s">
        <v>1427</v>
      </c>
      <c r="M1219" s="2">
        <v>0</v>
      </c>
      <c r="P1219" s="2" t="b">
        <v>0</v>
      </c>
    </row>
    <row r="1220" spans="1:16" x14ac:dyDescent="0.3">
      <c r="A1220" s="2" t="e">
        <f>'Converted Diagram'!$H$2421</f>
        <v>#VALUE!</v>
      </c>
      <c r="B1220" s="1" t="s">
        <v>31</v>
      </c>
      <c r="C1220" s="2">
        <v>0</v>
      </c>
      <c r="I1220" s="2" t="s">
        <v>217</v>
      </c>
      <c r="J1220" s="2">
        <f>'Converted Diagram'!$G$2421</f>
        <v>0</v>
      </c>
      <c r="K1220" s="2" t="e">
        <f>'Converted Diagram'!$G$2420</f>
        <v>#VALUE!</v>
      </c>
      <c r="L1220" s="2" t="s">
        <v>1428</v>
      </c>
      <c r="M1220" s="2">
        <v>0</v>
      </c>
      <c r="O1220" s="2" t="str">
        <f>'Converted Diagram'!$H$2420</f>
        <v>Wi-Fi &amp; Cable Ready</v>
      </c>
      <c r="P1220" s="2" t="b">
        <v>0</v>
      </c>
    </row>
    <row r="1221" spans="1:16" x14ac:dyDescent="0.3">
      <c r="A1221" s="2" t="e">
        <f>'Converted Diagram'!$J$2423</f>
        <v>#VALUE!</v>
      </c>
      <c r="B1221" s="1" t="s">
        <v>31</v>
      </c>
      <c r="C1221" s="2">
        <v>0</v>
      </c>
      <c r="I1221" s="2" t="s">
        <v>217</v>
      </c>
      <c r="J1221" s="2">
        <f>'Converted Diagram'!$I$2423</f>
        <v>0</v>
      </c>
      <c r="K1221" s="2" t="e">
        <f>'Converted Diagram'!$I$2422</f>
        <v>#VALUE!</v>
      </c>
      <c r="L1221" s="2" t="s">
        <v>1429</v>
      </c>
      <c r="M1221" s="2">
        <v>0</v>
      </c>
      <c r="O1221" s="2" t="str">
        <f>'Converted Diagram'!$J$2422</f>
        <v>Reduce Commute Time</v>
      </c>
      <c r="P1221" s="2" t="b">
        <v>0</v>
      </c>
    </row>
    <row r="1222" spans="1:16" x14ac:dyDescent="0.3">
      <c r="A1222" s="2" t="e">
        <f>'Converted Diagram'!$K$2425</f>
        <v>#VALUE!</v>
      </c>
      <c r="B1222" s="1" t="s">
        <v>219</v>
      </c>
      <c r="C1222" s="2">
        <v>0</v>
      </c>
      <c r="I1222" s="2" t="s">
        <v>217</v>
      </c>
      <c r="J1222" s="2">
        <f>'Converted Diagram'!$J$2425</f>
        <v>0</v>
      </c>
      <c r="K1222" s="2" t="e">
        <f>'Converted Diagram'!$J$2424</f>
        <v>#VALUE!</v>
      </c>
      <c r="L1222" s="2" t="s">
        <v>1430</v>
      </c>
      <c r="M1222" s="2">
        <v>0</v>
      </c>
      <c r="O1222" s="2" t="str">
        <f>'Converted Diagram'!$K$2424</f>
        <v>Reduce overall rent</v>
      </c>
      <c r="P1222" s="2" t="b">
        <v>0</v>
      </c>
    </row>
    <row r="1223" spans="1:16" x14ac:dyDescent="0.3">
      <c r="A1223" s="2" t="e">
        <f>'Converted Diagram'!$L$2427</f>
        <v>#VALUE!</v>
      </c>
      <c r="B1223" s="1" t="s">
        <v>219</v>
      </c>
      <c r="C1223" s="2">
        <v>0</v>
      </c>
      <c r="I1223" s="2" t="s">
        <v>217</v>
      </c>
      <c r="J1223" s="2">
        <f>'Converted Diagram'!$K$2427</f>
        <v>0</v>
      </c>
      <c r="K1223" s="2" t="e">
        <f>'Converted Diagram'!$K$2426</f>
        <v>#VALUE!</v>
      </c>
      <c r="L1223" s="2" t="s">
        <v>1431</v>
      </c>
      <c r="M1223" s="2">
        <v>0</v>
      </c>
      <c r="O1223" s="2" t="str">
        <f>'Converted Diagram'!$L$2426</f>
        <v>Increase Overall Convenience</v>
      </c>
      <c r="P1223" s="2" t="b">
        <v>0</v>
      </c>
    </row>
    <row r="1224" spans="1:16" x14ac:dyDescent="0.3">
      <c r="A1224" s="2" t="e">
        <f>'Converted Diagram'!$M$2429</f>
        <v>#VALUE!</v>
      </c>
      <c r="B1224" s="1" t="s">
        <v>219</v>
      </c>
      <c r="C1224" s="2">
        <v>0</v>
      </c>
      <c r="I1224" s="2" t="e">
        <v>#VALUE!</v>
      </c>
      <c r="J1224" s="2">
        <f>'Converted Diagram'!$L$2429</f>
        <v>0</v>
      </c>
      <c r="K1224" s="2" t="e">
        <f>'Converted Diagram'!$L$2428</f>
        <v>#VALUE!</v>
      </c>
      <c r="L1224" s="2" t="s">
        <v>1432</v>
      </c>
      <c r="M1224" s="2">
        <v>0</v>
      </c>
      <c r="P1224" s="2" t="b">
        <v>0</v>
      </c>
    </row>
    <row r="1225" spans="1:16" x14ac:dyDescent="0.3">
      <c r="A1225" s="2" t="e">
        <f>'Converted Diagram'!$I$2431</f>
        <v>#VALUE!</v>
      </c>
      <c r="B1225" s="1" t="s">
        <v>32</v>
      </c>
      <c r="C1225" s="2">
        <v>0</v>
      </c>
      <c r="I1225" s="2" t="s">
        <v>217</v>
      </c>
      <c r="J1225" s="2">
        <f>'Converted Diagram'!$H$2431</f>
        <v>0</v>
      </c>
      <c r="K1225" s="2" t="e">
        <f>'Converted Diagram'!$H$2430</f>
        <v>#VALUE!</v>
      </c>
      <c r="L1225" s="2" t="s">
        <v>1433</v>
      </c>
      <c r="M1225" s="2">
        <v>0</v>
      </c>
      <c r="O1225" s="2" t="str">
        <f>'Converted Diagram'!$I$2430</f>
        <v>Floor</v>
      </c>
      <c r="P1225" s="2" t="b">
        <v>0</v>
      </c>
    </row>
    <row r="1226" spans="1:16" x14ac:dyDescent="0.3">
      <c r="A1226" s="2" t="e">
        <f>'Converted Diagram'!$J$2433</f>
        <v>#VALUE!</v>
      </c>
      <c r="B1226" s="1" t="s">
        <v>32</v>
      </c>
      <c r="C1226" s="2">
        <v>0</v>
      </c>
      <c r="I1226" s="2" t="s">
        <v>217</v>
      </c>
      <c r="J1226" s="2">
        <f>'Converted Diagram'!$I$2433</f>
        <v>0</v>
      </c>
      <c r="K1226" s="2" t="e">
        <f>'Converted Diagram'!$I$2432</f>
        <v>#VALUE!</v>
      </c>
      <c r="L1226" s="2" t="s">
        <v>1434</v>
      </c>
      <c r="M1226" s="2">
        <v>0</v>
      </c>
      <c r="O1226" s="2" t="str">
        <f>'Converted Diagram'!$J$2432</f>
        <v>Reduce Commute Time</v>
      </c>
      <c r="P1226" s="2" t="b">
        <v>0</v>
      </c>
    </row>
    <row r="1227" spans="1:16" x14ac:dyDescent="0.3">
      <c r="A1227" s="2" t="e">
        <f>'Converted Diagram'!$K$2435</f>
        <v>#VALUE!</v>
      </c>
      <c r="B1227" s="1" t="s">
        <v>219</v>
      </c>
      <c r="C1227" s="2">
        <v>0</v>
      </c>
      <c r="I1227" s="2" t="s">
        <v>217</v>
      </c>
      <c r="J1227" s="2">
        <f>'Converted Diagram'!$J$2435</f>
        <v>0</v>
      </c>
      <c r="K1227" s="2" t="e">
        <f>'Converted Diagram'!$J$2434</f>
        <v>#VALUE!</v>
      </c>
      <c r="L1227" s="2" t="s">
        <v>1435</v>
      </c>
      <c r="M1227" s="2">
        <v>0</v>
      </c>
      <c r="O1227" s="2" t="str">
        <f>'Converted Diagram'!$K$2434</f>
        <v>Reduce overall rent</v>
      </c>
      <c r="P1227" s="2" t="b">
        <v>0</v>
      </c>
    </row>
    <row r="1228" spans="1:16" x14ac:dyDescent="0.3">
      <c r="A1228" s="2" t="e">
        <f>'Converted Diagram'!$L$2437</f>
        <v>#VALUE!</v>
      </c>
      <c r="B1228" s="1" t="s">
        <v>219</v>
      </c>
      <c r="C1228" s="2">
        <v>0</v>
      </c>
      <c r="I1228" s="2" t="s">
        <v>217</v>
      </c>
      <c r="J1228" s="2">
        <f>'Converted Diagram'!$K$2437</f>
        <v>0</v>
      </c>
      <c r="K1228" s="2" t="e">
        <f>'Converted Diagram'!$K$2436</f>
        <v>#VALUE!</v>
      </c>
      <c r="L1228" s="2" t="s">
        <v>1436</v>
      </c>
      <c r="M1228" s="2">
        <v>0</v>
      </c>
      <c r="O1228" s="2" t="str">
        <f>'Converted Diagram'!$L$2436</f>
        <v>Increase Overall Convenience</v>
      </c>
      <c r="P1228" s="2" t="b">
        <v>0</v>
      </c>
    </row>
    <row r="1229" spans="1:16" x14ac:dyDescent="0.3">
      <c r="A1229" s="2" t="e">
        <f>'Converted Diagram'!$M$2439</f>
        <v>#VALUE!</v>
      </c>
      <c r="B1229" s="1" t="s">
        <v>219</v>
      </c>
      <c r="C1229" s="2">
        <v>0</v>
      </c>
      <c r="I1229" s="2" t="e">
        <v>#VALUE!</v>
      </c>
      <c r="J1229" s="2">
        <f>'Converted Diagram'!$L$2439</f>
        <v>0</v>
      </c>
      <c r="K1229" s="2" t="e">
        <f>'Converted Diagram'!$L$2438</f>
        <v>#VALUE!</v>
      </c>
      <c r="L1229" s="2" t="s">
        <v>1437</v>
      </c>
      <c r="M1229" s="2">
        <v>0</v>
      </c>
      <c r="P1229" s="2" t="b">
        <v>0</v>
      </c>
    </row>
    <row r="1230" spans="1:16" x14ac:dyDescent="0.3">
      <c r="A1230" s="2" t="e">
        <f>'Converted Diagram'!$G$2441</f>
        <v>#VALUE!</v>
      </c>
      <c r="B1230" s="1" t="s">
        <v>31</v>
      </c>
      <c r="C1230" s="2">
        <v>0</v>
      </c>
      <c r="I1230" s="2" t="s">
        <v>217</v>
      </c>
      <c r="J1230" s="2">
        <f>'Converted Diagram'!$F$2441</f>
        <v>0</v>
      </c>
      <c r="K1230" s="2" t="e">
        <f>'Converted Diagram'!$F$2440</f>
        <v>#VALUE!</v>
      </c>
      <c r="L1230" s="2" t="s">
        <v>1438</v>
      </c>
      <c r="M1230" s="2">
        <v>0</v>
      </c>
      <c r="O1230" s="2" t="str">
        <f>'Converted Diagram'!$G$2440</f>
        <v>Grocery Store</v>
      </c>
      <c r="P1230" s="2" t="b">
        <v>0</v>
      </c>
    </row>
    <row r="1231" spans="1:16" x14ac:dyDescent="0.3">
      <c r="A1231" s="2" t="e">
        <f>'Converted Diagram'!$J$2443</f>
        <v>#VALUE!</v>
      </c>
      <c r="B1231" s="1" t="s">
        <v>31</v>
      </c>
      <c r="C1231" s="2">
        <v>0</v>
      </c>
      <c r="I1231" s="2" t="s">
        <v>217</v>
      </c>
      <c r="J1231" s="2">
        <f>'Converted Diagram'!$I$2443</f>
        <v>0</v>
      </c>
      <c r="K1231" s="2" t="e">
        <f>'Converted Diagram'!$I$2442</f>
        <v>#VALUE!</v>
      </c>
      <c r="L1231" s="2" t="s">
        <v>1439</v>
      </c>
      <c r="M1231" s="2">
        <v>0</v>
      </c>
      <c r="O1231" s="2" t="str">
        <f>'Converted Diagram'!$J$2442</f>
        <v>Reduce Commute Time</v>
      </c>
      <c r="P1231" s="2" t="b">
        <v>0</v>
      </c>
    </row>
    <row r="1232" spans="1:16" x14ac:dyDescent="0.3">
      <c r="A1232" s="2" t="e">
        <f>'Converted Diagram'!$K$2445</f>
        <v>#VALUE!</v>
      </c>
      <c r="B1232" s="1" t="s">
        <v>219</v>
      </c>
      <c r="C1232" s="2">
        <v>0</v>
      </c>
      <c r="I1232" s="2" t="s">
        <v>217</v>
      </c>
      <c r="J1232" s="2">
        <f>'Converted Diagram'!$J$2445</f>
        <v>0</v>
      </c>
      <c r="K1232" s="2" t="e">
        <f>'Converted Diagram'!$J$2444</f>
        <v>#VALUE!</v>
      </c>
      <c r="L1232" s="2" t="s">
        <v>1440</v>
      </c>
      <c r="M1232" s="2">
        <v>0</v>
      </c>
      <c r="O1232" s="2" t="str">
        <f>'Converted Diagram'!$K$2444</f>
        <v>Reduce overall rent</v>
      </c>
      <c r="P1232" s="2" t="b">
        <v>0</v>
      </c>
    </row>
    <row r="1233" spans="1:16" x14ac:dyDescent="0.3">
      <c r="A1233" s="2" t="e">
        <f>'Converted Diagram'!$L$2447</f>
        <v>#VALUE!</v>
      </c>
      <c r="B1233" s="1" t="s">
        <v>219</v>
      </c>
      <c r="C1233" s="2">
        <v>0</v>
      </c>
      <c r="I1233" s="2" t="s">
        <v>217</v>
      </c>
      <c r="J1233" s="2">
        <f>'Converted Diagram'!$K$2447</f>
        <v>0</v>
      </c>
      <c r="K1233" s="2" t="e">
        <f>'Converted Diagram'!$K$2446</f>
        <v>#VALUE!</v>
      </c>
      <c r="L1233" s="2" t="s">
        <v>1441</v>
      </c>
      <c r="M1233" s="2">
        <v>0</v>
      </c>
      <c r="O1233" s="2" t="str">
        <f>'Converted Diagram'!$L$2446</f>
        <v>Increase Overall Convenience</v>
      </c>
      <c r="P1233" s="2" t="b">
        <v>0</v>
      </c>
    </row>
    <row r="1234" spans="1:16" x14ac:dyDescent="0.3">
      <c r="A1234" s="2" t="e">
        <f>'Converted Diagram'!$M$2449</f>
        <v>#VALUE!</v>
      </c>
      <c r="B1234" s="1" t="s">
        <v>219</v>
      </c>
      <c r="C1234" s="2">
        <v>0</v>
      </c>
      <c r="I1234" s="2" t="e">
        <v>#VALUE!</v>
      </c>
      <c r="J1234" s="2">
        <f>'Converted Diagram'!$L$2449</f>
        <v>0</v>
      </c>
      <c r="K1234" s="2" t="e">
        <f>'Converted Diagram'!$L$2448</f>
        <v>#VALUE!</v>
      </c>
      <c r="L1234" s="2" t="s">
        <v>1442</v>
      </c>
      <c r="M1234" s="2">
        <v>0</v>
      </c>
      <c r="P1234" s="2" t="b">
        <v>0</v>
      </c>
    </row>
    <row r="1235" spans="1:16" x14ac:dyDescent="0.3">
      <c r="A1235" s="2" t="e">
        <f>'Converted Diagram'!$I$2451</f>
        <v>#VALUE!</v>
      </c>
      <c r="B1235" s="1" t="s">
        <v>31</v>
      </c>
      <c r="C1235" s="2">
        <v>0</v>
      </c>
      <c r="I1235" s="2" t="s">
        <v>217</v>
      </c>
      <c r="J1235" s="2">
        <f>'Converted Diagram'!$H$2451</f>
        <v>0</v>
      </c>
      <c r="K1235" s="2" t="e">
        <f>'Converted Diagram'!$H$2450</f>
        <v>#VALUE!</v>
      </c>
      <c r="L1235" s="2" t="s">
        <v>1443</v>
      </c>
      <c r="M1235" s="2">
        <v>0</v>
      </c>
      <c r="O1235" s="2" t="str">
        <f>'Converted Diagram'!$I$2450</f>
        <v>Floor</v>
      </c>
      <c r="P1235" s="2" t="b">
        <v>0</v>
      </c>
    </row>
    <row r="1236" spans="1:16" x14ac:dyDescent="0.3">
      <c r="A1236" s="2" t="e">
        <f>'Converted Diagram'!$J$2453</f>
        <v>#VALUE!</v>
      </c>
      <c r="B1236" s="1" t="s">
        <v>32</v>
      </c>
      <c r="C1236" s="2">
        <v>0</v>
      </c>
      <c r="I1236" s="2" t="s">
        <v>217</v>
      </c>
      <c r="J1236" s="2">
        <f>'Converted Diagram'!$I$2453</f>
        <v>0</v>
      </c>
      <c r="K1236" s="2" t="e">
        <f>'Converted Diagram'!$I$2452</f>
        <v>#VALUE!</v>
      </c>
      <c r="L1236" s="2" t="s">
        <v>1444</v>
      </c>
      <c r="M1236" s="2">
        <v>0</v>
      </c>
      <c r="O1236" s="2" t="str">
        <f>'Converted Diagram'!$J$2452</f>
        <v>Reduce Commute Time</v>
      </c>
      <c r="P1236" s="2" t="b">
        <v>0</v>
      </c>
    </row>
    <row r="1237" spans="1:16" x14ac:dyDescent="0.3">
      <c r="A1237" s="2" t="e">
        <f>'Converted Diagram'!$K$2455</f>
        <v>#VALUE!</v>
      </c>
      <c r="B1237" s="1" t="s">
        <v>219</v>
      </c>
      <c r="C1237" s="2">
        <v>0</v>
      </c>
      <c r="I1237" s="2" t="s">
        <v>217</v>
      </c>
      <c r="J1237" s="2">
        <f>'Converted Diagram'!$J$2455</f>
        <v>0</v>
      </c>
      <c r="K1237" s="2" t="e">
        <f>'Converted Diagram'!$J$2454</f>
        <v>#VALUE!</v>
      </c>
      <c r="L1237" s="2" t="s">
        <v>1445</v>
      </c>
      <c r="M1237" s="2">
        <v>0</v>
      </c>
      <c r="O1237" s="2" t="str">
        <f>'Converted Diagram'!$K$2454</f>
        <v>Reduce overall rent</v>
      </c>
      <c r="P1237" s="2" t="b">
        <v>0</v>
      </c>
    </row>
    <row r="1238" spans="1:16" x14ac:dyDescent="0.3">
      <c r="A1238" s="2" t="e">
        <f>'Converted Diagram'!$L$2457</f>
        <v>#VALUE!</v>
      </c>
      <c r="B1238" s="1" t="s">
        <v>219</v>
      </c>
      <c r="C1238" s="2">
        <v>0</v>
      </c>
      <c r="I1238" s="2" t="s">
        <v>217</v>
      </c>
      <c r="J1238" s="2">
        <f>'Converted Diagram'!$K$2457</f>
        <v>0</v>
      </c>
      <c r="K1238" s="2" t="e">
        <f>'Converted Diagram'!$K$2456</f>
        <v>#VALUE!</v>
      </c>
      <c r="L1238" s="2" t="s">
        <v>1446</v>
      </c>
      <c r="M1238" s="2">
        <v>0</v>
      </c>
      <c r="O1238" s="2" t="str">
        <f>'Converted Diagram'!$L$2456</f>
        <v>Increase Overall Convenience</v>
      </c>
      <c r="P1238" s="2" t="b">
        <v>0</v>
      </c>
    </row>
    <row r="1239" spans="1:16" x14ac:dyDescent="0.3">
      <c r="A1239" s="2" t="e">
        <f>'Converted Diagram'!$M$2459</f>
        <v>#VALUE!</v>
      </c>
      <c r="B1239" s="1" t="s">
        <v>219</v>
      </c>
      <c r="C1239" s="2">
        <v>0</v>
      </c>
      <c r="I1239" s="2" t="e">
        <v>#VALUE!</v>
      </c>
      <c r="J1239" s="2">
        <f>'Converted Diagram'!$L$2459</f>
        <v>0</v>
      </c>
      <c r="K1239" s="2" t="e">
        <f>'Converted Diagram'!$L$2458</f>
        <v>#VALUE!</v>
      </c>
      <c r="L1239" s="2" t="s">
        <v>1447</v>
      </c>
      <c r="M1239" s="2">
        <v>0</v>
      </c>
      <c r="P1239" s="2" t="b">
        <v>0</v>
      </c>
    </row>
    <row r="1240" spans="1:16" x14ac:dyDescent="0.3">
      <c r="A1240" s="2" t="e">
        <f>'Converted Diagram'!$H$2461</f>
        <v>#VALUE!</v>
      </c>
      <c r="B1240" s="1" t="s">
        <v>32</v>
      </c>
      <c r="C1240" s="2">
        <v>0</v>
      </c>
      <c r="I1240" s="2" t="s">
        <v>217</v>
      </c>
      <c r="J1240" s="2">
        <f>'Converted Diagram'!$G$2461</f>
        <v>0</v>
      </c>
      <c r="K1240" s="2" t="e">
        <f>'Converted Diagram'!$G$2460</f>
        <v>#VALUE!</v>
      </c>
      <c r="L1240" s="2" t="s">
        <v>1448</v>
      </c>
      <c r="M1240" s="2">
        <v>0</v>
      </c>
      <c r="O1240" s="2" t="str">
        <f>'Converted Diagram'!$H$2460</f>
        <v>Wi-Fi &amp; Cable Ready</v>
      </c>
      <c r="P1240" s="2" t="b">
        <v>0</v>
      </c>
    </row>
    <row r="1241" spans="1:16" x14ac:dyDescent="0.3">
      <c r="A1241" s="2" t="e">
        <f>'Converted Diagram'!$J$2463</f>
        <v>#VALUE!</v>
      </c>
      <c r="B1241" s="1" t="s">
        <v>31</v>
      </c>
      <c r="C1241" s="2">
        <v>0</v>
      </c>
      <c r="I1241" s="2" t="s">
        <v>217</v>
      </c>
      <c r="J1241" s="2">
        <f>'Converted Diagram'!$I$2463</f>
        <v>0</v>
      </c>
      <c r="K1241" s="2" t="e">
        <f>'Converted Diagram'!$I$2462</f>
        <v>#VALUE!</v>
      </c>
      <c r="L1241" s="2" t="s">
        <v>1449</v>
      </c>
      <c r="M1241" s="2">
        <v>0</v>
      </c>
      <c r="O1241" s="2" t="str">
        <f>'Converted Diagram'!$J$2462</f>
        <v>Reduce Commute Time</v>
      </c>
      <c r="P1241" s="2" t="b">
        <v>0</v>
      </c>
    </row>
    <row r="1242" spans="1:16" x14ac:dyDescent="0.3">
      <c r="A1242" s="2" t="e">
        <f>'Converted Diagram'!$K$2465</f>
        <v>#VALUE!</v>
      </c>
      <c r="B1242" s="1" t="s">
        <v>219</v>
      </c>
      <c r="C1242" s="2">
        <v>0</v>
      </c>
      <c r="I1242" s="2" t="s">
        <v>217</v>
      </c>
      <c r="J1242" s="2">
        <f>'Converted Diagram'!$J$2465</f>
        <v>0</v>
      </c>
      <c r="K1242" s="2" t="e">
        <f>'Converted Diagram'!$J$2464</f>
        <v>#VALUE!</v>
      </c>
      <c r="L1242" s="2" t="s">
        <v>1450</v>
      </c>
      <c r="M1242" s="2">
        <v>0</v>
      </c>
      <c r="O1242" s="2" t="str">
        <f>'Converted Diagram'!$K$2464</f>
        <v>Reduce overall rent</v>
      </c>
      <c r="P1242" s="2" t="b">
        <v>0</v>
      </c>
    </row>
    <row r="1243" spans="1:16" x14ac:dyDescent="0.3">
      <c r="A1243" s="2" t="e">
        <f>'Converted Diagram'!$L$2467</f>
        <v>#VALUE!</v>
      </c>
      <c r="B1243" s="1" t="s">
        <v>219</v>
      </c>
      <c r="C1243" s="2">
        <v>0</v>
      </c>
      <c r="I1243" s="2" t="s">
        <v>217</v>
      </c>
      <c r="J1243" s="2">
        <f>'Converted Diagram'!$K$2467</f>
        <v>0</v>
      </c>
      <c r="K1243" s="2" t="e">
        <f>'Converted Diagram'!$K$2466</f>
        <v>#VALUE!</v>
      </c>
      <c r="L1243" s="2" t="s">
        <v>1451</v>
      </c>
      <c r="M1243" s="2">
        <v>0</v>
      </c>
      <c r="O1243" s="2" t="str">
        <f>'Converted Diagram'!$L$2466</f>
        <v>Increase Overall Convenience</v>
      </c>
      <c r="P1243" s="2" t="b">
        <v>0</v>
      </c>
    </row>
    <row r="1244" spans="1:16" x14ac:dyDescent="0.3">
      <c r="A1244" s="2" t="e">
        <f>'Converted Diagram'!$M$2469</f>
        <v>#VALUE!</v>
      </c>
      <c r="B1244" s="1" t="s">
        <v>219</v>
      </c>
      <c r="C1244" s="2">
        <v>0</v>
      </c>
      <c r="I1244" s="2" t="e">
        <v>#VALUE!</v>
      </c>
      <c r="J1244" s="2">
        <f>'Converted Diagram'!$L$2469</f>
        <v>0</v>
      </c>
      <c r="K1244" s="2" t="e">
        <f>'Converted Diagram'!$L$2468</f>
        <v>#VALUE!</v>
      </c>
      <c r="L1244" s="2" t="s">
        <v>1452</v>
      </c>
      <c r="M1244" s="2">
        <v>0</v>
      </c>
      <c r="P1244" s="2" t="b">
        <v>0</v>
      </c>
    </row>
    <row r="1245" spans="1:16" x14ac:dyDescent="0.3">
      <c r="A1245" s="2" t="e">
        <f>'Converted Diagram'!$I$2471</f>
        <v>#VALUE!</v>
      </c>
      <c r="B1245" s="1" t="s">
        <v>32</v>
      </c>
      <c r="C1245" s="2">
        <v>0</v>
      </c>
      <c r="I1245" s="2" t="s">
        <v>217</v>
      </c>
      <c r="J1245" s="2">
        <f>'Converted Diagram'!$H$2471</f>
        <v>0</v>
      </c>
      <c r="K1245" s="2" t="e">
        <f>'Converted Diagram'!$H$2470</f>
        <v>#VALUE!</v>
      </c>
      <c r="L1245" s="2" t="s">
        <v>1453</v>
      </c>
      <c r="M1245" s="2">
        <v>0</v>
      </c>
      <c r="O1245" s="2" t="str">
        <f>'Converted Diagram'!$I$2470</f>
        <v>Floor</v>
      </c>
      <c r="P1245" s="2" t="b">
        <v>0</v>
      </c>
    </row>
    <row r="1246" spans="1:16" x14ac:dyDescent="0.3">
      <c r="A1246" s="2" t="e">
        <f>'Converted Diagram'!$J$2473</f>
        <v>#VALUE!</v>
      </c>
      <c r="B1246" s="1" t="s">
        <v>32</v>
      </c>
      <c r="C1246" s="2">
        <v>0</v>
      </c>
      <c r="I1246" s="2" t="s">
        <v>217</v>
      </c>
      <c r="J1246" s="2">
        <f>'Converted Diagram'!$I$2473</f>
        <v>0</v>
      </c>
      <c r="K1246" s="2" t="e">
        <f>'Converted Diagram'!$I$2472</f>
        <v>#VALUE!</v>
      </c>
      <c r="L1246" s="2" t="s">
        <v>1454</v>
      </c>
      <c r="M1246" s="2">
        <v>0</v>
      </c>
      <c r="O1246" s="2" t="str">
        <f>'Converted Diagram'!$J$2472</f>
        <v>Reduce Commute Time</v>
      </c>
      <c r="P1246" s="2" t="b">
        <v>0</v>
      </c>
    </row>
    <row r="1247" spans="1:16" x14ac:dyDescent="0.3">
      <c r="A1247" s="2" t="e">
        <f>'Converted Diagram'!$K$2475</f>
        <v>#VALUE!</v>
      </c>
      <c r="B1247" s="1" t="s">
        <v>219</v>
      </c>
      <c r="C1247" s="2">
        <v>0</v>
      </c>
      <c r="I1247" s="2" t="s">
        <v>217</v>
      </c>
      <c r="J1247" s="2">
        <f>'Converted Diagram'!$J$2475</f>
        <v>0</v>
      </c>
      <c r="K1247" s="2" t="e">
        <f>'Converted Diagram'!$J$2474</f>
        <v>#VALUE!</v>
      </c>
      <c r="L1247" s="2" t="s">
        <v>1455</v>
      </c>
      <c r="M1247" s="2">
        <v>0</v>
      </c>
      <c r="O1247" s="2" t="str">
        <f>'Converted Diagram'!$K$2474</f>
        <v>Reduce overall rent</v>
      </c>
      <c r="P1247" s="2" t="b">
        <v>0</v>
      </c>
    </row>
    <row r="1248" spans="1:16" x14ac:dyDescent="0.3">
      <c r="A1248" s="2" t="e">
        <f>'Converted Diagram'!$L$2477</f>
        <v>#VALUE!</v>
      </c>
      <c r="B1248" s="1" t="s">
        <v>219</v>
      </c>
      <c r="C1248" s="2">
        <v>0</v>
      </c>
      <c r="I1248" s="2" t="s">
        <v>217</v>
      </c>
      <c r="J1248" s="2">
        <f>'Converted Diagram'!$K$2477</f>
        <v>0</v>
      </c>
      <c r="K1248" s="2" t="e">
        <f>'Converted Diagram'!$K$2476</f>
        <v>#VALUE!</v>
      </c>
      <c r="L1248" s="2" t="s">
        <v>1456</v>
      </c>
      <c r="M1248" s="2">
        <v>0</v>
      </c>
      <c r="O1248" s="2" t="str">
        <f>'Converted Diagram'!$L$2476</f>
        <v>Increase Overall Convenience</v>
      </c>
      <c r="P1248" s="2" t="b">
        <v>0</v>
      </c>
    </row>
    <row r="1249" spans="1:16" x14ac:dyDescent="0.3">
      <c r="A1249" s="2" t="e">
        <f>'Converted Diagram'!$M$2479</f>
        <v>#VALUE!</v>
      </c>
      <c r="B1249" s="1" t="s">
        <v>219</v>
      </c>
      <c r="C1249" s="2">
        <v>0</v>
      </c>
      <c r="I1249" s="2" t="e">
        <v>#VALUE!</v>
      </c>
      <c r="J1249" s="2">
        <f>'Converted Diagram'!$L$2479</f>
        <v>0</v>
      </c>
      <c r="K1249" s="2" t="e">
        <f>'Converted Diagram'!$L$2478</f>
        <v>#VALUE!</v>
      </c>
      <c r="L1249" s="2" t="s">
        <v>1457</v>
      </c>
      <c r="M1249" s="2">
        <v>0</v>
      </c>
      <c r="P1249" s="2" t="b">
        <v>0</v>
      </c>
    </row>
    <row r="1250" spans="1:16" x14ac:dyDescent="0.3">
      <c r="A1250" s="2" t="e">
        <f>'Converted Diagram'!$F$2481</f>
        <v>#VALUE!</v>
      </c>
      <c r="B1250" s="1" t="s">
        <v>32</v>
      </c>
      <c r="C1250" s="2">
        <v>0</v>
      </c>
      <c r="I1250" s="2" t="s">
        <v>217</v>
      </c>
      <c r="J1250" s="2">
        <f>'Converted Diagram'!$E$2481</f>
        <v>0</v>
      </c>
      <c r="K1250" s="2" t="e">
        <f>'Converted Diagram'!$E$2480</f>
        <v>#VALUE!</v>
      </c>
      <c r="L1250" s="2" t="s">
        <v>1458</v>
      </c>
      <c r="M1250" s="2">
        <v>0</v>
      </c>
      <c r="O1250" s="2" t="str">
        <f>'Converted Diagram'!$F$2480</f>
        <v>Utilities</v>
      </c>
      <c r="P1250" s="2" t="b">
        <v>0</v>
      </c>
    </row>
    <row r="1251" spans="1:16" x14ac:dyDescent="0.3">
      <c r="A1251" s="2" t="e">
        <f>'Converted Diagram'!$J$2483</f>
        <v>#VALUE!</v>
      </c>
      <c r="B1251" s="1" t="s">
        <v>31</v>
      </c>
      <c r="C1251" s="2">
        <v>0</v>
      </c>
      <c r="I1251" s="2" t="s">
        <v>217</v>
      </c>
      <c r="J1251" s="2">
        <f>'Converted Diagram'!$I$2483</f>
        <v>0</v>
      </c>
      <c r="K1251" s="2" t="e">
        <f>'Converted Diagram'!$I$2482</f>
        <v>#VALUE!</v>
      </c>
      <c r="L1251" s="2" t="s">
        <v>1459</v>
      </c>
      <c r="M1251" s="2">
        <v>0</v>
      </c>
      <c r="O1251" s="2" t="str">
        <f>'Converted Diagram'!$J$2482</f>
        <v>Reduce Commute Time</v>
      </c>
      <c r="P1251" s="2" t="b">
        <v>0</v>
      </c>
    </row>
    <row r="1252" spans="1:16" x14ac:dyDescent="0.3">
      <c r="A1252" s="2" t="e">
        <f>'Converted Diagram'!$K$2485</f>
        <v>#VALUE!</v>
      </c>
      <c r="B1252" s="1" t="s">
        <v>219</v>
      </c>
      <c r="C1252" s="2">
        <v>0</v>
      </c>
      <c r="I1252" s="2" t="s">
        <v>217</v>
      </c>
      <c r="J1252" s="2">
        <f>'Converted Diagram'!$J$2485</f>
        <v>0</v>
      </c>
      <c r="K1252" s="2" t="e">
        <f>'Converted Diagram'!$J$2484</f>
        <v>#VALUE!</v>
      </c>
      <c r="L1252" s="2" t="s">
        <v>1460</v>
      </c>
      <c r="M1252" s="2">
        <v>0</v>
      </c>
      <c r="O1252" s="2" t="str">
        <f>'Converted Diagram'!$K$2484</f>
        <v>Reduce overall rent</v>
      </c>
      <c r="P1252" s="2" t="b">
        <v>0</v>
      </c>
    </row>
    <row r="1253" spans="1:16" x14ac:dyDescent="0.3">
      <c r="A1253" s="2" t="e">
        <f>'Converted Diagram'!$L$2487</f>
        <v>#VALUE!</v>
      </c>
      <c r="B1253" s="1" t="s">
        <v>219</v>
      </c>
      <c r="C1253" s="2">
        <v>0</v>
      </c>
      <c r="I1253" s="2" t="s">
        <v>217</v>
      </c>
      <c r="J1253" s="2">
        <f>'Converted Diagram'!$K$2487</f>
        <v>0</v>
      </c>
      <c r="K1253" s="2" t="e">
        <f>'Converted Diagram'!$K$2486</f>
        <v>#VALUE!</v>
      </c>
      <c r="L1253" s="2" t="s">
        <v>1461</v>
      </c>
      <c r="M1253" s="2">
        <v>0</v>
      </c>
      <c r="O1253" s="2" t="str">
        <f>'Converted Diagram'!$L$2486</f>
        <v>Increase Overall Convenience</v>
      </c>
      <c r="P1253" s="2" t="b">
        <v>0</v>
      </c>
    </row>
    <row r="1254" spans="1:16" x14ac:dyDescent="0.3">
      <c r="A1254" s="2" t="e">
        <f>'Converted Diagram'!$M$2489</f>
        <v>#VALUE!</v>
      </c>
      <c r="B1254" s="1" t="s">
        <v>219</v>
      </c>
      <c r="C1254" s="2">
        <v>0</v>
      </c>
      <c r="I1254" s="2" t="e">
        <v>#VALUE!</v>
      </c>
      <c r="J1254" s="2">
        <f>'Converted Diagram'!$L$2489</f>
        <v>0</v>
      </c>
      <c r="K1254" s="2" t="e">
        <f>'Converted Diagram'!$L$2488</f>
        <v>#VALUE!</v>
      </c>
      <c r="L1254" s="2" t="s">
        <v>1462</v>
      </c>
      <c r="M1254" s="2">
        <v>0</v>
      </c>
      <c r="P1254" s="2" t="b">
        <v>0</v>
      </c>
    </row>
    <row r="1255" spans="1:16" x14ac:dyDescent="0.3">
      <c r="A1255" s="2" t="e">
        <f>'Converted Diagram'!$I$2491</f>
        <v>#VALUE!</v>
      </c>
      <c r="B1255" s="1" t="s">
        <v>31</v>
      </c>
      <c r="C1255" s="2">
        <v>0</v>
      </c>
      <c r="I1255" s="2" t="s">
        <v>217</v>
      </c>
      <c r="J1255" s="2">
        <f>'Converted Diagram'!$H$2491</f>
        <v>0</v>
      </c>
      <c r="K1255" s="2" t="e">
        <f>'Converted Diagram'!$H$2490</f>
        <v>#VALUE!</v>
      </c>
      <c r="L1255" s="2" t="s">
        <v>1463</v>
      </c>
      <c r="M1255" s="2">
        <v>0</v>
      </c>
      <c r="O1255" s="2" t="str">
        <f>'Converted Diagram'!$I$2490</f>
        <v>Floor</v>
      </c>
      <c r="P1255" s="2" t="b">
        <v>0</v>
      </c>
    </row>
    <row r="1256" spans="1:16" x14ac:dyDescent="0.3">
      <c r="A1256" s="2" t="e">
        <f>'Converted Diagram'!$J$2493</f>
        <v>#VALUE!</v>
      </c>
      <c r="B1256" s="1" t="s">
        <v>32</v>
      </c>
      <c r="C1256" s="2">
        <v>0</v>
      </c>
      <c r="I1256" s="2" t="s">
        <v>217</v>
      </c>
      <c r="J1256" s="2">
        <f>'Converted Diagram'!$I$2493</f>
        <v>0</v>
      </c>
      <c r="K1256" s="2" t="e">
        <f>'Converted Diagram'!$I$2492</f>
        <v>#VALUE!</v>
      </c>
      <c r="L1256" s="2" t="s">
        <v>1464</v>
      </c>
      <c r="M1256" s="2">
        <v>0</v>
      </c>
      <c r="O1256" s="2" t="str">
        <f>'Converted Diagram'!$J$2492</f>
        <v>Reduce Commute Time</v>
      </c>
      <c r="P1256" s="2" t="b">
        <v>0</v>
      </c>
    </row>
    <row r="1257" spans="1:16" x14ac:dyDescent="0.3">
      <c r="A1257" s="2" t="e">
        <f>'Converted Diagram'!$K$2495</f>
        <v>#VALUE!</v>
      </c>
      <c r="B1257" s="1" t="s">
        <v>219</v>
      </c>
      <c r="C1257" s="2">
        <v>0</v>
      </c>
      <c r="I1257" s="2" t="s">
        <v>217</v>
      </c>
      <c r="J1257" s="2">
        <f>'Converted Diagram'!$J$2495</f>
        <v>0</v>
      </c>
      <c r="K1257" s="2" t="e">
        <f>'Converted Diagram'!$J$2494</f>
        <v>#VALUE!</v>
      </c>
      <c r="L1257" s="2" t="s">
        <v>1465</v>
      </c>
      <c r="M1257" s="2">
        <v>0</v>
      </c>
      <c r="O1257" s="2" t="str">
        <f>'Converted Diagram'!$K$2494</f>
        <v>Reduce overall rent</v>
      </c>
      <c r="P1257" s="2" t="b">
        <v>0</v>
      </c>
    </row>
    <row r="1258" spans="1:16" x14ac:dyDescent="0.3">
      <c r="A1258" s="2" t="e">
        <f>'Converted Diagram'!$L$2497</f>
        <v>#VALUE!</v>
      </c>
      <c r="B1258" s="1" t="s">
        <v>219</v>
      </c>
      <c r="C1258" s="2">
        <v>0</v>
      </c>
      <c r="I1258" s="2" t="s">
        <v>217</v>
      </c>
      <c r="J1258" s="2">
        <f>'Converted Diagram'!$K$2497</f>
        <v>0</v>
      </c>
      <c r="K1258" s="2" t="e">
        <f>'Converted Diagram'!$K$2496</f>
        <v>#VALUE!</v>
      </c>
      <c r="L1258" s="2" t="s">
        <v>1466</v>
      </c>
      <c r="M1258" s="2">
        <v>0</v>
      </c>
      <c r="O1258" s="2" t="str">
        <f>'Converted Diagram'!$L$2496</f>
        <v>Increase Overall Convenience</v>
      </c>
      <c r="P1258" s="2" t="b">
        <v>0</v>
      </c>
    </row>
    <row r="1259" spans="1:16" x14ac:dyDescent="0.3">
      <c r="A1259" s="2" t="e">
        <f>'Converted Diagram'!$M$2499</f>
        <v>#VALUE!</v>
      </c>
      <c r="B1259" s="1" t="s">
        <v>219</v>
      </c>
      <c r="C1259" s="2">
        <v>0</v>
      </c>
      <c r="I1259" s="2" t="e">
        <v>#VALUE!</v>
      </c>
      <c r="J1259" s="2">
        <f>'Converted Diagram'!$L$2499</f>
        <v>0</v>
      </c>
      <c r="K1259" s="2" t="e">
        <f>'Converted Diagram'!$L$2498</f>
        <v>#VALUE!</v>
      </c>
      <c r="L1259" s="2" t="s">
        <v>1467</v>
      </c>
      <c r="M1259" s="2">
        <v>0</v>
      </c>
      <c r="P1259" s="2" t="b">
        <v>0</v>
      </c>
    </row>
    <row r="1260" spans="1:16" x14ac:dyDescent="0.3">
      <c r="A1260" s="2" t="e">
        <f>'Converted Diagram'!$H$2501</f>
        <v>#VALUE!</v>
      </c>
      <c r="B1260" s="1" t="s">
        <v>31</v>
      </c>
      <c r="C1260" s="2">
        <v>0</v>
      </c>
      <c r="I1260" s="2" t="s">
        <v>217</v>
      </c>
      <c r="J1260" s="2">
        <f>'Converted Diagram'!$G$2501</f>
        <v>0</v>
      </c>
      <c r="K1260" s="2" t="e">
        <f>'Converted Diagram'!$G$2500</f>
        <v>#VALUE!</v>
      </c>
      <c r="L1260" s="2" t="s">
        <v>1468</v>
      </c>
      <c r="M1260" s="2">
        <v>0</v>
      </c>
      <c r="O1260" s="2" t="str">
        <f>'Converted Diagram'!$H$2500</f>
        <v>Wi-Fi &amp; Cable Ready</v>
      </c>
      <c r="P1260" s="2" t="b">
        <v>0</v>
      </c>
    </row>
    <row r="1261" spans="1:16" x14ac:dyDescent="0.3">
      <c r="A1261" s="2" t="e">
        <f>'Converted Diagram'!$J$2503</f>
        <v>#VALUE!</v>
      </c>
      <c r="B1261" s="1" t="s">
        <v>31</v>
      </c>
      <c r="C1261" s="2">
        <v>0</v>
      </c>
      <c r="I1261" s="2" t="s">
        <v>217</v>
      </c>
      <c r="J1261" s="2">
        <f>'Converted Diagram'!$I$2503</f>
        <v>0</v>
      </c>
      <c r="K1261" s="2" t="e">
        <f>'Converted Diagram'!$I$2502</f>
        <v>#VALUE!</v>
      </c>
      <c r="L1261" s="2" t="s">
        <v>1469</v>
      </c>
      <c r="M1261" s="2">
        <v>0</v>
      </c>
      <c r="O1261" s="2" t="str">
        <f>'Converted Diagram'!$J$2502</f>
        <v>Reduce Commute Time</v>
      </c>
      <c r="P1261" s="2" t="b">
        <v>0</v>
      </c>
    </row>
    <row r="1262" spans="1:16" x14ac:dyDescent="0.3">
      <c r="A1262" s="2" t="e">
        <f>'Converted Diagram'!$K$2505</f>
        <v>#VALUE!</v>
      </c>
      <c r="B1262" s="1" t="s">
        <v>219</v>
      </c>
      <c r="C1262" s="2">
        <v>0</v>
      </c>
      <c r="I1262" s="2" t="s">
        <v>217</v>
      </c>
      <c r="J1262" s="2">
        <f>'Converted Diagram'!$J$2505</f>
        <v>0</v>
      </c>
      <c r="K1262" s="2" t="e">
        <f>'Converted Diagram'!$J$2504</f>
        <v>#VALUE!</v>
      </c>
      <c r="L1262" s="2" t="s">
        <v>1470</v>
      </c>
      <c r="M1262" s="2">
        <v>0</v>
      </c>
      <c r="O1262" s="2" t="str">
        <f>'Converted Diagram'!$K$2504</f>
        <v>Reduce overall rent</v>
      </c>
      <c r="P1262" s="2" t="b">
        <v>0</v>
      </c>
    </row>
    <row r="1263" spans="1:16" x14ac:dyDescent="0.3">
      <c r="A1263" s="2" t="e">
        <f>'Converted Diagram'!$L$2507</f>
        <v>#VALUE!</v>
      </c>
      <c r="B1263" s="1" t="s">
        <v>219</v>
      </c>
      <c r="C1263" s="2">
        <v>0</v>
      </c>
      <c r="I1263" s="2" t="s">
        <v>217</v>
      </c>
      <c r="J1263" s="2">
        <f>'Converted Diagram'!$K$2507</f>
        <v>0</v>
      </c>
      <c r="K1263" s="2" t="e">
        <f>'Converted Diagram'!$K$2506</f>
        <v>#VALUE!</v>
      </c>
      <c r="L1263" s="2" t="s">
        <v>1471</v>
      </c>
      <c r="M1263" s="2">
        <v>0</v>
      </c>
      <c r="O1263" s="2" t="str">
        <f>'Converted Diagram'!$L$2506</f>
        <v>Increase Overall Convenience</v>
      </c>
      <c r="P1263" s="2" t="b">
        <v>0</v>
      </c>
    </row>
    <row r="1264" spans="1:16" x14ac:dyDescent="0.3">
      <c r="A1264" s="2" t="e">
        <f>'Converted Diagram'!$M$2509</f>
        <v>#VALUE!</v>
      </c>
      <c r="B1264" s="1" t="s">
        <v>219</v>
      </c>
      <c r="C1264" s="2">
        <v>0</v>
      </c>
      <c r="I1264" s="2" t="e">
        <v>#VALUE!</v>
      </c>
      <c r="J1264" s="2">
        <f>'Converted Diagram'!$L$2509</f>
        <v>0</v>
      </c>
      <c r="K1264" s="2" t="e">
        <f>'Converted Diagram'!$L$2508</f>
        <v>#VALUE!</v>
      </c>
      <c r="L1264" s="2" t="s">
        <v>1472</v>
      </c>
      <c r="M1264" s="2">
        <v>0</v>
      </c>
      <c r="P1264" s="2" t="b">
        <v>0</v>
      </c>
    </row>
    <row r="1265" spans="1:16" x14ac:dyDescent="0.3">
      <c r="A1265" s="2" t="e">
        <f>'Converted Diagram'!$I$2511</f>
        <v>#VALUE!</v>
      </c>
      <c r="B1265" s="1" t="s">
        <v>32</v>
      </c>
      <c r="C1265" s="2">
        <v>0</v>
      </c>
      <c r="I1265" s="2" t="s">
        <v>217</v>
      </c>
      <c r="J1265" s="2">
        <f>'Converted Diagram'!$H$2511</f>
        <v>0</v>
      </c>
      <c r="K1265" s="2" t="e">
        <f>'Converted Diagram'!$H$2510</f>
        <v>#VALUE!</v>
      </c>
      <c r="L1265" s="2" t="s">
        <v>1473</v>
      </c>
      <c r="M1265" s="2">
        <v>0</v>
      </c>
      <c r="O1265" s="2" t="str">
        <f>'Converted Diagram'!$I$2510</f>
        <v>Floor</v>
      </c>
      <c r="P1265" s="2" t="b">
        <v>0</v>
      </c>
    </row>
    <row r="1266" spans="1:16" x14ac:dyDescent="0.3">
      <c r="A1266" s="2" t="e">
        <f>'Converted Diagram'!$J$2513</f>
        <v>#VALUE!</v>
      </c>
      <c r="B1266" s="1" t="s">
        <v>32</v>
      </c>
      <c r="C1266" s="2">
        <v>0</v>
      </c>
      <c r="I1266" s="2" t="s">
        <v>217</v>
      </c>
      <c r="J1266" s="2">
        <f>'Converted Diagram'!$I$2513</f>
        <v>0</v>
      </c>
      <c r="K1266" s="2" t="e">
        <f>'Converted Diagram'!$I$2512</f>
        <v>#VALUE!</v>
      </c>
      <c r="L1266" s="2" t="s">
        <v>1474</v>
      </c>
      <c r="M1266" s="2">
        <v>0</v>
      </c>
      <c r="O1266" s="2" t="str">
        <f>'Converted Diagram'!$J$2512</f>
        <v>Reduce Commute Time</v>
      </c>
      <c r="P1266" s="2" t="b">
        <v>0</v>
      </c>
    </row>
    <row r="1267" spans="1:16" x14ac:dyDescent="0.3">
      <c r="A1267" s="2" t="e">
        <f>'Converted Diagram'!$K$2515</f>
        <v>#VALUE!</v>
      </c>
      <c r="B1267" s="1" t="s">
        <v>219</v>
      </c>
      <c r="C1267" s="2">
        <v>0</v>
      </c>
      <c r="I1267" s="2" t="s">
        <v>217</v>
      </c>
      <c r="J1267" s="2">
        <f>'Converted Diagram'!$J$2515</f>
        <v>0</v>
      </c>
      <c r="K1267" s="2" t="e">
        <f>'Converted Diagram'!$J$2514</f>
        <v>#VALUE!</v>
      </c>
      <c r="L1267" s="2" t="s">
        <v>1475</v>
      </c>
      <c r="M1267" s="2">
        <v>0</v>
      </c>
      <c r="O1267" s="2" t="str">
        <f>'Converted Diagram'!$K$2514</f>
        <v>Reduce overall rent</v>
      </c>
      <c r="P1267" s="2" t="b">
        <v>0</v>
      </c>
    </row>
    <row r="1268" spans="1:16" x14ac:dyDescent="0.3">
      <c r="A1268" s="2" t="e">
        <f>'Converted Diagram'!$L$2517</f>
        <v>#VALUE!</v>
      </c>
      <c r="B1268" s="1" t="s">
        <v>219</v>
      </c>
      <c r="C1268" s="2">
        <v>0</v>
      </c>
      <c r="I1268" s="2" t="s">
        <v>217</v>
      </c>
      <c r="J1268" s="2">
        <f>'Converted Diagram'!$K$2517</f>
        <v>0</v>
      </c>
      <c r="K1268" s="2" t="e">
        <f>'Converted Diagram'!$K$2516</f>
        <v>#VALUE!</v>
      </c>
      <c r="L1268" s="2" t="s">
        <v>1476</v>
      </c>
      <c r="M1268" s="2">
        <v>0</v>
      </c>
      <c r="O1268" s="2" t="str">
        <f>'Converted Diagram'!$L$2516</f>
        <v>Increase Overall Convenience</v>
      </c>
      <c r="P1268" s="2" t="b">
        <v>0</v>
      </c>
    </row>
    <row r="1269" spans="1:16" x14ac:dyDescent="0.3">
      <c r="A1269" s="2" t="e">
        <f>'Converted Diagram'!$M$2519</f>
        <v>#VALUE!</v>
      </c>
      <c r="B1269" s="1" t="s">
        <v>219</v>
      </c>
      <c r="C1269" s="2">
        <v>0</v>
      </c>
      <c r="I1269" s="2" t="e">
        <v>#VALUE!</v>
      </c>
      <c r="J1269" s="2">
        <f>'Converted Diagram'!$L$2519</f>
        <v>0</v>
      </c>
      <c r="K1269" s="2" t="e">
        <f>'Converted Diagram'!$L$2518</f>
        <v>#VALUE!</v>
      </c>
      <c r="L1269" s="2" t="s">
        <v>1477</v>
      </c>
      <c r="M1269" s="2">
        <v>0</v>
      </c>
      <c r="P1269" s="2" t="b">
        <v>0</v>
      </c>
    </row>
    <row r="1270" spans="1:16" x14ac:dyDescent="0.3">
      <c r="A1270" s="2" t="e">
        <f>'Converted Diagram'!$G$2521</f>
        <v>#VALUE!</v>
      </c>
      <c r="B1270" s="1" t="s">
        <v>32</v>
      </c>
      <c r="C1270" s="2">
        <v>0</v>
      </c>
      <c r="I1270" s="2" t="s">
        <v>217</v>
      </c>
      <c r="J1270" s="2">
        <f>'Converted Diagram'!$F$2521</f>
        <v>0</v>
      </c>
      <c r="K1270" s="2" t="e">
        <f>'Converted Diagram'!$F$2520</f>
        <v>#VALUE!</v>
      </c>
      <c r="L1270" s="2" t="s">
        <v>1478</v>
      </c>
      <c r="M1270" s="2">
        <v>0</v>
      </c>
      <c r="O1270" s="2" t="str">
        <f>'Converted Diagram'!$G$2520</f>
        <v>Grocery Store</v>
      </c>
      <c r="P1270" s="2" t="b">
        <v>0</v>
      </c>
    </row>
    <row r="1271" spans="1:16" x14ac:dyDescent="0.3">
      <c r="A1271" s="2" t="e">
        <f>'Converted Diagram'!$J$2523</f>
        <v>#VALUE!</v>
      </c>
      <c r="B1271" s="1" t="s">
        <v>31</v>
      </c>
      <c r="C1271" s="2">
        <v>0</v>
      </c>
      <c r="I1271" s="2" t="s">
        <v>217</v>
      </c>
      <c r="J1271" s="2">
        <f>'Converted Diagram'!$I$2523</f>
        <v>0</v>
      </c>
      <c r="K1271" s="2" t="e">
        <f>'Converted Diagram'!$I$2522</f>
        <v>#VALUE!</v>
      </c>
      <c r="L1271" s="2" t="s">
        <v>1479</v>
      </c>
      <c r="M1271" s="2">
        <v>0</v>
      </c>
      <c r="O1271" s="2" t="str">
        <f>'Converted Diagram'!$J$2522</f>
        <v>Reduce Commute Time</v>
      </c>
      <c r="P1271" s="2" t="b">
        <v>0</v>
      </c>
    </row>
    <row r="1272" spans="1:16" x14ac:dyDescent="0.3">
      <c r="A1272" s="2" t="e">
        <f>'Converted Diagram'!$K$2525</f>
        <v>#VALUE!</v>
      </c>
      <c r="B1272" s="1" t="s">
        <v>219</v>
      </c>
      <c r="C1272" s="2">
        <v>0</v>
      </c>
      <c r="I1272" s="2" t="s">
        <v>217</v>
      </c>
      <c r="J1272" s="2">
        <f>'Converted Diagram'!$J$2525</f>
        <v>0</v>
      </c>
      <c r="K1272" s="2" t="e">
        <f>'Converted Diagram'!$J$2524</f>
        <v>#VALUE!</v>
      </c>
      <c r="L1272" s="2" t="s">
        <v>1480</v>
      </c>
      <c r="M1272" s="2">
        <v>0</v>
      </c>
      <c r="O1272" s="2" t="str">
        <f>'Converted Diagram'!$K$2524</f>
        <v>Reduce overall rent</v>
      </c>
      <c r="P1272" s="2" t="b">
        <v>0</v>
      </c>
    </row>
    <row r="1273" spans="1:16" x14ac:dyDescent="0.3">
      <c r="A1273" s="2" t="e">
        <f>'Converted Diagram'!$L$2527</f>
        <v>#VALUE!</v>
      </c>
      <c r="B1273" s="1" t="s">
        <v>219</v>
      </c>
      <c r="C1273" s="2">
        <v>0</v>
      </c>
      <c r="I1273" s="2" t="s">
        <v>217</v>
      </c>
      <c r="J1273" s="2">
        <f>'Converted Diagram'!$K$2527</f>
        <v>0</v>
      </c>
      <c r="K1273" s="2" t="e">
        <f>'Converted Diagram'!$K$2526</f>
        <v>#VALUE!</v>
      </c>
      <c r="L1273" s="2" t="s">
        <v>1481</v>
      </c>
      <c r="M1273" s="2">
        <v>0</v>
      </c>
      <c r="O1273" s="2" t="str">
        <f>'Converted Diagram'!$L$2526</f>
        <v>Increase Overall Convenience</v>
      </c>
      <c r="P1273" s="2" t="b">
        <v>0</v>
      </c>
    </row>
    <row r="1274" spans="1:16" x14ac:dyDescent="0.3">
      <c r="A1274" s="2" t="e">
        <f>'Converted Diagram'!$M$2529</f>
        <v>#VALUE!</v>
      </c>
      <c r="B1274" s="1" t="s">
        <v>219</v>
      </c>
      <c r="C1274" s="2">
        <v>0</v>
      </c>
      <c r="I1274" s="2" t="e">
        <v>#VALUE!</v>
      </c>
      <c r="J1274" s="2">
        <f>'Converted Diagram'!$L$2529</f>
        <v>0</v>
      </c>
      <c r="K1274" s="2" t="e">
        <f>'Converted Diagram'!$L$2528</f>
        <v>#VALUE!</v>
      </c>
      <c r="L1274" s="2" t="s">
        <v>1482</v>
      </c>
      <c r="M1274" s="2">
        <v>0</v>
      </c>
      <c r="P1274" s="2" t="b">
        <v>0</v>
      </c>
    </row>
    <row r="1275" spans="1:16" x14ac:dyDescent="0.3">
      <c r="A1275" s="2" t="e">
        <f>'Converted Diagram'!$I$2531</f>
        <v>#VALUE!</v>
      </c>
      <c r="B1275" s="1" t="s">
        <v>31</v>
      </c>
      <c r="C1275" s="2">
        <v>0</v>
      </c>
      <c r="I1275" s="2" t="s">
        <v>217</v>
      </c>
      <c r="J1275" s="2">
        <f>'Converted Diagram'!$H$2531</f>
        <v>0</v>
      </c>
      <c r="K1275" s="2" t="e">
        <f>'Converted Diagram'!$H$2530</f>
        <v>#VALUE!</v>
      </c>
      <c r="L1275" s="2" t="s">
        <v>1483</v>
      </c>
      <c r="M1275" s="2">
        <v>0</v>
      </c>
      <c r="O1275" s="2" t="str">
        <f>'Converted Diagram'!$I$2530</f>
        <v>Floor</v>
      </c>
      <c r="P1275" s="2" t="b">
        <v>0</v>
      </c>
    </row>
    <row r="1276" spans="1:16" x14ac:dyDescent="0.3">
      <c r="A1276" s="2" t="e">
        <f>'Converted Diagram'!$J$2533</f>
        <v>#VALUE!</v>
      </c>
      <c r="B1276" s="1" t="s">
        <v>32</v>
      </c>
      <c r="C1276" s="2">
        <v>0</v>
      </c>
      <c r="I1276" s="2" t="s">
        <v>217</v>
      </c>
      <c r="J1276" s="2">
        <f>'Converted Diagram'!$I$2533</f>
        <v>0</v>
      </c>
      <c r="K1276" s="2" t="e">
        <f>'Converted Diagram'!$I$2532</f>
        <v>#VALUE!</v>
      </c>
      <c r="L1276" s="2" t="s">
        <v>1484</v>
      </c>
      <c r="M1276" s="2">
        <v>0</v>
      </c>
      <c r="O1276" s="2" t="str">
        <f>'Converted Diagram'!$J$2532</f>
        <v>Reduce Commute Time</v>
      </c>
      <c r="P1276" s="2" t="b">
        <v>0</v>
      </c>
    </row>
    <row r="1277" spans="1:16" x14ac:dyDescent="0.3">
      <c r="A1277" s="2" t="e">
        <f>'Converted Diagram'!$K$2535</f>
        <v>#VALUE!</v>
      </c>
      <c r="B1277" s="1" t="s">
        <v>219</v>
      </c>
      <c r="C1277" s="2">
        <v>0</v>
      </c>
      <c r="I1277" s="2" t="s">
        <v>217</v>
      </c>
      <c r="J1277" s="2">
        <f>'Converted Diagram'!$J$2535</f>
        <v>0</v>
      </c>
      <c r="K1277" s="2" t="e">
        <f>'Converted Diagram'!$J$2534</f>
        <v>#VALUE!</v>
      </c>
      <c r="L1277" s="2" t="s">
        <v>1485</v>
      </c>
      <c r="M1277" s="2">
        <v>0</v>
      </c>
      <c r="O1277" s="2" t="str">
        <f>'Converted Diagram'!$K$2534</f>
        <v>Reduce overall rent</v>
      </c>
      <c r="P1277" s="2" t="b">
        <v>0</v>
      </c>
    </row>
    <row r="1278" spans="1:16" x14ac:dyDescent="0.3">
      <c r="A1278" s="2" t="e">
        <f>'Converted Diagram'!$L$2537</f>
        <v>#VALUE!</v>
      </c>
      <c r="B1278" s="1" t="s">
        <v>219</v>
      </c>
      <c r="C1278" s="2">
        <v>0</v>
      </c>
      <c r="I1278" s="2" t="s">
        <v>217</v>
      </c>
      <c r="J1278" s="2">
        <f>'Converted Diagram'!$K$2537</f>
        <v>0</v>
      </c>
      <c r="K1278" s="2" t="e">
        <f>'Converted Diagram'!$K$2536</f>
        <v>#VALUE!</v>
      </c>
      <c r="L1278" s="2" t="s">
        <v>1486</v>
      </c>
      <c r="M1278" s="2">
        <v>0</v>
      </c>
      <c r="O1278" s="2" t="str">
        <f>'Converted Diagram'!$L$2536</f>
        <v>Increase Overall Convenience</v>
      </c>
      <c r="P1278" s="2" t="b">
        <v>0</v>
      </c>
    </row>
    <row r="1279" spans="1:16" x14ac:dyDescent="0.3">
      <c r="A1279" s="2" t="e">
        <f>'Converted Diagram'!$M$2539</f>
        <v>#VALUE!</v>
      </c>
      <c r="B1279" s="1" t="s">
        <v>219</v>
      </c>
      <c r="C1279" s="2">
        <v>0</v>
      </c>
      <c r="I1279" s="2" t="e">
        <v>#VALUE!</v>
      </c>
      <c r="J1279" s="2">
        <f>'Converted Diagram'!$L$2539</f>
        <v>0</v>
      </c>
      <c r="K1279" s="2" t="e">
        <f>'Converted Diagram'!$L$2538</f>
        <v>#VALUE!</v>
      </c>
      <c r="L1279" s="2" t="s">
        <v>1487</v>
      </c>
      <c r="M1279" s="2">
        <v>0</v>
      </c>
      <c r="P1279" s="2" t="b">
        <v>0</v>
      </c>
    </row>
    <row r="1280" spans="1:16" x14ac:dyDescent="0.3">
      <c r="A1280" s="2" t="e">
        <f>'Converted Diagram'!$H$2541</f>
        <v>#VALUE!</v>
      </c>
      <c r="B1280" s="1" t="s">
        <v>32</v>
      </c>
      <c r="C1280" s="2">
        <v>0</v>
      </c>
      <c r="I1280" s="2" t="s">
        <v>217</v>
      </c>
      <c r="J1280" s="2">
        <f>'Converted Diagram'!$G$2541</f>
        <v>0</v>
      </c>
      <c r="K1280" s="2" t="e">
        <f>'Converted Diagram'!$G$2540</f>
        <v>#VALUE!</v>
      </c>
      <c r="L1280" s="2" t="s">
        <v>1488</v>
      </c>
      <c r="M1280" s="2">
        <v>0</v>
      </c>
      <c r="O1280" s="2" t="str">
        <f>'Converted Diagram'!$H$2540</f>
        <v>Wi-Fi &amp; Cable Ready</v>
      </c>
      <c r="P1280" s="2" t="b">
        <v>0</v>
      </c>
    </row>
    <row r="1281" spans="1:16" x14ac:dyDescent="0.3">
      <c r="A1281" s="2" t="e">
        <f>'Converted Diagram'!$J$2543</f>
        <v>#VALUE!</v>
      </c>
      <c r="B1281" s="1" t="s">
        <v>31</v>
      </c>
      <c r="C1281" s="2">
        <v>0</v>
      </c>
      <c r="I1281" s="2" t="s">
        <v>217</v>
      </c>
      <c r="J1281" s="2">
        <f>'Converted Diagram'!$I$2543</f>
        <v>0</v>
      </c>
      <c r="K1281" s="2" t="e">
        <f>'Converted Diagram'!$I$2542</f>
        <v>#VALUE!</v>
      </c>
      <c r="L1281" s="2" t="s">
        <v>1489</v>
      </c>
      <c r="M1281" s="2">
        <v>0</v>
      </c>
      <c r="O1281" s="2" t="str">
        <f>'Converted Diagram'!$J$2542</f>
        <v>Reduce Commute Time</v>
      </c>
      <c r="P1281" s="2" t="b">
        <v>0</v>
      </c>
    </row>
    <row r="1282" spans="1:16" x14ac:dyDescent="0.3">
      <c r="A1282" s="2" t="e">
        <f>'Converted Diagram'!$K$2545</f>
        <v>#VALUE!</v>
      </c>
      <c r="B1282" s="1" t="s">
        <v>219</v>
      </c>
      <c r="C1282" s="2">
        <v>0</v>
      </c>
      <c r="I1282" s="2" t="s">
        <v>217</v>
      </c>
      <c r="J1282" s="2">
        <f>'Converted Diagram'!$J$2545</f>
        <v>0</v>
      </c>
      <c r="K1282" s="2" t="e">
        <f>'Converted Diagram'!$J$2544</f>
        <v>#VALUE!</v>
      </c>
      <c r="L1282" s="2" t="s">
        <v>1490</v>
      </c>
      <c r="M1282" s="2">
        <v>0</v>
      </c>
      <c r="O1282" s="2" t="str">
        <f>'Converted Diagram'!$K$2544</f>
        <v>Reduce overall rent</v>
      </c>
      <c r="P1282" s="2" t="b">
        <v>0</v>
      </c>
    </row>
    <row r="1283" spans="1:16" x14ac:dyDescent="0.3">
      <c r="A1283" s="2" t="e">
        <f>'Converted Diagram'!$L$2547</f>
        <v>#VALUE!</v>
      </c>
      <c r="B1283" s="1" t="s">
        <v>219</v>
      </c>
      <c r="C1283" s="2">
        <v>0</v>
      </c>
      <c r="I1283" s="2" t="s">
        <v>217</v>
      </c>
      <c r="J1283" s="2">
        <f>'Converted Diagram'!$K$2547</f>
        <v>0</v>
      </c>
      <c r="K1283" s="2" t="e">
        <f>'Converted Diagram'!$K$2546</f>
        <v>#VALUE!</v>
      </c>
      <c r="L1283" s="2" t="s">
        <v>1491</v>
      </c>
      <c r="M1283" s="2">
        <v>0</v>
      </c>
      <c r="O1283" s="2" t="str">
        <f>'Converted Diagram'!$L$2546</f>
        <v>Increase Overall Convenience</v>
      </c>
      <c r="P1283" s="2" t="b">
        <v>0</v>
      </c>
    </row>
    <row r="1284" spans="1:16" x14ac:dyDescent="0.3">
      <c r="A1284" s="2" t="e">
        <f>'Converted Diagram'!$M$2549</f>
        <v>#VALUE!</v>
      </c>
      <c r="B1284" s="1" t="s">
        <v>219</v>
      </c>
      <c r="C1284" s="2">
        <v>0</v>
      </c>
      <c r="I1284" s="2" t="e">
        <v>#VALUE!</v>
      </c>
      <c r="J1284" s="2">
        <f>'Converted Diagram'!$L$2549</f>
        <v>0</v>
      </c>
      <c r="K1284" s="2" t="e">
        <f>'Converted Diagram'!$L$2548</f>
        <v>#VALUE!</v>
      </c>
      <c r="L1284" s="2" t="s">
        <v>1492</v>
      </c>
      <c r="M1284" s="2">
        <v>0</v>
      </c>
      <c r="P1284" s="2" t="b">
        <v>0</v>
      </c>
    </row>
    <row r="1285" spans="1:16" x14ac:dyDescent="0.3">
      <c r="A1285" s="2" t="e">
        <f>'Converted Diagram'!$I$2551</f>
        <v>#VALUE!</v>
      </c>
      <c r="B1285" s="1" t="s">
        <v>32</v>
      </c>
      <c r="C1285" s="2">
        <v>0</v>
      </c>
      <c r="I1285" s="2" t="s">
        <v>217</v>
      </c>
      <c r="J1285" s="2">
        <f>'Converted Diagram'!$H$2551</f>
        <v>0</v>
      </c>
      <c r="K1285" s="2" t="e">
        <f>'Converted Diagram'!$H$2550</f>
        <v>#VALUE!</v>
      </c>
      <c r="L1285" s="2" t="s">
        <v>1493</v>
      </c>
      <c r="M1285" s="2">
        <v>0</v>
      </c>
      <c r="O1285" s="2" t="str">
        <f>'Converted Diagram'!$I$2550</f>
        <v>Floor</v>
      </c>
      <c r="P1285" s="2" t="b">
        <v>0</v>
      </c>
    </row>
    <row r="1286" spans="1:16" x14ac:dyDescent="0.3">
      <c r="A1286" s="2" t="e">
        <f>'Converted Diagram'!$J$2553</f>
        <v>#VALUE!</v>
      </c>
      <c r="B1286" s="1" t="s">
        <v>32</v>
      </c>
      <c r="C1286" s="2">
        <v>0</v>
      </c>
      <c r="I1286" s="2" t="s">
        <v>217</v>
      </c>
      <c r="J1286" s="2">
        <f>'Converted Diagram'!$I$2553</f>
        <v>0</v>
      </c>
      <c r="K1286" s="2" t="e">
        <f>'Converted Diagram'!$I$2552</f>
        <v>#VALUE!</v>
      </c>
      <c r="L1286" s="2" t="s">
        <v>1494</v>
      </c>
      <c r="M1286" s="2">
        <v>0</v>
      </c>
      <c r="O1286" s="2" t="str">
        <f>'Converted Diagram'!$J$2552</f>
        <v>Reduce Commute Time</v>
      </c>
      <c r="P1286" s="2" t="b">
        <v>0</v>
      </c>
    </row>
    <row r="1287" spans="1:16" x14ac:dyDescent="0.3">
      <c r="A1287" s="2" t="e">
        <f>'Converted Diagram'!$K$2555</f>
        <v>#VALUE!</v>
      </c>
      <c r="B1287" s="1" t="s">
        <v>219</v>
      </c>
      <c r="C1287" s="2">
        <v>0</v>
      </c>
      <c r="I1287" s="2" t="s">
        <v>217</v>
      </c>
      <c r="J1287" s="2">
        <f>'Converted Diagram'!$J$2555</f>
        <v>0</v>
      </c>
      <c r="K1287" s="2" t="e">
        <f>'Converted Diagram'!$J$2554</f>
        <v>#VALUE!</v>
      </c>
      <c r="L1287" s="2" t="s">
        <v>1495</v>
      </c>
      <c r="M1287" s="2">
        <v>0</v>
      </c>
      <c r="O1287" s="2" t="str">
        <f>'Converted Diagram'!$K$2554</f>
        <v>Reduce overall rent</v>
      </c>
      <c r="P1287" s="2" t="b">
        <v>0</v>
      </c>
    </row>
    <row r="1288" spans="1:16" x14ac:dyDescent="0.3">
      <c r="A1288" s="2" t="e">
        <f>'Converted Diagram'!$L$2557</f>
        <v>#VALUE!</v>
      </c>
      <c r="B1288" s="1" t="s">
        <v>219</v>
      </c>
      <c r="C1288" s="2">
        <v>0</v>
      </c>
      <c r="I1288" s="2" t="s">
        <v>217</v>
      </c>
      <c r="J1288" s="2">
        <f>'Converted Diagram'!$K$2557</f>
        <v>0</v>
      </c>
      <c r="K1288" s="2" t="e">
        <f>'Converted Diagram'!$K$2556</f>
        <v>#VALUE!</v>
      </c>
      <c r="L1288" s="2" t="s">
        <v>1496</v>
      </c>
      <c r="M1288" s="2">
        <v>0</v>
      </c>
      <c r="O1288" s="2" t="str">
        <f>'Converted Diagram'!$L$2556</f>
        <v>Increase Overall Convenience</v>
      </c>
      <c r="P1288" s="2" t="b">
        <v>0</v>
      </c>
    </row>
    <row r="1289" spans="1:16" x14ac:dyDescent="0.3">
      <c r="A1289" s="2" t="e">
        <f>'Converted Diagram'!$M$2559</f>
        <v>#VALUE!</v>
      </c>
      <c r="B1289" s="1" t="s">
        <v>219</v>
      </c>
      <c r="C1289" s="2">
        <v>0</v>
      </c>
      <c r="I1289" s="2" t="e">
        <v>#VALUE!</v>
      </c>
      <c r="J1289" s="2">
        <f>'Converted Diagram'!$L$2559</f>
        <v>0</v>
      </c>
      <c r="K1289" s="2" t="e">
        <f>'Converted Diagram'!$L$2558</f>
        <v>#VALUE!</v>
      </c>
      <c r="L1289" s="2" t="s">
        <v>1497</v>
      </c>
      <c r="M1289" s="2">
        <v>0</v>
      </c>
      <c r="P1289" s="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677E-CF80-4191-9BCA-2600E06D6F16}">
  <dimension ref="A1:L46"/>
  <sheetViews>
    <sheetView workbookViewId="0"/>
  </sheetViews>
  <sheetFormatPr defaultColWidth="15.5546875" defaultRowHeight="14.4" x14ac:dyDescent="0.3"/>
  <cols>
    <col min="1" max="16384" width="15.5546875" style="2"/>
  </cols>
  <sheetData>
    <row r="1" spans="1:12" x14ac:dyDescent="0.3">
      <c r="A1" s="2" t="s">
        <v>0</v>
      </c>
      <c r="B1" s="1" t="s">
        <v>176</v>
      </c>
      <c r="E1" s="2" t="s">
        <v>3</v>
      </c>
      <c r="F1" s="2">
        <v>3</v>
      </c>
      <c r="H1" s="2" t="s">
        <v>9</v>
      </c>
      <c r="I1" s="1" t="s">
        <v>19</v>
      </c>
      <c r="K1" s="2" t="s">
        <v>14</v>
      </c>
      <c r="L1" s="2">
        <v>100</v>
      </c>
    </row>
    <row r="2" spans="1:12" x14ac:dyDescent="0.3">
      <c r="A2" s="2" t="s">
        <v>1</v>
      </c>
      <c r="B2" s="2" t="e">
        <f>Sheet5!#REF!</f>
        <v>#REF!</v>
      </c>
      <c r="E2" s="2" t="s">
        <v>4</v>
      </c>
      <c r="F2" s="2">
        <f t="array" ref="F2:J2">_xll.PTreeInflEvaluate5($B$3,$L$1,SUM($7:$16384))</f>
        <v>180702</v>
      </c>
      <c r="G2" s="2" t="e">
        <v>#N/A</v>
      </c>
      <c r="H2" s="2" t="e">
        <v>#N/A</v>
      </c>
      <c r="I2" s="2" t="e">
        <v>#N/A</v>
      </c>
      <c r="J2" s="2" t="e">
        <v>#N/A</v>
      </c>
    </row>
    <row r="3" spans="1:12" x14ac:dyDescent="0.3">
      <c r="A3" s="2" t="s">
        <v>2</v>
      </c>
      <c r="B3" s="2" t="s">
        <v>62</v>
      </c>
      <c r="E3" s="2" t="s">
        <v>5</v>
      </c>
      <c r="F3" s="1" t="s">
        <v>15</v>
      </c>
      <c r="H3" s="2" t="s">
        <v>10</v>
      </c>
      <c r="I3" s="3" t="s">
        <v>17</v>
      </c>
    </row>
    <row r="4" spans="1:12" x14ac:dyDescent="0.3">
      <c r="E4" s="2" t="s">
        <v>6</v>
      </c>
      <c r="F4" s="1" t="s">
        <v>16</v>
      </c>
      <c r="H4" s="2" t="s">
        <v>11</v>
      </c>
      <c r="I4" s="1" t="s">
        <v>18</v>
      </c>
    </row>
    <row r="5" spans="1:12" x14ac:dyDescent="0.3">
      <c r="A5" s="2" t="s">
        <v>22</v>
      </c>
      <c r="B5" s="2">
        <v>1</v>
      </c>
      <c r="E5" s="2" t="s">
        <v>7</v>
      </c>
      <c r="F5" s="1" t="s">
        <v>16</v>
      </c>
      <c r="H5" s="2" t="s">
        <v>12</v>
      </c>
      <c r="I5" s="3" t="s">
        <v>17</v>
      </c>
    </row>
    <row r="6" spans="1:12" x14ac:dyDescent="0.3">
      <c r="E6" s="2" t="s">
        <v>8</v>
      </c>
      <c r="F6" s="1" t="s">
        <v>15</v>
      </c>
      <c r="H6" s="2" t="s">
        <v>13</v>
      </c>
      <c r="I6" s="1" t="s">
        <v>18</v>
      </c>
    </row>
    <row r="7" spans="1:12" x14ac:dyDescent="0.3">
      <c r="A7" s="2" t="s">
        <v>23</v>
      </c>
      <c r="D7" s="2" t="s">
        <v>25</v>
      </c>
    </row>
    <row r="8" spans="1:12" x14ac:dyDescent="0.3">
      <c r="A8" s="2" t="s">
        <v>24</v>
      </c>
      <c r="B8" s="2">
        <v>6</v>
      </c>
      <c r="D8" s="2" t="s">
        <v>24</v>
      </c>
      <c r="E8" s="2">
        <v>7</v>
      </c>
    </row>
    <row r="10" spans="1:12" x14ac:dyDescent="0.3">
      <c r="D10" s="2" t="s">
        <v>26</v>
      </c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</row>
    <row r="11" spans="1:12" x14ac:dyDescent="0.3">
      <c r="A11" s="2" t="s">
        <v>147</v>
      </c>
      <c r="D11" s="2" t="s">
        <v>27</v>
      </c>
      <c r="E11" s="2" t="s">
        <v>175</v>
      </c>
      <c r="F11" s="2" t="s">
        <v>178</v>
      </c>
      <c r="G11" s="2" t="s">
        <v>180</v>
      </c>
      <c r="H11" s="2" t="s">
        <v>182</v>
      </c>
      <c r="I11" s="2" t="s">
        <v>184</v>
      </c>
      <c r="J11" s="2" t="s">
        <v>187</v>
      </c>
      <c r="K11" s="2" t="s">
        <v>189</v>
      </c>
    </row>
    <row r="12" spans="1:12" x14ac:dyDescent="0.3">
      <c r="A12" s="2" t="s">
        <v>148</v>
      </c>
      <c r="D12" s="2" t="s">
        <v>28</v>
      </c>
      <c r="E12" s="2">
        <v>0</v>
      </c>
      <c r="F12" s="2" t="s">
        <v>85</v>
      </c>
      <c r="G12" s="2" t="s">
        <v>87</v>
      </c>
      <c r="H12" s="2" t="s">
        <v>90</v>
      </c>
      <c r="I12" s="2" t="s">
        <v>93</v>
      </c>
      <c r="J12" s="2" t="s">
        <v>96</v>
      </c>
      <c r="K12" s="2" t="s">
        <v>98</v>
      </c>
    </row>
    <row r="13" spans="1:12" x14ac:dyDescent="0.3">
      <c r="A13" s="2" t="s">
        <v>190</v>
      </c>
      <c r="D13" s="2" t="s">
        <v>29</v>
      </c>
      <c r="E13" s="2" t="s">
        <v>88</v>
      </c>
      <c r="F13" s="2" t="s">
        <v>191</v>
      </c>
      <c r="G13" s="2" t="s">
        <v>98</v>
      </c>
      <c r="H13" s="2">
        <v>0</v>
      </c>
      <c r="I13" s="2">
        <v>0</v>
      </c>
      <c r="J13" s="2">
        <v>0</v>
      </c>
      <c r="K13" s="2">
        <v>0</v>
      </c>
    </row>
    <row r="14" spans="1:12" x14ac:dyDescent="0.3">
      <c r="A14" s="2" t="s">
        <v>150</v>
      </c>
    </row>
    <row r="15" spans="1:12" x14ac:dyDescent="0.3">
      <c r="A15" s="2" t="s">
        <v>151</v>
      </c>
      <c r="D15" s="2" t="s">
        <v>30</v>
      </c>
      <c r="E15" s="1" t="s">
        <v>177</v>
      </c>
      <c r="F15" s="1" t="s">
        <v>186</v>
      </c>
      <c r="G15" s="1" t="s">
        <v>179</v>
      </c>
      <c r="H15" s="1" t="s">
        <v>181</v>
      </c>
      <c r="I15" s="1" t="s">
        <v>183</v>
      </c>
      <c r="J15" s="1" t="s">
        <v>185</v>
      </c>
      <c r="K15" s="1" t="s">
        <v>188</v>
      </c>
    </row>
    <row r="16" spans="1:12" x14ac:dyDescent="0.3">
      <c r="A16" s="2" t="s">
        <v>192</v>
      </c>
      <c r="D16" s="2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</row>
    <row r="17" spans="4:11" x14ac:dyDescent="0.3">
      <c r="D17" s="2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</row>
    <row r="18" spans="4:11" x14ac:dyDescent="0.3">
      <c r="D18" s="2" t="s">
        <v>33</v>
      </c>
    </row>
    <row r="19" spans="4:11" x14ac:dyDescent="0.3">
      <c r="D19" s="2" t="s">
        <v>34</v>
      </c>
    </row>
    <row r="20" spans="4:11" x14ac:dyDescent="0.3">
      <c r="D20" s="2" t="s">
        <v>35</v>
      </c>
    </row>
    <row r="21" spans="4:11" x14ac:dyDescent="0.3">
      <c r="D21" s="2" t="s">
        <v>36</v>
      </c>
    </row>
    <row r="22" spans="4:11" x14ac:dyDescent="0.3">
      <c r="D22" s="2" t="s">
        <v>37</v>
      </c>
    </row>
    <row r="23" spans="4:11" x14ac:dyDescent="0.3">
      <c r="D23" s="2" t="s">
        <v>38</v>
      </c>
    </row>
    <row r="24" spans="4:11" x14ac:dyDescent="0.3">
      <c r="D24" s="2" t="s">
        <v>39</v>
      </c>
    </row>
    <row r="25" spans="4:11" x14ac:dyDescent="0.3">
      <c r="D25" s="2" t="s">
        <v>40</v>
      </c>
    </row>
    <row r="26" spans="4:11" x14ac:dyDescent="0.3">
      <c r="D26" s="2" t="s">
        <v>41</v>
      </c>
    </row>
    <row r="27" spans="4:11" x14ac:dyDescent="0.3">
      <c r="D27" s="2" t="s">
        <v>42</v>
      </c>
    </row>
    <row r="28" spans="4:11" x14ac:dyDescent="0.3">
      <c r="D28" s="2" t="s">
        <v>43</v>
      </c>
    </row>
    <row r="29" spans="4:11" x14ac:dyDescent="0.3">
      <c r="D29" s="2" t="s">
        <v>44</v>
      </c>
    </row>
    <row r="30" spans="4:11" x14ac:dyDescent="0.3">
      <c r="D30" s="2" t="s">
        <v>45</v>
      </c>
    </row>
    <row r="31" spans="4:11" x14ac:dyDescent="0.3">
      <c r="D31" s="2" t="s">
        <v>46</v>
      </c>
    </row>
    <row r="32" spans="4:11" x14ac:dyDescent="0.3">
      <c r="D32" s="2" t="s">
        <v>47</v>
      </c>
    </row>
    <row r="33" spans="4:4" x14ac:dyDescent="0.3">
      <c r="D33" s="2" t="s">
        <v>48</v>
      </c>
    </row>
    <row r="34" spans="4:4" x14ac:dyDescent="0.3">
      <c r="D34" s="2" t="s">
        <v>49</v>
      </c>
    </row>
    <row r="35" spans="4:4" x14ac:dyDescent="0.3">
      <c r="D35" s="2" t="s">
        <v>50</v>
      </c>
    </row>
    <row r="36" spans="4:4" x14ac:dyDescent="0.3">
      <c r="D36" s="2" t="s">
        <v>51</v>
      </c>
    </row>
    <row r="37" spans="4:4" x14ac:dyDescent="0.3">
      <c r="D37" s="2" t="s">
        <v>52</v>
      </c>
    </row>
    <row r="38" spans="4:4" x14ac:dyDescent="0.3">
      <c r="D38" s="2" t="s">
        <v>53</v>
      </c>
    </row>
    <row r="39" spans="4:4" x14ac:dyDescent="0.3">
      <c r="D39" s="2" t="s">
        <v>54</v>
      </c>
    </row>
    <row r="40" spans="4:4" x14ac:dyDescent="0.3">
      <c r="D40" s="2" t="s">
        <v>55</v>
      </c>
    </row>
    <row r="41" spans="4:4" x14ac:dyDescent="0.3">
      <c r="D41" s="2" t="s">
        <v>56</v>
      </c>
    </row>
    <row r="42" spans="4:4" x14ac:dyDescent="0.3">
      <c r="D42" s="2" t="s">
        <v>57</v>
      </c>
    </row>
    <row r="43" spans="4:4" x14ac:dyDescent="0.3">
      <c r="D43" s="2" t="s">
        <v>58</v>
      </c>
    </row>
    <row r="44" spans="4:4" x14ac:dyDescent="0.3">
      <c r="D44" s="2" t="s">
        <v>59</v>
      </c>
    </row>
    <row r="45" spans="4:4" x14ac:dyDescent="0.3">
      <c r="D45" s="2" t="s">
        <v>60</v>
      </c>
    </row>
    <row r="46" spans="4:4" x14ac:dyDescent="0.3">
      <c r="D46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303B-F1AB-4879-AAC5-450E2A40ADA2}">
  <dimension ref="A1:P46"/>
  <sheetViews>
    <sheetView workbookViewId="0"/>
  </sheetViews>
  <sheetFormatPr defaultColWidth="15.5546875" defaultRowHeight="14.4" x14ac:dyDescent="0.3"/>
  <cols>
    <col min="1" max="16384" width="15.5546875" style="2"/>
  </cols>
  <sheetData>
    <row r="1" spans="1:16" x14ac:dyDescent="0.3">
      <c r="A1" s="2" t="s">
        <v>0</v>
      </c>
      <c r="B1" s="1" t="s">
        <v>130</v>
      </c>
      <c r="E1" s="2" t="s">
        <v>3</v>
      </c>
      <c r="F1" s="2">
        <v>3</v>
      </c>
      <c r="H1" s="2" t="s">
        <v>9</v>
      </c>
      <c r="I1" s="1" t="s">
        <v>19</v>
      </c>
      <c r="K1" s="2" t="s">
        <v>14</v>
      </c>
      <c r="L1" s="2">
        <v>100</v>
      </c>
    </row>
    <row r="2" spans="1:16" x14ac:dyDescent="0.3">
      <c r="A2" s="2" t="s">
        <v>1</v>
      </c>
      <c r="B2" s="2" t="e">
        <f>Sheet3!#REF!</f>
        <v>#REF!</v>
      </c>
      <c r="E2" s="2" t="s">
        <v>4</v>
      </c>
      <c r="F2" s="2">
        <f t="array" ref="F2:J2">_xll.PTreeInflEvaluate5($B$3,$L$1,SUM($7:$16384))</f>
        <v>232157</v>
      </c>
      <c r="G2" s="2" t="e">
        <v>#N/A</v>
      </c>
      <c r="H2" s="2" t="e">
        <v>#N/A</v>
      </c>
      <c r="I2" s="2" t="e">
        <v>#N/A</v>
      </c>
      <c r="J2" s="2" t="e">
        <v>#N/A</v>
      </c>
    </row>
    <row r="3" spans="1:16" x14ac:dyDescent="0.3">
      <c r="A3" s="2" t="s">
        <v>2</v>
      </c>
      <c r="B3" s="2" t="s">
        <v>62</v>
      </c>
      <c r="E3" s="2" t="s">
        <v>5</v>
      </c>
      <c r="F3" s="1" t="s">
        <v>15</v>
      </c>
      <c r="H3" s="2" t="s">
        <v>10</v>
      </c>
      <c r="I3" s="3" t="s">
        <v>17</v>
      </c>
    </row>
    <row r="4" spans="1:16" x14ac:dyDescent="0.3">
      <c r="E4" s="2" t="s">
        <v>6</v>
      </c>
      <c r="F4" s="1" t="s">
        <v>16</v>
      </c>
      <c r="H4" s="2" t="s">
        <v>11</v>
      </c>
      <c r="I4" s="1" t="s">
        <v>18</v>
      </c>
    </row>
    <row r="5" spans="1:16" x14ac:dyDescent="0.3">
      <c r="A5" s="2" t="s">
        <v>22</v>
      </c>
      <c r="B5" s="2">
        <v>1</v>
      </c>
      <c r="E5" s="2" t="s">
        <v>7</v>
      </c>
      <c r="F5" s="1" t="s">
        <v>16</v>
      </c>
      <c r="H5" s="2" t="s">
        <v>12</v>
      </c>
      <c r="I5" s="3" t="s">
        <v>17</v>
      </c>
    </row>
    <row r="6" spans="1:16" x14ac:dyDescent="0.3">
      <c r="E6" s="2" t="s">
        <v>8</v>
      </c>
      <c r="F6" s="1" t="s">
        <v>15</v>
      </c>
      <c r="H6" s="2" t="s">
        <v>13</v>
      </c>
      <c r="I6" s="1" t="s">
        <v>18</v>
      </c>
    </row>
    <row r="7" spans="1:16" x14ac:dyDescent="0.3">
      <c r="A7" s="2" t="s">
        <v>23</v>
      </c>
      <c r="D7" s="2" t="s">
        <v>25</v>
      </c>
    </row>
    <row r="8" spans="1:16" x14ac:dyDescent="0.3">
      <c r="A8" s="2" t="s">
        <v>24</v>
      </c>
      <c r="B8" s="2">
        <v>14</v>
      </c>
      <c r="D8" s="2" t="s">
        <v>24</v>
      </c>
      <c r="E8" s="2">
        <v>12</v>
      </c>
    </row>
    <row r="10" spans="1:16" x14ac:dyDescent="0.3">
      <c r="D10" s="2" t="s">
        <v>26</v>
      </c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  <c r="P10" s="2">
        <v>12</v>
      </c>
    </row>
    <row r="11" spans="1:16" x14ac:dyDescent="0.3">
      <c r="A11" s="2" t="s">
        <v>147</v>
      </c>
      <c r="D11" s="2" t="s">
        <v>27</v>
      </c>
      <c r="E11" s="2" t="s">
        <v>135</v>
      </c>
      <c r="F11" s="2" t="s">
        <v>138</v>
      </c>
      <c r="G11" s="2" t="s">
        <v>136</v>
      </c>
      <c r="H11" s="2" t="s">
        <v>137</v>
      </c>
      <c r="I11" s="2" t="s">
        <v>167</v>
      </c>
      <c r="J11" s="2" t="s">
        <v>168</v>
      </c>
      <c r="K11" s="2" t="s">
        <v>170</v>
      </c>
      <c r="L11" s="2" t="s">
        <v>169</v>
      </c>
      <c r="M11" s="2" t="s">
        <v>171</v>
      </c>
      <c r="N11" s="2" t="s">
        <v>172</v>
      </c>
      <c r="O11" s="2" t="s">
        <v>173</v>
      </c>
      <c r="P11" s="2" t="s">
        <v>174</v>
      </c>
    </row>
    <row r="12" spans="1:16" x14ac:dyDescent="0.3">
      <c r="A12" s="2" t="s">
        <v>148</v>
      </c>
      <c r="D12" s="2" t="s">
        <v>28</v>
      </c>
      <c r="E12" s="2">
        <v>0</v>
      </c>
      <c r="F12" s="2" t="s">
        <v>85</v>
      </c>
      <c r="G12" s="2" t="s">
        <v>87</v>
      </c>
      <c r="H12" s="2" t="s">
        <v>90</v>
      </c>
      <c r="I12" s="2" t="s">
        <v>93</v>
      </c>
      <c r="J12" s="2" t="s">
        <v>96</v>
      </c>
      <c r="K12" s="2" t="s">
        <v>155</v>
      </c>
      <c r="L12" s="2" t="s">
        <v>98</v>
      </c>
      <c r="M12" s="2" t="s">
        <v>158</v>
      </c>
      <c r="N12" s="2" t="s">
        <v>108</v>
      </c>
      <c r="O12" s="2" t="s">
        <v>163</v>
      </c>
      <c r="P12" s="2" t="s">
        <v>115</v>
      </c>
    </row>
    <row r="13" spans="1:16" x14ac:dyDescent="0.3">
      <c r="A13" s="2" t="s">
        <v>149</v>
      </c>
      <c r="D13" s="2" t="s">
        <v>29</v>
      </c>
      <c r="E13" s="2" t="s">
        <v>91</v>
      </c>
      <c r="F13" s="2" t="s">
        <v>153</v>
      </c>
      <c r="G13" s="2" t="s">
        <v>160</v>
      </c>
      <c r="H13" s="2" t="s">
        <v>165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">
      <c r="A14" s="2" t="s">
        <v>150</v>
      </c>
    </row>
    <row r="15" spans="1:16" x14ac:dyDescent="0.3">
      <c r="A15" s="2" t="s">
        <v>151</v>
      </c>
      <c r="D15" s="2" t="s">
        <v>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139</v>
      </c>
      <c r="J15" s="1" t="s">
        <v>140</v>
      </c>
      <c r="K15" s="1" t="s">
        <v>141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</row>
    <row r="16" spans="1:16" x14ac:dyDescent="0.3">
      <c r="A16" s="2" t="s">
        <v>152</v>
      </c>
      <c r="D16" s="2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</row>
    <row r="17" spans="1:16" x14ac:dyDescent="0.3">
      <c r="A17" s="2" t="s">
        <v>154</v>
      </c>
      <c r="D17" s="2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</row>
    <row r="18" spans="1:16" x14ac:dyDescent="0.3">
      <c r="A18" s="2" t="s">
        <v>156</v>
      </c>
      <c r="D18" s="2" t="s">
        <v>33</v>
      </c>
    </row>
    <row r="19" spans="1:16" x14ac:dyDescent="0.3">
      <c r="A19" s="2" t="s">
        <v>157</v>
      </c>
      <c r="D19" s="2" t="s">
        <v>34</v>
      </c>
    </row>
    <row r="20" spans="1:16" x14ac:dyDescent="0.3">
      <c r="A20" s="2" t="s">
        <v>159</v>
      </c>
      <c r="D20" s="2" t="s">
        <v>35</v>
      </c>
    </row>
    <row r="21" spans="1:16" x14ac:dyDescent="0.3">
      <c r="A21" s="2" t="s">
        <v>161</v>
      </c>
      <c r="D21" s="2" t="s">
        <v>36</v>
      </c>
    </row>
    <row r="22" spans="1:16" x14ac:dyDescent="0.3">
      <c r="A22" s="2" t="s">
        <v>162</v>
      </c>
      <c r="D22" s="2" t="s">
        <v>37</v>
      </c>
    </row>
    <row r="23" spans="1:16" x14ac:dyDescent="0.3">
      <c r="A23" s="2" t="s">
        <v>164</v>
      </c>
      <c r="D23" s="2" t="s">
        <v>38</v>
      </c>
    </row>
    <row r="24" spans="1:16" x14ac:dyDescent="0.3">
      <c r="A24" s="2" t="s">
        <v>166</v>
      </c>
      <c r="D24" s="2" t="s">
        <v>39</v>
      </c>
    </row>
    <row r="25" spans="1:16" x14ac:dyDescent="0.3">
      <c r="D25" s="2" t="s">
        <v>40</v>
      </c>
    </row>
    <row r="26" spans="1:16" x14ac:dyDescent="0.3">
      <c r="D26" s="2" t="s">
        <v>41</v>
      </c>
    </row>
    <row r="27" spans="1:16" x14ac:dyDescent="0.3">
      <c r="D27" s="2" t="s">
        <v>42</v>
      </c>
    </row>
    <row r="28" spans="1:16" x14ac:dyDescent="0.3">
      <c r="D28" s="2" t="s">
        <v>43</v>
      </c>
    </row>
    <row r="29" spans="1:16" x14ac:dyDescent="0.3">
      <c r="D29" s="2" t="s">
        <v>44</v>
      </c>
    </row>
    <row r="30" spans="1:16" x14ac:dyDescent="0.3">
      <c r="D30" s="2" t="s">
        <v>45</v>
      </c>
    </row>
    <row r="31" spans="1:16" x14ac:dyDescent="0.3">
      <c r="D31" s="2" t="s">
        <v>46</v>
      </c>
    </row>
    <row r="32" spans="1:16" x14ac:dyDescent="0.3">
      <c r="D32" s="2" t="s">
        <v>47</v>
      </c>
    </row>
    <row r="33" spans="4:4" x14ac:dyDescent="0.3">
      <c r="D33" s="2" t="s">
        <v>48</v>
      </c>
    </row>
    <row r="34" spans="4:4" x14ac:dyDescent="0.3">
      <c r="D34" s="2" t="s">
        <v>49</v>
      </c>
    </row>
    <row r="35" spans="4:4" x14ac:dyDescent="0.3">
      <c r="D35" s="2" t="s">
        <v>50</v>
      </c>
    </row>
    <row r="36" spans="4:4" x14ac:dyDescent="0.3">
      <c r="D36" s="2" t="s">
        <v>51</v>
      </c>
    </row>
    <row r="37" spans="4:4" x14ac:dyDescent="0.3">
      <c r="D37" s="2" t="s">
        <v>52</v>
      </c>
    </row>
    <row r="38" spans="4:4" x14ac:dyDescent="0.3">
      <c r="D38" s="2" t="s">
        <v>53</v>
      </c>
    </row>
    <row r="39" spans="4:4" x14ac:dyDescent="0.3">
      <c r="D39" s="2" t="s">
        <v>54</v>
      </c>
    </row>
    <row r="40" spans="4:4" x14ac:dyDescent="0.3">
      <c r="D40" s="2" t="s">
        <v>55</v>
      </c>
    </row>
    <row r="41" spans="4:4" x14ac:dyDescent="0.3">
      <c r="D41" s="2" t="s">
        <v>56</v>
      </c>
    </row>
    <row r="42" spans="4:4" x14ac:dyDescent="0.3">
      <c r="D42" s="2" t="s">
        <v>57</v>
      </c>
    </row>
    <row r="43" spans="4:4" x14ac:dyDescent="0.3">
      <c r="D43" s="2" t="s">
        <v>58</v>
      </c>
    </row>
    <row r="44" spans="4:4" x14ac:dyDescent="0.3">
      <c r="D44" s="2" t="s">
        <v>59</v>
      </c>
    </row>
    <row r="45" spans="4:4" x14ac:dyDescent="0.3">
      <c r="D45" s="2" t="s">
        <v>60</v>
      </c>
    </row>
    <row r="46" spans="4:4" x14ac:dyDescent="0.3">
      <c r="D46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47EC-E4D6-4F5A-94A8-287D3DAFA03B}">
  <dimension ref="A1:P46"/>
  <sheetViews>
    <sheetView workbookViewId="0"/>
  </sheetViews>
  <sheetFormatPr defaultColWidth="15.5546875" defaultRowHeight="14.4" x14ac:dyDescent="0.3"/>
  <cols>
    <col min="1" max="16384" width="15.5546875" style="2"/>
  </cols>
  <sheetData>
    <row r="1" spans="1:16" x14ac:dyDescent="0.3">
      <c r="A1" s="2" t="s">
        <v>0</v>
      </c>
      <c r="B1" s="1" t="s">
        <v>67</v>
      </c>
      <c r="E1" s="2" t="s">
        <v>3</v>
      </c>
      <c r="F1" s="2">
        <v>3</v>
      </c>
      <c r="H1" s="2" t="s">
        <v>9</v>
      </c>
      <c r="I1" s="1" t="s">
        <v>19</v>
      </c>
      <c r="K1" s="2" t="s">
        <v>14</v>
      </c>
      <c r="L1" s="2">
        <v>100</v>
      </c>
    </row>
    <row r="2" spans="1:16" x14ac:dyDescent="0.3">
      <c r="A2" s="2" t="s">
        <v>1</v>
      </c>
      <c r="B2" s="2" t="e">
        <f>Sheet1!#REF!</f>
        <v>#REF!</v>
      </c>
      <c r="E2" s="2" t="s">
        <v>4</v>
      </c>
      <c r="F2" s="2">
        <f t="array" ref="F2:J2">_xll.PTreeInflEvaluate5($B$3,$L$1,SUM($7:$16384))</f>
        <v>206428</v>
      </c>
      <c r="G2" s="2" t="e">
        <v>#N/A</v>
      </c>
      <c r="H2" s="2" t="e">
        <v>#N/A</v>
      </c>
      <c r="I2" s="2" t="e">
        <v>#N/A</v>
      </c>
      <c r="J2" s="2" t="e">
        <v>#N/A</v>
      </c>
    </row>
    <row r="3" spans="1:16" x14ac:dyDescent="0.3">
      <c r="A3" s="2" t="s">
        <v>2</v>
      </c>
      <c r="B3" s="2" t="s">
        <v>62</v>
      </c>
      <c r="E3" s="2" t="s">
        <v>5</v>
      </c>
      <c r="F3" s="1" t="s">
        <v>15</v>
      </c>
      <c r="H3" s="2" t="s">
        <v>10</v>
      </c>
      <c r="I3" s="3" t="s">
        <v>17</v>
      </c>
    </row>
    <row r="4" spans="1:16" x14ac:dyDescent="0.3">
      <c r="E4" s="2" t="s">
        <v>6</v>
      </c>
      <c r="F4" s="1" t="s">
        <v>16</v>
      </c>
      <c r="H4" s="2" t="s">
        <v>11</v>
      </c>
      <c r="I4" s="1" t="s">
        <v>18</v>
      </c>
    </row>
    <row r="5" spans="1:16" x14ac:dyDescent="0.3">
      <c r="A5" s="2" t="s">
        <v>22</v>
      </c>
      <c r="B5" s="2">
        <v>1</v>
      </c>
      <c r="E5" s="2" t="s">
        <v>7</v>
      </c>
      <c r="F5" s="1" t="s">
        <v>16</v>
      </c>
      <c r="H5" s="2" t="s">
        <v>12</v>
      </c>
      <c r="I5" s="3" t="s">
        <v>17</v>
      </c>
    </row>
    <row r="6" spans="1:16" x14ac:dyDescent="0.3">
      <c r="E6" s="2" t="s">
        <v>8</v>
      </c>
      <c r="F6" s="1" t="s">
        <v>15</v>
      </c>
      <c r="H6" s="2" t="s">
        <v>13</v>
      </c>
      <c r="I6" s="1" t="s">
        <v>18</v>
      </c>
    </row>
    <row r="7" spans="1:16" x14ac:dyDescent="0.3">
      <c r="A7" s="2" t="s">
        <v>23</v>
      </c>
      <c r="D7" s="2" t="s">
        <v>25</v>
      </c>
    </row>
    <row r="8" spans="1:16" x14ac:dyDescent="0.3">
      <c r="A8" s="2" t="s">
        <v>24</v>
      </c>
      <c r="B8" s="2">
        <v>16</v>
      </c>
      <c r="D8" s="2" t="s">
        <v>24</v>
      </c>
      <c r="E8" s="2">
        <v>12</v>
      </c>
    </row>
    <row r="10" spans="1:16" x14ac:dyDescent="0.3">
      <c r="D10" s="2" t="s">
        <v>26</v>
      </c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  <c r="P10" s="2">
        <v>12</v>
      </c>
    </row>
    <row r="11" spans="1:16" x14ac:dyDescent="0.3">
      <c r="A11" s="2" t="s">
        <v>86</v>
      </c>
      <c r="D11" s="2" t="s">
        <v>27</v>
      </c>
      <c r="E11" s="2" t="s">
        <v>120</v>
      </c>
      <c r="F11" s="2" t="s">
        <v>126</v>
      </c>
      <c r="G11" s="2" t="s">
        <v>127</v>
      </c>
      <c r="H11" s="2" t="s">
        <v>128</v>
      </c>
      <c r="I11" s="2" t="s">
        <v>129</v>
      </c>
      <c r="J11" s="2" t="s">
        <v>72</v>
      </c>
      <c r="K11" s="2" t="s">
        <v>74</v>
      </c>
      <c r="L11" s="2" t="s">
        <v>76</v>
      </c>
      <c r="M11" s="2" t="s">
        <v>78</v>
      </c>
      <c r="N11" s="2" t="s">
        <v>82</v>
      </c>
      <c r="O11" s="2" t="s">
        <v>104</v>
      </c>
      <c r="P11" s="2" t="s">
        <v>122</v>
      </c>
    </row>
    <row r="12" spans="1:16" x14ac:dyDescent="0.3">
      <c r="A12" s="2" t="s">
        <v>89</v>
      </c>
      <c r="D12" s="2" t="s">
        <v>28</v>
      </c>
      <c r="E12" s="2">
        <v>0</v>
      </c>
      <c r="F12" s="2" t="s">
        <v>85</v>
      </c>
      <c r="G12" s="2" t="s">
        <v>87</v>
      </c>
      <c r="H12" s="2" t="s">
        <v>90</v>
      </c>
      <c r="I12" s="2" t="s">
        <v>93</v>
      </c>
      <c r="J12" s="2" t="s">
        <v>123</v>
      </c>
      <c r="K12" s="2" t="s">
        <v>107</v>
      </c>
      <c r="L12" s="2" t="s">
        <v>110</v>
      </c>
      <c r="M12" s="2" t="s">
        <v>112</v>
      </c>
      <c r="N12" s="2" t="s">
        <v>118</v>
      </c>
      <c r="O12" s="2" t="s">
        <v>115</v>
      </c>
      <c r="P12" s="2">
        <v>0</v>
      </c>
    </row>
    <row r="13" spans="1:16" x14ac:dyDescent="0.3">
      <c r="A13" s="2" t="s">
        <v>92</v>
      </c>
      <c r="D13" s="2" t="s">
        <v>29</v>
      </c>
      <c r="E13" s="2" t="s">
        <v>118</v>
      </c>
      <c r="F13" s="2">
        <v>0</v>
      </c>
      <c r="G13" s="2">
        <v>0</v>
      </c>
      <c r="H13" s="2">
        <v>0</v>
      </c>
      <c r="I13" s="2">
        <v>0</v>
      </c>
      <c r="J13" s="2" t="s">
        <v>94</v>
      </c>
      <c r="K13" s="2" t="s">
        <v>96</v>
      </c>
      <c r="L13" s="2" t="s">
        <v>98</v>
      </c>
      <c r="M13" s="2" t="s">
        <v>100</v>
      </c>
      <c r="N13" s="2" t="s">
        <v>116</v>
      </c>
      <c r="O13" s="2" t="s">
        <v>113</v>
      </c>
      <c r="P13" s="2" t="s">
        <v>124</v>
      </c>
    </row>
    <row r="14" spans="1:16" x14ac:dyDescent="0.3">
      <c r="A14" s="2" t="s">
        <v>95</v>
      </c>
    </row>
    <row r="15" spans="1:16" x14ac:dyDescent="0.3">
      <c r="A15" s="2" t="s">
        <v>97</v>
      </c>
      <c r="D15" s="2" t="s">
        <v>30</v>
      </c>
      <c r="E15" s="1" t="s">
        <v>20</v>
      </c>
      <c r="F15" s="1" t="s">
        <v>68</v>
      </c>
      <c r="G15" s="1" t="s">
        <v>69</v>
      </c>
      <c r="H15" s="1" t="s">
        <v>70</v>
      </c>
      <c r="I15" s="1" t="s">
        <v>71</v>
      </c>
      <c r="J15" s="1" t="s">
        <v>21</v>
      </c>
      <c r="K15" s="1" t="s">
        <v>73</v>
      </c>
      <c r="L15" s="1" t="s">
        <v>75</v>
      </c>
      <c r="M15" s="1" t="s">
        <v>77</v>
      </c>
      <c r="N15" s="1" t="s">
        <v>84</v>
      </c>
      <c r="O15" s="1" t="s">
        <v>103</v>
      </c>
      <c r="P15" s="1" t="s">
        <v>121</v>
      </c>
    </row>
    <row r="16" spans="1:16" x14ac:dyDescent="0.3">
      <c r="A16" s="2" t="s">
        <v>99</v>
      </c>
      <c r="D16" s="2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83</v>
      </c>
      <c r="L16" s="1" t="s">
        <v>83</v>
      </c>
      <c r="M16" s="1" t="s">
        <v>83</v>
      </c>
      <c r="N16" s="1" t="s">
        <v>80</v>
      </c>
      <c r="O16" s="1" t="s">
        <v>31</v>
      </c>
      <c r="P16" s="1" t="s">
        <v>31</v>
      </c>
    </row>
    <row r="17" spans="1:16" x14ac:dyDescent="0.3">
      <c r="A17" s="2" t="s">
        <v>101</v>
      </c>
      <c r="D17" s="2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79</v>
      </c>
      <c r="L17" s="1" t="s">
        <v>79</v>
      </c>
      <c r="M17" s="1" t="s">
        <v>79</v>
      </c>
      <c r="N17" s="1" t="s">
        <v>81</v>
      </c>
      <c r="O17" s="1" t="s">
        <v>32</v>
      </c>
      <c r="P17" s="1" t="s">
        <v>32</v>
      </c>
    </row>
    <row r="18" spans="1:16" x14ac:dyDescent="0.3">
      <c r="A18" s="2" t="s">
        <v>102</v>
      </c>
      <c r="D18" s="2" t="s">
        <v>33</v>
      </c>
    </row>
    <row r="19" spans="1:16" x14ac:dyDescent="0.3">
      <c r="A19" s="2" t="s">
        <v>105</v>
      </c>
      <c r="D19" s="2" t="s">
        <v>34</v>
      </c>
    </row>
    <row r="20" spans="1:16" x14ac:dyDescent="0.3">
      <c r="A20" s="2" t="s">
        <v>106</v>
      </c>
      <c r="D20" s="2" t="s">
        <v>35</v>
      </c>
    </row>
    <row r="21" spans="1:16" x14ac:dyDescent="0.3">
      <c r="A21" s="2" t="s">
        <v>111</v>
      </c>
      <c r="D21" s="2" t="s">
        <v>36</v>
      </c>
    </row>
    <row r="22" spans="1:16" x14ac:dyDescent="0.3">
      <c r="A22" s="2" t="s">
        <v>109</v>
      </c>
      <c r="D22" s="2" t="s">
        <v>37</v>
      </c>
    </row>
    <row r="23" spans="1:16" x14ac:dyDescent="0.3">
      <c r="A23" s="2" t="s">
        <v>114</v>
      </c>
      <c r="D23" s="2" t="s">
        <v>38</v>
      </c>
    </row>
    <row r="24" spans="1:16" x14ac:dyDescent="0.3">
      <c r="A24" s="2" t="s">
        <v>117</v>
      </c>
      <c r="D24" s="2" t="s">
        <v>39</v>
      </c>
    </row>
    <row r="25" spans="1:16" x14ac:dyDescent="0.3">
      <c r="A25" s="2" t="s">
        <v>119</v>
      </c>
      <c r="D25" s="2" t="s">
        <v>40</v>
      </c>
    </row>
    <row r="26" spans="1:16" x14ac:dyDescent="0.3">
      <c r="A26" s="2" t="s">
        <v>125</v>
      </c>
      <c r="D26" s="2" t="s">
        <v>41</v>
      </c>
    </row>
    <row r="27" spans="1:16" x14ac:dyDescent="0.3">
      <c r="D27" s="2" t="s">
        <v>42</v>
      </c>
    </row>
    <row r="28" spans="1:16" x14ac:dyDescent="0.3">
      <c r="D28" s="2" t="s">
        <v>43</v>
      </c>
    </row>
    <row r="29" spans="1:16" x14ac:dyDescent="0.3">
      <c r="D29" s="2" t="s">
        <v>44</v>
      </c>
    </row>
    <row r="30" spans="1:16" x14ac:dyDescent="0.3">
      <c r="D30" s="2" t="s">
        <v>45</v>
      </c>
    </row>
    <row r="31" spans="1:16" x14ac:dyDescent="0.3">
      <c r="D31" s="2" t="s">
        <v>46</v>
      </c>
    </row>
    <row r="32" spans="1:16" x14ac:dyDescent="0.3">
      <c r="D32" s="2" t="s">
        <v>47</v>
      </c>
    </row>
    <row r="33" spans="4:4" x14ac:dyDescent="0.3">
      <c r="D33" s="2" t="s">
        <v>48</v>
      </c>
    </row>
    <row r="34" spans="4:4" x14ac:dyDescent="0.3">
      <c r="D34" s="2" t="s">
        <v>49</v>
      </c>
    </row>
    <row r="35" spans="4:4" x14ac:dyDescent="0.3">
      <c r="D35" s="2" t="s">
        <v>50</v>
      </c>
    </row>
    <row r="36" spans="4:4" x14ac:dyDescent="0.3">
      <c r="D36" s="2" t="s">
        <v>51</v>
      </c>
    </row>
    <row r="37" spans="4:4" x14ac:dyDescent="0.3">
      <c r="D37" s="2" t="s">
        <v>52</v>
      </c>
    </row>
    <row r="38" spans="4:4" x14ac:dyDescent="0.3">
      <c r="D38" s="2" t="s">
        <v>53</v>
      </c>
    </row>
    <row r="39" spans="4:4" x14ac:dyDescent="0.3">
      <c r="D39" s="2" t="s">
        <v>54</v>
      </c>
    </row>
    <row r="40" spans="4:4" x14ac:dyDescent="0.3">
      <c r="D40" s="2" t="s">
        <v>55</v>
      </c>
    </row>
    <row r="41" spans="4:4" x14ac:dyDescent="0.3">
      <c r="D41" s="2" t="s">
        <v>56</v>
      </c>
    </row>
    <row r="42" spans="4:4" x14ac:dyDescent="0.3">
      <c r="D42" s="2" t="s">
        <v>57</v>
      </c>
    </row>
    <row r="43" spans="4:4" x14ac:dyDescent="0.3">
      <c r="D43" s="2" t="s">
        <v>58</v>
      </c>
    </row>
    <row r="44" spans="4:4" x14ac:dyDescent="0.3">
      <c r="D44" s="2" t="s">
        <v>59</v>
      </c>
    </row>
    <row r="45" spans="4:4" x14ac:dyDescent="0.3">
      <c r="D45" s="2" t="s">
        <v>60</v>
      </c>
    </row>
    <row r="46" spans="4:4" x14ac:dyDescent="0.3">
      <c r="D4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Converted Diagram</vt:lpstr>
      <vt:lpstr>Sheet5</vt:lpstr>
      <vt:lpstr>treeCalc_1</vt:lpstr>
      <vt:lpstr>inflCalc_3</vt:lpstr>
      <vt:lpstr>inflCalc_2</vt:lpstr>
      <vt:lpstr>inflCalc_1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2019-02-05T00:31:35Z</dcterms:created>
  <dcterms:modified xsi:type="dcterms:W3CDTF">2019-02-09T22:11:40Z</dcterms:modified>
</cp:coreProperties>
</file>