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duino_Uno_R3_From_Scratch_Fu " sheetId="1" r:id="rId1"/>
  </sheets>
  <definedNames>
    <definedName name="BoardQty">'Arduino_Uno_R3_From_Scratch_Fu '!$I$1</definedName>
    <definedName name="digikey_part_data">'Arduino_Uno_R3_From_Scratch_Fu '!$J$5:$N$40</definedName>
    <definedName name="farnell_part_data">'Arduino_Uno_R3_From_Scratch_Fu '!$O$5:$S$40</definedName>
    <definedName name="global_part_data">'Arduino_Uno_R3_From_Scratch_Fu '!$A$5:$I$40</definedName>
    <definedName name="mouser_part_data">'Arduino_Uno_R3_From_Scratch_Fu '!$T$5:$X$40</definedName>
    <definedName name="newark_part_data">'Arduino_Uno_R3_From_Scratch_Fu '!$Y$5:$AC$40</definedName>
    <definedName name="rs_part_data">'Arduino_Uno_R3_From_Scratch_Fu '!$AD$5:$AH$40</definedName>
    <definedName name="tme_part_data">'Arduino_Uno_R3_From_Scratch_Fu '!$AI$5:$AM$40</definedName>
    <definedName name="TotalCost">'Arduino_Uno_R3_From_Scratch_Fu '!$I$3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N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S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X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C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H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M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</t>
        </r>
      </text>
    </comment>
    <comment ref="G6" authorId="0">
      <text>
        <r>
          <rPr>
            <sz val="8"/>
            <color indexed="81"/>
            <rFont val="Tahoma"/>
            <family val="2"/>
          </rPr>
          <t>Total number of each part needed to assemble the board(s).
Gray -&gt; Not manf# codes.
Red -&gt; No parts available.
Orange -&gt; Parts available, but not enough.
Yellow -&gt; Enough parts available, but haven't purchased enough.</t>
        </r>
      </text>
    </comment>
    <comment ref="H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K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L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M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N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O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P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Q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R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S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T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U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V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W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X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Y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Z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AL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M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L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$1.82      $1.82
    10   $1.43     $14.33
   100   $1.07    $107.49
   500   $0.81    $406.09
  1000   $0.72    $716.63
  2500   $0.67   $1672.12
  5000   $0.64   $3224.80</t>
        </r>
      </text>
    </comment>
    <comment ref="N7" authorId="0">
      <text>
        <r>
          <rPr>
            <sz val="8"/>
            <color indexed="81"/>
            <rFont val="Tahoma"/>
            <family val="2"/>
          </rPr>
          <t>Footprint: Radial, Can - SMD
Manf: Vishay BC Components
Size: 0.315" Dia (8.00mm)
Tolerance: ±20%
Value: 47µF
Voltage: 50V</t>
        </r>
      </text>
    </comment>
    <comment ref="L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$0.31      $0.31
    10   $0.21      $2.15
   100   $0.12     $12.20
   500   $0.09     $43.06
  1000   $0.08     $75.35
  2500   $0.06    $156.00</t>
        </r>
      </text>
    </comment>
    <comment ref="N8" authorId="0">
      <text>
        <r>
          <rPr>
            <sz val="8"/>
            <color indexed="81"/>
            <rFont val="Tahoma"/>
            <family val="2"/>
          </rPr>
          <t>Footprint: 0805 (2012 Metric)
Manf: KEMET
Size: 0.079" L x 0.049" W (2.00mm x 1.25mm)
Tolerance: ±10%
Value: 0.1µF
Voltage: 100V</t>
        </r>
      </text>
    </comment>
    <comment ref="AI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K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$0.12      $0.12
   100   $0.12     $12.38
  1000   $0.06     $61.22
  2500   $0.04     $90.60</t>
        </r>
      </text>
    </comment>
    <comment ref="J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L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$0.30      $0.30
    10   $0.21      $2.07
   100   $0.10     $10.49
   500   $0.07     $35.88
  1000   $0.06     $63.48
  4000   $0.05    $192.00</t>
        </r>
      </text>
    </comment>
    <comment ref="N9" authorId="0">
      <text>
        <r>
          <rPr>
            <sz val="8"/>
            <color indexed="81"/>
            <rFont val="Tahoma"/>
            <family val="2"/>
          </rPr>
          <t>Footprint: 0805 (2012 Metric)
Manf: KEMET
Size: 0.079" L x 0.049" W (2.00mm x 1.25mm)
Tolerance: ±10%
Value: 1µF
Voltage: 10V</t>
        </r>
      </text>
    </comment>
    <comment ref="L1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$0.28      $0.28
    10   $0.19      $1.94
   100   $0.10      $9.83
   500   $0.07     $33.64
  1000   $0.06     $59.51
  2000   $0.05     $99.00</t>
        </r>
      </text>
    </comment>
    <comment ref="N10" authorId="0">
      <text>
        <r>
          <rPr>
            <sz val="8"/>
            <color indexed="81"/>
            <rFont val="Tahoma"/>
            <family val="2"/>
          </rPr>
          <t>Footprint: 0805 (2012 Metric)
Manf: TDK Corporation
Size: 0.079" L x 0.049" W (2.00mm x 1.25mm)
Tolerance: ±10%
Value: 2.2µF
Voltage: 16V</t>
        </r>
      </text>
    </comment>
    <comment ref="L1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$0.70      $0.70
    10   $0.49      $4.95
   100   $0.33     $32.60
   500   $0.24    $120.75
  1000   $0.21    $205.28
  4000   $0.16    $630.00</t>
        </r>
      </text>
    </comment>
    <comment ref="N11" authorId="0">
      <text>
        <r>
          <rPr>
            <sz val="8"/>
            <color indexed="81"/>
            <rFont val="Tahoma"/>
            <family val="2"/>
          </rPr>
          <t>Footprint: 0805 (2012 Metric)
Manf: KEMET
Size: 0.079" L x 0.049" W (2.00mm x 1.25mm)
Tolerance: ±2%
Value: 20pF
Voltage: 50V</t>
        </r>
      </text>
    </comment>
    <comment ref="L1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$1.69      $1.69
    10   $1.60     $16.01
    50   $1.43     $71.45
   100   $1.31    $131.50
   250   $1.31    $328.75
   500   $1.14    $572.00
  1250   $0.97   $1215.01</t>
        </r>
      </text>
    </comment>
    <comment ref="N12" authorId="0">
      <text>
        <r>
          <rPr>
            <sz val="8"/>
            <color indexed="81"/>
            <rFont val="Tahoma"/>
            <family val="2"/>
          </rPr>
          <t>Manf: Wurth Electronics Inc.
Voltage: 24VDC</t>
        </r>
      </text>
    </comment>
    <comment ref="L1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$0.35      $0.35
    10   $0.29      $2.89
   100   $0.15     $15.31
   500   $0.10     $50.35
  1000   $0.07     $68.47
  5000   $0.05    $260.70
 10000   $0.04    $443.20
 25000   $0.04   $1042.75
 50000   $0.04   $1955.50
125000   $0.03   $4236.25</t>
        </r>
      </text>
    </comment>
    <comment ref="N13" authorId="0">
      <text>
        <r>
          <rPr>
            <sz val="8"/>
            <color indexed="81"/>
            <rFont val="Tahoma"/>
            <family val="2"/>
          </rPr>
          <t>Footprint: DO-214AC, SMA
Manf: ON Semiconductor</t>
        </r>
      </text>
    </comment>
    <comment ref="Q1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100   $0.10     $10.03
   250   $0.09     $23.05
   500   $0.06     $31.59</t>
        </r>
      </text>
    </comment>
    <comment ref="AA1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$0.32      $0.32
    25   $0.21      $5.35
    50   $0.15      $7.60
   100   $0.09      $8.90
   250   $0.08     $20.00
   500   $0.07     $35.00
  1000   $0.06     $61.00</t>
        </r>
      </text>
    </comment>
    <comment ref="AK1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$0.07      $0.07
    10   $0.07      $0.72
    50   $0.05      $2.50
   250   $0.04     $10.05
  1000   $0.04     $36.20
  5000   $0.03    $168.50</t>
        </r>
      </text>
    </comment>
    <comment ref="L1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$0.33      $0.33
    10   $0.24      $2.40
    25   $0.18      $4.43
   100   $0.13     $12.65
   250   $0.09     $21.50
   500   $0.08     $37.94
  1000   $0.06     $59.43
  4000   $0.05    $211.52
  8000   $0.05    $367.84
 12000   $0.04    $496.56
 28000   $0.04   $1029.84
100000   $0.03   $3104.00</t>
        </r>
      </text>
    </comment>
    <comment ref="N14" authorId="0">
      <text>
        <r>
          <rPr>
            <sz val="8"/>
            <color indexed="81"/>
            <rFont val="Tahoma"/>
            <family val="2"/>
          </rPr>
          <t>Footprint: 0805 (2012 Metric)
Manf: OSRAM Opto Semiconductors Inc.
Size: 2.00mm L x 1.25mm W</t>
        </r>
      </text>
    </comment>
    <comment ref="Y1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A1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$0.03      $0.03
  4000   $0.03    $136.00
  8000   $0.03    $256.00
 16000   $0.03    $480.00
 24000   $0.03    $672.00
 40000   $0.03   $1080.00</t>
        </r>
      </text>
    </comment>
    <comment ref="L1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$0.18      $0.18
    10   $0.16      $1.64
   100   $0.09      $8.91
   500   $0.05     $27.42
  1000   $0.04     $37.39
  3000   $0.03     $92.58
  6000   $0.03    $166.98
 10000   $0.03    $264.00
 15000   $0.02    $363.00
 30000   $0.02    $712.80
 50000   $0.02   $1056.00
 75000   $0.02   $1452.00
100000   $0.02   $1980.00
150000   $0.02   $2413.50
250000   $0.02   $4390.00</t>
        </r>
      </text>
    </comment>
    <comment ref="N15" authorId="0">
      <text>
        <r>
          <rPr>
            <sz val="8"/>
            <color indexed="81"/>
            <rFont val="Tahoma"/>
            <family val="2"/>
          </rPr>
          <t>Footprint: SOD-123
Manf: Diodes Incorporated</t>
        </r>
      </text>
    </comment>
    <comment ref="AK1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$0.03      $0.03
    25   $0.03      $0.64
   100   $0.02      $1.83
   500   $0.01      $7.35
  1000   $0.01     $13.60
  3000   $0.01     $36.90</t>
        </r>
      </text>
    </comment>
    <comment ref="L1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$0.08      $0.81
    25   $0.07      $1.83
    50   $0.05      $2.69
   100   $0.05      $4.64
   250   $0.04      $9.16
   500   $0.03     $15.47
  1000   $0.03     $26.05
  4000   $0.02     $94.72
  8000   $0.02    $171.68
 12000   $0.02    $248.64
 28000   $0.02    $538.72
100000   $0.02   $1902.00</t>
        </r>
      </text>
    </comment>
    <comment ref="N16" authorId="0">
      <text>
        <r>
          <rPr>
            <sz val="8"/>
            <color indexed="81"/>
            <rFont val="Tahoma"/>
            <family val="2"/>
          </rPr>
          <t>Footprint: 0805 (2012 Metric)
Manf: Murata Electronics North America
Size: 0.079" L x 0.049" W (2.00mm x 1.25mm)</t>
        </r>
      </text>
    </comment>
    <comment ref="AF1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$0.07      $0.07
    25   $0.07      $1.68
   250   $0.04      $9.43
  1250   $0.03     $32.42
  2500   $0.02     $58.94
  5000   $0.02    $106.09</t>
        </r>
      </text>
    </comment>
    <comment ref="AK1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$0.05      $0.05
   100   $0.05      $4.60
   500   $0.03     $16.44
  1000   $0.03     $25.65
  4000   $0.02     $84.16
 12000   $0.02    $236.76</t>
        </r>
      </text>
    </comment>
    <comment ref="L1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$0.24      $0.24
    10   $0.23      $2.29
   100   $0.16     $15.86
   500   $0.13     $67.10
  1000   $0.11    $109.80
  5000   $0.10    $488.00
 10000   $0.09    $884.50</t>
        </r>
      </text>
    </comment>
    <comment ref="N17" authorId="0">
      <text>
        <r>
          <rPr>
            <sz val="8"/>
            <color indexed="81"/>
            <rFont val="Tahoma"/>
            <family val="2"/>
          </rPr>
          <t>Manf: Harwin Inc.</t>
        </r>
      </text>
    </comment>
    <comment ref="L1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$1.38      $1.38
    10   $1.25     $12.51
    25   $1.17     $29.37
    50   $1.12     $56.19
   100   $1.07    $107.27
   250   $0.97    $242.63
   500   $0.89    $446.94
  1000   $0.77    $766.19
  2500   $0.72   $1787.78</t>
        </r>
      </text>
    </comment>
    <comment ref="N18" authorId="0">
      <text>
        <r>
          <rPr>
            <sz val="8"/>
            <color indexed="81"/>
            <rFont val="Tahoma"/>
            <family val="2"/>
          </rPr>
          <t>Manf: TE Connectivity AMP Connectors
Voltage: 30VAC</t>
        </r>
      </text>
    </comment>
    <comment ref="AA1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$1.70      $1.70
    10   $1.67     $16.70
    25   $1.63     $40.75
    50   $1.54     $77.00
   100   $1.32    $132.00
   500   $1.24    $620.00
  1000   $1.06   $1060.00
  2500   $0.99   $2485.00</t>
        </r>
      </text>
    </comment>
    <comment ref="AF1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$7.51      $7.51
    25   $4.84    $121.12
    75   $4.72    $353.64
   200   $4.59    $917.11
   400   $4.44   $1777.63</t>
        </r>
      </text>
    </comment>
    <comment ref="AK1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$1.32      $1.32
     5   $1.20      $6.01
    20   $0.98     $19.66
   100   $0.87     $87.36
   600   $0.76    $458.64</t>
        </r>
      </text>
    </comment>
    <comment ref="L2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$0.66      $0.66
     5   $0.64      $3.22
    10   $0.62      $6.24
    50   $0.52     $26.24
   100   $0.44     $43.56
   250   $0.40     $99.00
   500   $0.34    $168.30
  1000   $0.30    $297.00
  2000   $0.25    $504.00
  4000   $0.25    $990.00
  6000   $0.24   $1458.00
 10000   $0.23   $2340.00</t>
        </r>
      </text>
    </comment>
    <comment ref="N20" authorId="0">
      <text>
        <r>
          <rPr>
            <sz val="8"/>
            <color indexed="81"/>
            <rFont val="Tahoma"/>
            <family val="2"/>
          </rPr>
          <t>Footprint: 1812 (4532 Metric), Concave
Manf: Bourns Inc.
Size: 0.179" L x 0.128" W (4.55mm x 3.24mm)</t>
        </r>
      </text>
    </comment>
    <comment ref="Q2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$0.33      $0.33
    10   $0.33      $3.29
   100   $0.32     $32.18
   500   $0.32    $159.14
  1000   $0.32    $317.10
  2000   $0.32    $631.84
  4000   $0.31   $1258.96
 20000   $0.31   $6271.22</t>
        </r>
      </text>
    </comment>
    <comment ref="AA2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$0.60      $0.60
    10   $0.48      $4.77
    25   $0.44     $10.95
    50   $0.40     $19.95
   100   $0.36     $36.00
   250   $0.32     $81.00
   500   $0.31    $153.50
  1000   $0.26    $261.00</t>
        </r>
      </text>
    </comment>
    <comment ref="AF2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$0.29      $0.29
    10   $0.29      $2.95
   100   $0.28     $28.41
   500   $0.28    $137.92
  1500   $0.27    $397.85
  2500   $0.26    $648.34</t>
        </r>
      </text>
    </comment>
    <comment ref="L2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$1.24      $1.24
    10   $1.09     $10.92
   100   $0.94     $94.25
   500   $0.77    $385.56
  1000   $0.69    $685.44
  5000   $0.62   $3094.00</t>
        </r>
      </text>
    </comment>
    <comment ref="N21" authorId="0">
      <text>
        <r>
          <rPr>
            <sz val="8"/>
            <color indexed="81"/>
            <rFont val="Tahoma"/>
            <family val="2"/>
          </rPr>
          <t>Manf: Sullins Connector Solutions</t>
        </r>
      </text>
    </comment>
    <comment ref="Y2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A2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$9.95      $9.95
    10   $9.95     $99.50
   100   $8.13    $813.00
   250   $7.45   $1862.50
   500   $6.92   $3460.00
  1000   $6.51   $6510.00</t>
        </r>
      </text>
    </comment>
    <comment ref="L2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$0.94      $0.94
    10   $0.83      $8.28
   100   $0.71     $71.48
   500   $0.58    $292.41
  1000   $0.52    $519.84
  5000   $0.47   $2346.50</t>
        </r>
      </text>
    </comment>
    <comment ref="N22" authorId="0">
      <text>
        <r>
          <rPr>
            <sz val="8"/>
            <color indexed="81"/>
            <rFont val="Tahoma"/>
            <family val="2"/>
          </rPr>
          <t>Manf: Sullins Connector Solutions</t>
        </r>
      </text>
    </comment>
    <comment ref="Y2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A2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$9.95      $9.95
    10   $9.95     $99.50
   100   $8.13    $813.00
   250   $7.45   $1862.50
   500   $6.92   $3460.00
  1000   $6.51   $6510.00</t>
        </r>
      </text>
    </comment>
    <comment ref="J2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L2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$1.32      $1.32
    10   $1.20     $11.95
   100   $1.02    $102.44
   500   $0.85    $426.83
  1000   $0.73    $731.70
  5000   $0.70   $3523.00</t>
        </r>
      </text>
    </comment>
    <comment ref="N23" authorId="0">
      <text>
        <r>
          <rPr>
            <sz val="8"/>
            <color indexed="81"/>
            <rFont val="Tahoma"/>
            <family val="2"/>
          </rPr>
          <t>Manf: Sullins Connector Solutions</t>
        </r>
      </text>
    </comment>
    <comment ref="Y2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A2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$9.95      $9.95
    10   $9.95     $99.50
   100   $8.13    $813.00
   250   $7.45   $1862.50
   500   $6.92   $3460.00
  1000   $6.51   $6510.00</t>
        </r>
      </text>
    </comment>
    <comment ref="L2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$1.24      $1.24
    10   $1.09     $10.92
   100   $0.94     $94.25
   500   $0.77    $385.56
  1000   $0.69    $685.44
  5000   $0.62   $3094.00</t>
        </r>
      </text>
    </comment>
    <comment ref="N24" authorId="0">
      <text>
        <r>
          <rPr>
            <sz val="8"/>
            <color indexed="81"/>
            <rFont val="Tahoma"/>
            <family val="2"/>
          </rPr>
          <t>Manf: Sullins Connector Solutions</t>
        </r>
      </text>
    </comment>
    <comment ref="L2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$0.55      $0.55
    10   $0.43      $4.31
   100   $0.30     $29.56
   500   $0.20    $101.35
  1000   $0.15    $152.02
  3000   $0.14    $405.87</t>
        </r>
      </text>
    </comment>
    <comment ref="N25" authorId="0">
      <text>
        <r>
          <rPr>
            <sz val="8"/>
            <color indexed="81"/>
            <rFont val="Tahoma"/>
            <family val="2"/>
          </rPr>
          <t>Footprint: TO-236-3, SC-59, SOT-23-3
Manf: ON Semiconductor</t>
        </r>
      </text>
    </comment>
    <comment ref="Q2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$0.20      $0.20
   100   $0.20     $20.16
   250   $0.20     $48.92
   500   $0.15     $73.68</t>
        </r>
      </text>
    </comment>
    <comment ref="AA2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$0.46      $0.46
    25   $0.35      $8.70
    50   $0.27     $13.40
   100   $0.19     $18.90
   250   $0.17     $43.50
   500   $0.16     $78.50
  1000   $0.14    $142.00</t>
        </r>
      </text>
    </comment>
    <comment ref="J2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L2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$0.05      $0.46
   100   $0.02      $1.86
  1000   $0.01      $8.35
  2500   $0.01     $18.12
  5000   $0.01     $27.20
 10000   $0.00     $47.30
 25000   $0.00    $103.75
 50000   $0.00    $190.50
125000   $0.00    $466.25</t>
        </r>
      </text>
    </comment>
    <comment ref="N26" authorId="0">
      <text>
        <r>
          <rPr>
            <sz val="8"/>
            <color indexed="81"/>
            <rFont val="Tahoma"/>
            <family val="2"/>
          </rPr>
          <t>Footprint: 0805 (2012 Metric)
Manf: Yageo
Size: 0.079" L x 0.049" W (2.00mm x 1.25mm)
Tolerance: ±1%
Value: 510 Ohms</t>
        </r>
      </text>
    </comment>
    <comment ref="AK2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$0.04      $0.04
   100   $0.04      $4.12
  1000   $0.02     $17.82
  5000   $0.01     $34.85
 15000   $0.01     $81.30
 50000   $0.00    $232.50</t>
        </r>
      </text>
    </comment>
    <comment ref="J2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L2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$0.04      $0.35
   100   $0.01      $1.43
  1000   $0.01      $6.41
  2500   $0.01     $13.93
  5000   $0.00     $20.90
 10000   $0.00     $36.30
 20000   $0.00     $72.60
 25000   $0.00     $85.00
 30000   $0.00    $102.00
 40000   $0.00    $136.00</t>
        </r>
      </text>
    </comment>
    <comment ref="N27" authorId="0">
      <text>
        <r>
          <rPr>
            <sz val="8"/>
            <color indexed="81"/>
            <rFont val="Tahoma"/>
            <family val="2"/>
          </rPr>
          <t>Footprint: 0805 (2012 Metric)
Manf: Vishay Dale
Size: 0.079" L x 0.049" W (2.00mm x 1.25mm)
Tolerance: ±5%
Value: 1 kOhms</t>
        </r>
      </text>
    </comment>
    <comment ref="O2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Q2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$0.02      $0.02
   100   $0.02      $2.11
   500   $0.02      $9.96
  1000   $0.01     $10.26
  2500   $0.01     $22.40</t>
        </r>
      </text>
    </comment>
    <comment ref="AA2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$0.01      $0.01
  5000   $0.01     $30.00</t>
        </r>
      </text>
    </comment>
    <comment ref="AF2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$4.46      $4.46
     4   $4.33     $17.30
    20   $3.90     $78.04
    40   $2.77    $110.81
   200   $2.68    $535.18</t>
        </r>
      </text>
    </comment>
    <comment ref="J2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L2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$0.04      $0.35
   100   $0.01      $1.43
  1000   $0.01      $6.41
  2500   $0.01     $13.93
  5000   $0.00     $20.90
 10000   $0.00     $36.30
 20000   $0.00     $72.60
 25000   $0.00     $85.00
 30000   $0.00    $102.00
 40000   $0.00    $136.00</t>
        </r>
      </text>
    </comment>
    <comment ref="N28" authorId="0">
      <text>
        <r>
          <rPr>
            <sz val="8"/>
            <color indexed="81"/>
            <rFont val="Tahoma"/>
            <family val="2"/>
          </rPr>
          <t>Footprint: 0805 (2012 Metric)
Manf: Vishay Dale
Size: 0.079" L x 0.049" W (2.00mm x 1.25mm)
Tolerance: ±5%
Value: 10 kOhms</t>
        </r>
      </text>
    </comment>
    <comment ref="O2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Q2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$0.03      $0.03
   100   $0.03      $2.53
   500   $0.02     $11.96
  1000   $0.01     $12.26
  2500   $0.01     $26.82</t>
        </r>
      </text>
    </comment>
    <comment ref="Y2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A2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$0.01      $0.01
  5000   $0.01     $30.00</t>
        </r>
      </text>
    </comment>
    <comment ref="AK2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$0.02      $0.02
  5000   $0.02    $113.55</t>
        </r>
      </text>
    </comment>
    <comment ref="L2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$0.04      $0.39
   100   $0.02      $1.59
  1000   $0.01      $7.16
  2500   $0.01     $15.55
  5000   $0.00     $23.40
 10000   $0.00     $40.60
 25000   $0.00     $89.25
 50000   $0.00    $163.50
125000   $0.00    $401.25</t>
        </r>
      </text>
    </comment>
    <comment ref="N29" authorId="0">
      <text>
        <r>
          <rPr>
            <sz val="8"/>
            <color indexed="81"/>
            <rFont val="Tahoma"/>
            <family val="2"/>
          </rPr>
          <t>Footprint: 0805 (2012 Metric)
Manf: Yageo
Size: 0.079" L x 0.049" W (2.00mm x 1.25mm)
Tolerance: ±5%
Value: 22 Ohms</t>
        </r>
      </text>
    </comment>
    <comment ref="AK2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$0.04      $0.04
   100   $0.04      $3.61
  1000   $0.01     $14.79
  5000   $0.01     $32.90
 15000   $0.01     $82.50
 50000   $0.00    $232.50</t>
        </r>
      </text>
    </comment>
    <comment ref="L3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$0.07      $0.74
    25   $0.05      $1.33
    50   $0.04      $2.03
   100   $0.03      $3.00
   250   $0.02      $5.72
   500   $0.02      $9.15
  1000   $0.01     $13.47
  5000   $0.01     $43.90
 10000   $0.01     $76.20
 25000   $0.01    $167.50
 50000   $0.01    $307.00
125000   $0.01    $752.50</t>
        </r>
      </text>
    </comment>
    <comment ref="N30" authorId="0">
      <text>
        <r>
          <rPr>
            <sz val="8"/>
            <color indexed="81"/>
            <rFont val="Tahoma"/>
            <family val="2"/>
          </rPr>
          <t>Footprint: 0805 (2012 Metric)
Manf: Panasonic Electronic Components
Size: 0.079" L x 0.049" W (2.00mm x 1.25mm)
Tolerance: Jumper
Value: 0 Ohms</t>
        </r>
      </text>
    </comment>
    <comment ref="J3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L3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$0.06      $0.55
   100   $0.02      $2.23
  1000   $0.01     $10.03
  2500   $0.01     $21.75
  5000   $0.01     $32.70
 10000   $0.01     $56.80
 20000   $0.01    $113.60
 25000   $0.01    $133.00
 30000   $0.01    $159.60
 40000   $0.01    $212.80</t>
        </r>
      </text>
    </comment>
    <comment ref="N31" authorId="0">
      <text>
        <r>
          <rPr>
            <sz val="8"/>
            <color indexed="81"/>
            <rFont val="Tahoma"/>
            <family val="2"/>
          </rPr>
          <t>Footprint: 0805 (2012 Metric)
Manf: Vishay Dale
Size: 0.079" L x 0.049" W (2.00mm x 1.25mm)
Tolerance: ±1%
Value: 1 MOhms</t>
        </r>
      </text>
    </comment>
    <comment ref="L3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$0.30      $0.30
    10   $0.29      $2.86
    25   $0.28      $6.88
    50   $0.27     $13.26
   100   $0.25     $25.49
   250   $0.23     $58.63
   500   $0.20    $101.97
  1000   $0.17    $173.35
  2000   $0.16    $324.46
  6000   $0.13    $806.52</t>
        </r>
      </text>
    </comment>
    <comment ref="N32" authorId="0">
      <text>
        <r>
          <rPr>
            <sz val="8"/>
            <color indexed="81"/>
            <rFont val="Tahoma"/>
            <family val="2"/>
          </rPr>
          <t>Manf: Panasonic Electronic Components</t>
        </r>
      </text>
    </comment>
    <comment ref="AD3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F3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$0.25      $0.25
   100   $0.25     $24.52
   300   $0.22     $66.84
   500   $0.21    $102.56</t>
        </r>
      </text>
    </comment>
    <comment ref="J3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L3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$0.42      $0.42
    10   $0.36      $3.61
   100   $0.27     $26.97
   500   $0.21    $105.94
  1000   $0.16    $163.73
  2500   $0.14    $362.30
  5000   $0.14    $677.90
 12500   $0.13   $1577.75
 25000   $0.12   $2992.00
 62500   $0.12   $7305.00</t>
        </r>
      </text>
    </comment>
    <comment ref="N33" authorId="0">
      <text>
        <r>
          <rPr>
            <sz val="8"/>
            <color indexed="81"/>
            <rFont val="Tahoma"/>
            <family val="2"/>
          </rPr>
          <t>Footprint: TO-261-4, TO-261AA
Manf: STMicroelectronics</t>
        </r>
      </text>
    </comment>
    <comment ref="AI3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K3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$0.12      $0.12
  2500   $0.12    $290.25</t>
        </r>
      </text>
    </comment>
    <comment ref="L3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$0.80      $0.80
    10   $0.70      $7.04
   100   $0.54     $53.94
   500   $0.43    $213.21
  1000   $0.34    $341.14
  2500   $0.30    $750.37
  5000   $0.28   $1397.25
 12500   $0.27   $3363.75</t>
        </r>
      </text>
    </comment>
    <comment ref="N34" authorId="0">
      <text>
        <r>
          <rPr>
            <sz val="8"/>
            <color indexed="81"/>
            <rFont val="Tahoma"/>
            <family val="2"/>
          </rPr>
          <t>Footprint: 8-TSSOP, 8-MSOP (0.118", 3.00mm Width)
Manf: Texas Instruments</t>
        </r>
      </text>
    </comment>
    <comment ref="L3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$0.60      $0.60
    10   $0.53      $5.27
   100   $0.40     $40.39
   250   $0.65    $163.40
   500   $0.32    $159.65
  1000   $0.26    $255.44
  1250   $0.46    $570.00
  3000   $0.22    $674.25
  6000   $0.21   $1255.50
 15000   $0.20   $3022.50</t>
        </r>
      </text>
    </comment>
    <comment ref="N35" authorId="0">
      <text>
        <r>
          <rPr>
            <sz val="8"/>
            <color indexed="81"/>
            <rFont val="Tahoma"/>
            <family val="2"/>
          </rPr>
          <t>Footprint: SC-74A, SOT-753
Manf: Texas Instruments</t>
        </r>
      </text>
    </comment>
    <comment ref="AK3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$0.41      $0.41
     3   $0.41      $1.24
    25   $0.37      $9.25
   100   $0.33     $32.70
   500   $0.29    $147.00
  3000   $0.27    $822.00</t>
        </r>
      </text>
    </comment>
    <comment ref="L3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$2.52      $2.52
    25   $2.32     $57.94
  5000   $2.38  $11896.55</t>
        </r>
      </text>
    </comment>
    <comment ref="N36" authorId="0">
      <text>
        <r>
          <rPr>
            <sz val="8"/>
            <color indexed="81"/>
            <rFont val="Tahoma"/>
            <family val="2"/>
          </rPr>
          <t>Footprint: 32-VFQFN Exposed Pad
Manf: Microchip Technology</t>
        </r>
      </text>
    </comment>
    <comment ref="AK3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$2.99      $2.99
     5   $2.75     $13.75
    25   $2.56     $64.00
   100   $2.46    $246.00</t>
        </r>
      </text>
    </comment>
    <comment ref="L3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$2.14      $2.14
    25   $1.97     $49.18</t>
        </r>
      </text>
    </comment>
    <comment ref="N37" authorId="0">
      <text>
        <r>
          <rPr>
            <sz val="8"/>
            <color indexed="81"/>
            <rFont val="Tahoma"/>
            <family val="2"/>
          </rPr>
          <t>Footprint: 28-DIP (0.300", 7.62mm)
Manf: Microchip Technology</t>
        </r>
      </text>
    </comment>
    <comment ref="AK3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$2.82      $2.82
     5   $2.65     $13.25
    28   $2.45     $68.60
    98   $2.21    $216.58</t>
        </r>
      </text>
    </comment>
    <comment ref="L3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$0.51      $0.51
    10   $0.36      $3.59
    25   $0.29      $7.36
   100   $0.24     $23.57
   250   $0.17     $42.85
   500   $0.14     $69.63
  1000   $0.11    $107.12
  2500   $0.10    $241.02
  5000   $0.09    $442.00
 10000   $0.08    $806.00
 25000   $0.08   $1885.00
 50000   $0.07   $3380.00
125000   $0.07   $8125.00</t>
        </r>
      </text>
    </comment>
    <comment ref="N38" authorId="0">
      <text>
        <r>
          <rPr>
            <sz val="8"/>
            <color indexed="81"/>
            <rFont val="Tahoma"/>
            <family val="2"/>
          </rPr>
          <t>Footprint: 0603 (1608 Metric)
Manf: Bourns Inc.</t>
        </r>
      </text>
    </comment>
    <comment ref="AD3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L3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$0.35      $0.35
    10   $0.29      $2.89
    50   $0.26     $12.99
   100   $0.23     $23.10
   500   $0.22    $109.73
  1000   $0.18    $184.80
  2500   $0.17    $433.12
  5000   $0.17    $837.40
 10000   $0.16   $1617.00</t>
        </r>
      </text>
    </comment>
    <comment ref="N39" authorId="0">
      <text>
        <r>
          <rPr>
            <sz val="8"/>
            <color indexed="81"/>
            <rFont val="Tahoma"/>
            <family val="2"/>
          </rPr>
          <t>Footprint: HC-49/US
Frequency: 16MHz
Manf: Fox Electronics
Size: 0.447" L x 0.183" W (11.35mm x 4.65mm)</t>
        </r>
      </text>
    </comment>
    <comment ref="L4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$0.50      $0.50
    10   $0.42      $4.20
    50   $0.38     $18.88
   100   $0.34     $33.57
   500   $0.32    $159.47
  1000   $0.27    $268.58
  3000   $0.23    $686.70
  6000   $0.22   $1327.62
 15000   $0.21   $3204.60</t>
        </r>
      </text>
    </comment>
    <comment ref="N40" authorId="0">
      <text>
        <r>
          <rPr>
            <sz val="8"/>
            <color indexed="81"/>
            <rFont val="Tahoma"/>
            <family val="2"/>
          </rPr>
          <t>Footprint: 3-SMD, Non-Standard
Frequency: 16MHz
Manf: Murata Electronics North America
Size: 0.126" L x 0.051" W (3.20mm x 1.30mm)
Value: 15pF</t>
        </r>
      </text>
    </comment>
    <comment ref="Q4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$0.51      $0.51
     5   $0.51      $2.55
    50   $0.35     $17.33
   250   $0.31     $76.92
   500   $0.25    $126.72
  1500   $0.24    $353.64
  3000   $0.22    $654.23
 15000   $0.21   $3165.08</t>
        </r>
      </text>
    </comment>
    <comment ref="Y4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I4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K4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$1.09      $1.09
    10   $0.42      $4.20
   100   $0.27     $27.48
  1000   $0.22    $224.88
  3000   $0.21    $615.48</t>
        </r>
      </text>
    </comment>
    <comment ref="K42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P42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U42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Z42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E42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J42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</commentList>
</comments>
</file>

<file path=xl/sharedStrings.xml><?xml version="1.0" encoding="utf-8"?>
<sst xmlns="http://schemas.openxmlformats.org/spreadsheetml/2006/main" count="389" uniqueCount="230">
  <si>
    <t>Global Part Info</t>
  </si>
  <si>
    <t>Manf</t>
  </si>
  <si>
    <t>Ext$</t>
  </si>
  <si>
    <t>Refs</t>
  </si>
  <si>
    <t>Footprint</t>
  </si>
  <si>
    <t>Value</t>
  </si>
  <si>
    <t>Unit$</t>
  </si>
  <si>
    <t>Qty</t>
  </si>
  <si>
    <t>Desc</t>
  </si>
  <si>
    <t>Manf#</t>
  </si>
  <si>
    <t>C1,C2</t>
  </si>
  <si>
    <t>Vishay</t>
  </si>
  <si>
    <t>47uF</t>
  </si>
  <si>
    <t>C2: 47uF Low ESR LDO Output Cap
C1: 47uF Low ESR LDO Input Cap</t>
  </si>
  <si>
    <t>MAL215371479E3</t>
  </si>
  <si>
    <t>C3,C4,C9,C11,C14,C15</t>
  </si>
  <si>
    <t>Kemet</t>
  </si>
  <si>
    <t>0.1 uF</t>
  </si>
  <si>
    <t>C3,C4: LDO Bypass Cap
C9: ATMEGA16U2 VCC Bypass Cap
C15: ATMEGA328P VCC and AVCC Bypass Cap
C14: ATMEGA328P AREF Bypass Cap
C11: ATMEGA328P Reset Cap</t>
  </si>
  <si>
    <t>C0805C104K1RACAUTO</t>
  </si>
  <si>
    <t>C5,C10</t>
  </si>
  <si>
    <t>1uF</t>
  </si>
  <si>
    <t>C10: ATMEGA16U2 1uF UCAP 
C5: 3V3 LDO Input Cap</t>
  </si>
  <si>
    <t>C0805C105K8RACAUTO</t>
  </si>
  <si>
    <t>C6</t>
  </si>
  <si>
    <t>TDK Corporation</t>
  </si>
  <si>
    <t>2.2uF</t>
  </si>
  <si>
    <t>2.2uF 3V3 LDO Output Cap</t>
  </si>
  <si>
    <t>C2012X7R1C225K125AB</t>
  </si>
  <si>
    <t>C7,C8</t>
  </si>
  <si>
    <t>20pF</t>
  </si>
  <si>
    <t>20pF ATMEGA16U2 XTAL Load Cap</t>
  </si>
  <si>
    <t>C0805C200G5GACTU</t>
  </si>
  <si>
    <t>CON1</t>
  </si>
  <si>
    <t>Wurth Electronics</t>
  </si>
  <si>
    <t>BARREL_JACK</t>
  </si>
  <si>
    <t>9V Barrel Jack</t>
  </si>
  <si>
    <t>694106106102</t>
  </si>
  <si>
    <t>D1</t>
  </si>
  <si>
    <t>ON Semi</t>
  </si>
  <si>
    <t>DIODE</t>
  </si>
  <si>
    <t>Reverse Voltage Protection Diode</t>
  </si>
  <si>
    <t>MRA4007T3G</t>
  </si>
  <si>
    <t>D2,D3,D5,D6</t>
  </si>
  <si>
    <t>OSRAM Opto</t>
  </si>
  <si>
    <t>LED</t>
  </si>
  <si>
    <t>D6: Serial Rx Green LED
D2,D3: Power On Green LED
D5: Serial Tx Green LED</t>
  </si>
  <si>
    <t>LG R971-KN-1</t>
  </si>
  <si>
    <t>D4,D7</t>
  </si>
  <si>
    <t>Diodes Inc</t>
  </si>
  <si>
    <t>1N4148W-7-F</t>
  </si>
  <si>
    <t>D7: ATMEGA328P ICSP Reset Voltage Spike Protection
D4: ATMEGA16U2 ICSP Reset Voltage Spike Protection</t>
  </si>
  <si>
    <t>FB1</t>
  </si>
  <si>
    <t>Murata</t>
  </si>
  <si>
    <t>BLM21PG221SN1D</t>
  </si>
  <si>
    <t>USB Ferrite Bead</t>
  </si>
  <si>
    <t>ICSP1,ICSP2</t>
  </si>
  <si>
    <t>Harwin</t>
  </si>
  <si>
    <t>M20-9980346</t>
  </si>
  <si>
    <t>ICSP1: ATMEGA16U2 ICSP Header
ICSP2: ATMEGA328P ICSP Header</t>
  </si>
  <si>
    <t>J1</t>
  </si>
  <si>
    <t>TE Connectivity</t>
  </si>
  <si>
    <t>USB_TYPE_B</t>
  </si>
  <si>
    <t>USB Type-B Connector</t>
  </si>
  <si>
    <t>292304-1</t>
  </si>
  <si>
    <t>JP2</t>
  </si>
  <si>
    <t>FOOTPRINT ONLY</t>
  </si>
  <si>
    <t>NO_POP</t>
  </si>
  <si>
    <t>MF-MSMF050-2</t>
  </si>
  <si>
    <t>Bourns</t>
  </si>
  <si>
    <t>500mA</t>
  </si>
  <si>
    <t>PTC Resettable Fuse on USBVCC</t>
  </si>
  <si>
    <t>P1</t>
  </si>
  <si>
    <t>Sullins Connector</t>
  </si>
  <si>
    <t>Power Header</t>
  </si>
  <si>
    <t>Shield Header 8POS - PWR</t>
  </si>
  <si>
    <t>NPPC081KFXC-RC</t>
  </si>
  <si>
    <t>P2</t>
  </si>
  <si>
    <t>Analog Header</t>
  </si>
  <si>
    <t>Shield Header 6POS - ANLG</t>
  </si>
  <si>
    <t>NPPC061KFXC-RC</t>
  </si>
  <si>
    <t>P3</t>
  </si>
  <si>
    <t>Digital Header 02</t>
  </si>
  <si>
    <t>Shield Header 10POS - DIG02</t>
  </si>
  <si>
    <t>NPPC101KFXC-RC</t>
  </si>
  <si>
    <t>P4</t>
  </si>
  <si>
    <t>Digital Header 01</t>
  </si>
  <si>
    <t>Shield Header 8POS - DIG01</t>
  </si>
  <si>
    <t>Q1</t>
  </si>
  <si>
    <t>Fairchild Semiconductor</t>
  </si>
  <si>
    <t>FDN340P</t>
  </si>
  <si>
    <t>USBVCC MOSFET</t>
  </si>
  <si>
    <t>R1,R4,R10,R11</t>
  </si>
  <si>
    <t>Yageo</t>
  </si>
  <si>
    <t>510</t>
  </si>
  <si>
    <t>R1,R4: Power On LED Resistor
R11: Serial Rx LED Resistor
R10: Serial Tx LED Resistor</t>
  </si>
  <si>
    <t>RC0805FR-07510RL</t>
  </si>
  <si>
    <t>R12,R14,R15</t>
  </si>
  <si>
    <t>1K</t>
  </si>
  <si>
    <t>R15: ATMEGA328P Serial Rx Terminator
R12: ATMEGA328P DTR Pull Down Resistor
R14: ATMEGA328P Serial Tx Terminator</t>
  </si>
  <si>
    <t>CRCW08051K00JNEA</t>
  </si>
  <si>
    <t>R2,R3,R7,R16</t>
  </si>
  <si>
    <t>10K</t>
  </si>
  <si>
    <t>R7: ATMEGA16U2 10K ICSP Pull Up
R2,R3: 10K Comparator Voltage Divider Resistor
R16: ATMEGA328P 10K ICSP Pull Up</t>
  </si>
  <si>
    <t>CRCW080510K0JNEA</t>
  </si>
  <si>
    <t>R5,R6</t>
  </si>
  <si>
    <t>22R</t>
  </si>
  <si>
    <t>22R USB Termination Resistor</t>
  </si>
  <si>
    <t>RC0805JR-0722RL</t>
  </si>
  <si>
    <t>R8,R13</t>
  </si>
  <si>
    <t>Panasonic</t>
  </si>
  <si>
    <t>0</t>
  </si>
  <si>
    <t>R8: ATMEGA16U2 UGND to GND Link
R13: ATMEGA328P DTR 0R Link</t>
  </si>
  <si>
    <t>ERJ-6GEY0R00V</t>
  </si>
  <si>
    <t>R9,R17</t>
  </si>
  <si>
    <t>1M</t>
  </si>
  <si>
    <t>R9: ATMEGA16U2 Xtal 1M Feedback Resistor
R17: ATMEGA328P Xtal 1M Feedback Resistor</t>
  </si>
  <si>
    <t>CRCW08051M00FKEA</t>
  </si>
  <si>
    <t>SW1</t>
  </si>
  <si>
    <t>RESET_SWITCH</t>
  </si>
  <si>
    <t>Reset Pushbutton</t>
  </si>
  <si>
    <t>EVQ-Q2U02W</t>
  </si>
  <si>
    <t>U1</t>
  </si>
  <si>
    <t>STMicroelectronics</t>
  </si>
  <si>
    <t>SOT-223</t>
  </si>
  <si>
    <t>LD1117S50TR</t>
  </si>
  <si>
    <t>5V Fixed LDO</t>
  </si>
  <si>
    <t>U2</t>
  </si>
  <si>
    <t>Texas Instruments</t>
  </si>
  <si>
    <t>LMV358IDGKR</t>
  </si>
  <si>
    <t>Comparator Op-amp</t>
  </si>
  <si>
    <t>U3</t>
  </si>
  <si>
    <t>LP2985-33DBVR</t>
  </si>
  <si>
    <t>3V3 Fixed LDO Regulator</t>
  </si>
  <si>
    <t>U4</t>
  </si>
  <si>
    <t>Atmel</t>
  </si>
  <si>
    <t>ATMEGA16U2-MU</t>
  </si>
  <si>
    <t>ATMEGA16U2 Microcontroller</t>
  </si>
  <si>
    <t>U5</t>
  </si>
  <si>
    <t>ATMEGA328P</t>
  </si>
  <si>
    <t>ATMEGA328P-PU</t>
  </si>
  <si>
    <t>VR1,VR2</t>
  </si>
  <si>
    <t>CG0603MLC-05E</t>
  </si>
  <si>
    <t>ESD Protection Varistor</t>
  </si>
  <si>
    <t>X1</t>
  </si>
  <si>
    <t>Fox Electronics</t>
  </si>
  <si>
    <t>FOXSLF/160-20</t>
  </si>
  <si>
    <t>ATMEGA16U2 16MHz Crystal Oscillator</t>
  </si>
  <si>
    <t>X2</t>
  </si>
  <si>
    <t>CSTCE16MOV53-R0</t>
  </si>
  <si>
    <t>ATMEGA328P Oscillator</t>
  </si>
  <si>
    <t>CSTCE16M0V53-R0</t>
  </si>
  <si>
    <t>Prj:</t>
  </si>
  <si>
    <t>Arduino UNO R3 Clone</t>
  </si>
  <si>
    <t>Co.:</t>
  </si>
  <si>
    <t>Rheingold Heavy</t>
  </si>
  <si>
    <t>Prj date:</t>
  </si>
  <si>
    <t>10/19/2015 8:24:00 AM</t>
  </si>
  <si>
    <t>Board Qty:</t>
  </si>
  <si>
    <t>Total Cost:</t>
  </si>
  <si>
    <t>Unit Cost:</t>
  </si>
  <si>
    <t>$ date:</t>
  </si>
  <si>
    <t>2018-07-18 10:59:42</t>
  </si>
  <si>
    <t>Digi-Key</t>
  </si>
  <si>
    <t>Cat#</t>
  </si>
  <si>
    <t>Purch</t>
  </si>
  <si>
    <t>Avail</t>
  </si>
  <si>
    <t>BC5168-ND</t>
  </si>
  <si>
    <t>399-6926-1-ND</t>
  </si>
  <si>
    <t>399-6931-1-ND</t>
  </si>
  <si>
    <t>NonStk</t>
  </si>
  <si>
    <t>445-1420-1-ND</t>
  </si>
  <si>
    <t>399-9185-1-ND</t>
  </si>
  <si>
    <t>732-5929-1-ND</t>
  </si>
  <si>
    <t>MRA4007T3GOSCT-ND</t>
  </si>
  <si>
    <t>475-1410-1-ND</t>
  </si>
  <si>
    <t>1N4148W-FDICT-ND</t>
  </si>
  <si>
    <t>490-1054-1-ND</t>
  </si>
  <si>
    <t>952-2121-ND</t>
  </si>
  <si>
    <t>A31725-ND</t>
  </si>
  <si>
    <t>MF-MSMF050-2CT-ND</t>
  </si>
  <si>
    <t>S5639-ND</t>
  </si>
  <si>
    <t>S5637-ND</t>
  </si>
  <si>
    <t>S5641-ND</t>
  </si>
  <si>
    <t>FDN340PCT-ND</t>
  </si>
  <si>
    <t>311-510CRCT-ND</t>
  </si>
  <si>
    <t>541-1.0KACT-ND</t>
  </si>
  <si>
    <t>541-10KACT-ND</t>
  </si>
  <si>
    <t>311-22ARCT-ND</t>
  </si>
  <si>
    <t>P0.0ACT-ND</t>
  </si>
  <si>
    <t>541-1.00MCCT-ND</t>
  </si>
  <si>
    <t>P12954SCT-ND</t>
  </si>
  <si>
    <t>497-6447-1-ND</t>
  </si>
  <si>
    <t>296-13455-1-ND</t>
  </si>
  <si>
    <t>296-18476-1-ND</t>
  </si>
  <si>
    <t>ATMEGA16U2-MU-ND</t>
  </si>
  <si>
    <t>ATMEGA328P-PU-ND</t>
  </si>
  <si>
    <t>CG0603MLC-05ECT-ND</t>
  </si>
  <si>
    <t>631-1108-ND</t>
  </si>
  <si>
    <t>490-1198-1-ND</t>
  </si>
  <si>
    <t>Farnell</t>
  </si>
  <si>
    <t>1459137</t>
  </si>
  <si>
    <t>9350314RL</t>
  </si>
  <si>
    <t>9846310</t>
  </si>
  <si>
    <t>1652937</t>
  </si>
  <si>
    <t>1469857</t>
  </si>
  <si>
    <t>2443265RL</t>
  </si>
  <si>
    <t>Mouser</t>
  </si>
  <si>
    <t>Newark</t>
  </si>
  <si>
    <t>20J4309</t>
  </si>
  <si>
    <t>32AC1051</t>
  </si>
  <si>
    <t>41J2935</t>
  </si>
  <si>
    <t>02J2718</t>
  </si>
  <si>
    <t>10AC5570</t>
  </si>
  <si>
    <t>58K8841</t>
  </si>
  <si>
    <t>72M6848</t>
  </si>
  <si>
    <t>96Y9132</t>
  </si>
  <si>
    <t>87X8657</t>
  </si>
  <si>
    <t>Rs Components</t>
  </si>
  <si>
    <t>724-1532</t>
  </si>
  <si>
    <t>529-8218</t>
  </si>
  <si>
    <t>647-8156</t>
  </si>
  <si>
    <t>618-1470</t>
  </si>
  <si>
    <t>812-3687</t>
  </si>
  <si>
    <t>811-3592</t>
  </si>
  <si>
    <t>851-8256</t>
  </si>
  <si>
    <t>Tme</t>
  </si>
  <si>
    <t>RC0805FR-07510R</t>
  </si>
  <si>
    <t>RC0805JR-0722R</t>
  </si>
  <si>
    <t>Distributors scraped by KiCost® v.0.1.46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</si>
</sst>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90909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right"/>
    </xf>
    <xf numFmtId="164" fontId="4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top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9" fillId="0" borderId="0" xfId="1" applyAlignment="1" applyProtection="1"/>
    <xf numFmtId="0" fontId="10" fillId="0" borderId="0" xfId="0" applyFont="1" applyAlignment="1">
      <alignment horizontal="right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igikey.com/products/en?keywords=MAL215371479E3" TargetMode="External"/><Relationship Id="rId2" Type="http://schemas.openxmlformats.org/officeDocument/2006/relationships/hyperlink" Target="https://www.digikey.com/product-detail/en/kemet/C0805C104K1RACAUTO/399-6926-1-ND/3314436" TargetMode="External"/><Relationship Id="rId3" Type="http://schemas.openxmlformats.org/officeDocument/2006/relationships/hyperlink" Target="https://www.tme.eu/en/details/c0805c104k1racauto/0805-mlcc-smd-capacitors/kemet/" TargetMode="External"/><Relationship Id="rId4" Type="http://schemas.openxmlformats.org/officeDocument/2006/relationships/hyperlink" Target="https://www.digikey.com/product-detail/en/kemet/C0805C105K8RACAUTO/399-6931-1-ND/3314441" TargetMode="External"/><Relationship Id="rId5" Type="http://schemas.openxmlformats.org/officeDocument/2006/relationships/hyperlink" Target="https://www.digikey.com/product-detail/en/tdk-corporation/C2012X7R1C225K125AB/445-1420-1-ND/569086" TargetMode="External"/><Relationship Id="rId6" Type="http://schemas.openxmlformats.org/officeDocument/2006/relationships/hyperlink" Target="https://www.digikey.com/product-detail/en/kemet/C0805C200G5GACTU/399-9185-1-ND/3522703" TargetMode="External"/><Relationship Id="rId7" Type="http://schemas.openxmlformats.org/officeDocument/2006/relationships/hyperlink" Target="https://www.digikey.com/product-detail/en/wurth-electronics-inc/694106106102/732-5929-1-ND/5047626" TargetMode="External"/><Relationship Id="rId8" Type="http://schemas.openxmlformats.org/officeDocument/2006/relationships/hyperlink" Target="https://www.digikey.com/product-detail/en/on-semiconductor/MRA4007T3G/MRA4007T3GOSCT-ND/964566" TargetMode="External"/><Relationship Id="rId9" Type="http://schemas.openxmlformats.org/officeDocument/2006/relationships/hyperlink" Target="http://it.farnell.com/on-semiconductor/mra4007t3g/diodo-standard-1a-1kv-sma/dp/1459137?st=MRA4007T3G%20ON%20Semi" TargetMode="External"/><Relationship Id="rId10" Type="http://schemas.openxmlformats.org/officeDocument/2006/relationships/hyperlink" Target="http://www.newark.com/on-semiconductor/mra4007t3g/standard-diode-1a-1kv-403d/dp/20J4309?st=MRA4007T3G%20ON%20Semi" TargetMode="External"/><Relationship Id="rId11" Type="http://schemas.openxmlformats.org/officeDocument/2006/relationships/hyperlink" Target="https://www.tme.eu/en/details/mra4007t3g/smd-universal-diodes/on-semiconductor/" TargetMode="External"/><Relationship Id="rId12" Type="http://schemas.openxmlformats.org/officeDocument/2006/relationships/hyperlink" Target="https://www.digikey.com/product-detail/en/osram-opto-semiconductors-inc/LG-R971-KN-1/475-1410-1-ND/1802598" TargetMode="External"/><Relationship Id="rId13" Type="http://schemas.openxmlformats.org/officeDocument/2006/relationships/hyperlink" Target="http://www.newark.com/webapp/wcs/stores/servlet/Search?catalogId=15003&amp;langId=-1&amp;storeId=10194&amp;gs=true&amp;st=LG+R971-KN-1" TargetMode="External"/><Relationship Id="rId14" Type="http://schemas.openxmlformats.org/officeDocument/2006/relationships/hyperlink" Target="https://www.digikey.com/product-detail/en/diodes-incorporated/1N4148W-7-F/1N4148W-FDICT-ND/815280" TargetMode="External"/><Relationship Id="rId15" Type="http://schemas.openxmlformats.org/officeDocument/2006/relationships/hyperlink" Target="https://www.tme.eu/en/details/1n4148w-7-f/smd-universal-diodes/diodes-incorporated/" TargetMode="External"/><Relationship Id="rId16" Type="http://schemas.openxmlformats.org/officeDocument/2006/relationships/hyperlink" Target="https://www.digikey.com/product-detail/en/murata-electronics-north-america/BLM21PG221SN1D/490-1054-1-ND/574418" TargetMode="External"/><Relationship Id="rId17" Type="http://schemas.openxmlformats.org/officeDocument/2006/relationships/hyperlink" Target="http://it.rs-online.com/web/c/?searchTerm=BLM21PG221SN1D" TargetMode="External"/><Relationship Id="rId18" Type="http://schemas.openxmlformats.org/officeDocument/2006/relationships/hyperlink" Target="https://www.tme.eu/en/details/blm21pg221sn1d/ferrite-beads/murata/" TargetMode="External"/><Relationship Id="rId19" Type="http://schemas.openxmlformats.org/officeDocument/2006/relationships/hyperlink" Target="https://www.digikey.com/products/en?keywords=M20-9980346" TargetMode="External"/><Relationship Id="rId20" Type="http://schemas.openxmlformats.org/officeDocument/2006/relationships/hyperlink" Target="https://www.digikey.com/products/en?keywords=292304-1+TE+Connectivity" TargetMode="External"/><Relationship Id="rId21" Type="http://schemas.openxmlformats.org/officeDocument/2006/relationships/hyperlink" Target="http://www.newark.com/te-connectivity-amp/292304-1/usb-2-0-type-b-receptacle-th/dp/41J2935?st=292304-1" TargetMode="External"/><Relationship Id="rId22" Type="http://schemas.openxmlformats.org/officeDocument/2006/relationships/hyperlink" Target="http://it.rs-online.com/web/c/?searchTerm=292304-1" TargetMode="External"/><Relationship Id="rId23" Type="http://schemas.openxmlformats.org/officeDocument/2006/relationships/hyperlink" Target="https://www.tme.eu/en/details/292304-1/usb-ieee1394-connectors/te-connectivity/" TargetMode="External"/><Relationship Id="rId24" Type="http://schemas.openxmlformats.org/officeDocument/2006/relationships/hyperlink" Target="https://www.digikey.com/product-detail/en/bourns-inc/MF-MSMF050-2/MF-MSMF050-2CT-ND/662842" TargetMode="External"/><Relationship Id="rId25" Type="http://schemas.openxmlformats.org/officeDocument/2006/relationships/hyperlink" Target="http://it.farnell.com/bourns/msmf050-2/fuse-ptc-reset-15v-0-5a-smd/dp/9350314RL?st=MF-MSMF050-2" TargetMode="External"/><Relationship Id="rId26" Type="http://schemas.openxmlformats.org/officeDocument/2006/relationships/hyperlink" Target="http://www.newark.com/bourns/msmf050-2/fuse-ptc-reset-15v-500ma-1812/dp/02J2718" TargetMode="External"/><Relationship Id="rId27" Type="http://schemas.openxmlformats.org/officeDocument/2006/relationships/hyperlink" Target="http://it.rs-online.com/web/c/?searchTerm=MF-MSMF050-2" TargetMode="External"/><Relationship Id="rId28" Type="http://schemas.openxmlformats.org/officeDocument/2006/relationships/hyperlink" Target="https://www.digikey.com/products/en?keywords=NPPC081KFXC-RC" TargetMode="External"/><Relationship Id="rId29" Type="http://schemas.openxmlformats.org/officeDocument/2006/relationships/hyperlink" Target="http://www.newark.com/webapp/wcs/stores/servlet/Search?catalogId=15003&amp;langId=-1&amp;storeId=10194&amp;gs=true&amp;st=NPPC081KFXC-RC+Sullins+Connector" TargetMode="External"/><Relationship Id="rId30" Type="http://schemas.openxmlformats.org/officeDocument/2006/relationships/hyperlink" Target="https://www.digikey.com/products/en?keywords=NPPC061KFXC-RC" TargetMode="External"/><Relationship Id="rId31" Type="http://schemas.openxmlformats.org/officeDocument/2006/relationships/hyperlink" Target="http://www.newark.com/webapp/wcs/stores/servlet/Search?catalogId=15003&amp;langId=-1&amp;storeId=10194&amp;gs=true&amp;st=NPPC061KFXC-RC+Sullins+Connector" TargetMode="External"/><Relationship Id="rId32" Type="http://schemas.openxmlformats.org/officeDocument/2006/relationships/hyperlink" Target="https://www.digikey.com/products/en?keywords=NPPC101KFXC-RC" TargetMode="External"/><Relationship Id="rId33" Type="http://schemas.openxmlformats.org/officeDocument/2006/relationships/hyperlink" Target="http://www.newark.com/webapp/wcs/stores/servlet/Search?catalogId=15003&amp;langId=-1&amp;storeId=10194&amp;gs=true&amp;st=NPPC101KFXC-RC+Sullins+Connector" TargetMode="External"/><Relationship Id="rId34" Type="http://schemas.openxmlformats.org/officeDocument/2006/relationships/hyperlink" Target="https://www.digikey.com/products/en?keywords=NPPC081KFXC-RC" TargetMode="External"/><Relationship Id="rId35" Type="http://schemas.openxmlformats.org/officeDocument/2006/relationships/hyperlink" Target="https://www.digikey.com/product-detail/en/on-semiconductor/FDN340P/FDN340PCT-ND/965604" TargetMode="External"/><Relationship Id="rId36" Type="http://schemas.openxmlformats.org/officeDocument/2006/relationships/hyperlink" Target="http://it.farnell.com/on-semiconductor/fdn340p/mosfet-p-sot-23/dp/9846310?st=FDN340P" TargetMode="External"/><Relationship Id="rId37" Type="http://schemas.openxmlformats.org/officeDocument/2006/relationships/hyperlink" Target="http://www.newark.com/fairchild-semiconductor/fdn340p/p-channel-mosfet-20v-2a-super/dp/58K8841?st=mosfet%20transistors" TargetMode="External"/><Relationship Id="rId38" Type="http://schemas.openxmlformats.org/officeDocument/2006/relationships/hyperlink" Target="https://www.digikey.com/product-detail/en/yageo/RC0805FR-07510RL/311-510CRCT-ND/730963" TargetMode="External"/><Relationship Id="rId39" Type="http://schemas.openxmlformats.org/officeDocument/2006/relationships/hyperlink" Target="http://it.rs-online.com/web/c/?searchTerm=RC0805FR-07510RL" TargetMode="External"/><Relationship Id="rId40" Type="http://schemas.openxmlformats.org/officeDocument/2006/relationships/hyperlink" Target="https://www.tme.eu/en/details/rc0805fr-07510r/0805-smd-resistors/yageo/rc0805fr-07510rl/" TargetMode="External"/><Relationship Id="rId41" Type="http://schemas.openxmlformats.org/officeDocument/2006/relationships/hyperlink" Target="https://www.digikey.com/product-detail/en/vishay-dale/CRCW08051K00JNEA/541-1.0KACT-ND/1180340" TargetMode="External"/><Relationship Id="rId42" Type="http://schemas.openxmlformats.org/officeDocument/2006/relationships/hyperlink" Target="http://it.farnell.com/vishay/crcw08051k00jnea/res-film-spesso-1k-5-0-125w-0805/dp/1652937?st=CRCW08051K00JNEA" TargetMode="External"/><Relationship Id="rId43" Type="http://schemas.openxmlformats.org/officeDocument/2006/relationships/hyperlink" Target="http://www.newark.com/vishay/crcw08051k00jnea/res-thick-film-1k-5-0-125w-0805/dp/72M6848?st=CRCW08051K00JNEA" TargetMode="External"/><Relationship Id="rId44" Type="http://schemas.openxmlformats.org/officeDocument/2006/relationships/hyperlink" Target="http://it.rs-online.com/web/c/?searchTerm=CRCW08051K00JNEA" TargetMode="External"/><Relationship Id="rId45" Type="http://schemas.openxmlformats.org/officeDocument/2006/relationships/hyperlink" Target="https://www.digikey.com/product-detail/en/vishay-dale/CRCW080510K0JNEA/541-10KACT-ND/1180364" TargetMode="External"/><Relationship Id="rId46" Type="http://schemas.openxmlformats.org/officeDocument/2006/relationships/hyperlink" Target="http://it.farnell.com/vishay/crcw080510k0jnea/res-film-spesso-10k-5-0-125w-0805/dp/1469857?st=CRCW080510K0JNEA" TargetMode="External"/><Relationship Id="rId47" Type="http://schemas.openxmlformats.org/officeDocument/2006/relationships/hyperlink" Target="http://www.newark.com/vishay/crcw080510k0jnea/res-thick-film-aec-q200-10k-0805/dp/96Y9132?st=CRCW080510K0JNEA" TargetMode="External"/><Relationship Id="rId48" Type="http://schemas.openxmlformats.org/officeDocument/2006/relationships/hyperlink" Target="https://www.tme.eu/en/details/crcw080510k0jnea/0805-smd-resistors/vishay/" TargetMode="External"/><Relationship Id="rId49" Type="http://schemas.openxmlformats.org/officeDocument/2006/relationships/hyperlink" Target="https://www.digikey.com/product-detail/en/yageo/RC0805JR-0722RL/311-22ARCT-ND/731232" TargetMode="External"/><Relationship Id="rId50" Type="http://schemas.openxmlformats.org/officeDocument/2006/relationships/hyperlink" Target="https://www.tme.eu/en/details/rc0805jr-0722r/0805-smd-resistors/yageo/rc0805jr-0722rl/" TargetMode="External"/><Relationship Id="rId51" Type="http://schemas.openxmlformats.org/officeDocument/2006/relationships/hyperlink" Target="https://www.digikey.com/product-detail/en/panasonic-electronic-components/ERJ-6GEY0R00V/P0.0ACT-ND/82955" TargetMode="External"/><Relationship Id="rId52" Type="http://schemas.openxmlformats.org/officeDocument/2006/relationships/hyperlink" Target="https://www.digikey.com/product-detail/en/vishay-dale/CRCW08051M00FKEA/541-1.00MCCT-ND/1181127" TargetMode="External"/><Relationship Id="rId53" Type="http://schemas.openxmlformats.org/officeDocument/2006/relationships/hyperlink" Target="https://www.digikey.com/product-detail/en/panasonic-electronic-components/EVQ-Q2U02W/P12954SCT-ND/762944" TargetMode="External"/><Relationship Id="rId54" Type="http://schemas.openxmlformats.org/officeDocument/2006/relationships/hyperlink" Target="http://it.rs-online.com/web/c/?searchTerm=EVQ-Q2U02W" TargetMode="External"/><Relationship Id="rId55" Type="http://schemas.openxmlformats.org/officeDocument/2006/relationships/hyperlink" Target="https://www.digikey.com/product-detail/en/stmicroelectronics/LD1117S50TR/497-6447-1-ND/1865475" TargetMode="External"/><Relationship Id="rId56" Type="http://schemas.openxmlformats.org/officeDocument/2006/relationships/hyperlink" Target="https://www.tme.eu/en/details/ld1117s50tr/ldo-unregulated-voltage-regulators/st-microelectronics/" TargetMode="External"/><Relationship Id="rId57" Type="http://schemas.openxmlformats.org/officeDocument/2006/relationships/hyperlink" Target="https://www.digikey.com/product-detail/en/texas-instruments/LMV358IDGKR/296-13455-1-ND/486370" TargetMode="External"/><Relationship Id="rId58" Type="http://schemas.openxmlformats.org/officeDocument/2006/relationships/hyperlink" Target="https://www.digikey.com/product-detail/en/texas-instruments/LP2985-33DBVR/296-18476-1-ND/809911" TargetMode="External"/><Relationship Id="rId59" Type="http://schemas.openxmlformats.org/officeDocument/2006/relationships/hyperlink" Target="https://www.tme.eu/en/details/lp2985-33dbvr/ldo-unregulated-voltage-regulators/texas-instruments/" TargetMode="External"/><Relationship Id="rId60" Type="http://schemas.openxmlformats.org/officeDocument/2006/relationships/hyperlink" Target="https://www.digikey.com/product-detail/en/microchip-technology/ATMEGA16U2-MU/ATMEGA16U2-MU-ND/2050821" TargetMode="External"/><Relationship Id="rId61" Type="http://schemas.openxmlformats.org/officeDocument/2006/relationships/hyperlink" Target="https://www.tme.eu/en/details/atmega16u2-mu/8-bit-avr-family/microchip-atmel/" TargetMode="External"/><Relationship Id="rId62" Type="http://schemas.openxmlformats.org/officeDocument/2006/relationships/hyperlink" Target="https://www.digikey.com/products/en?keywords=ATMEGA328P-PU" TargetMode="External"/><Relationship Id="rId63" Type="http://schemas.openxmlformats.org/officeDocument/2006/relationships/hyperlink" Target="https://www.tme.eu/en/details/atmega328p-pu/8-bit-avr-family/microchip-atmel/" TargetMode="External"/><Relationship Id="rId64" Type="http://schemas.openxmlformats.org/officeDocument/2006/relationships/hyperlink" Target="https://www.digikey.com/product-detail/en/bourns-inc/CG0603MLC-05E/CG0603MLC-05ECT-ND/3438061" TargetMode="External"/><Relationship Id="rId65" Type="http://schemas.openxmlformats.org/officeDocument/2006/relationships/hyperlink" Target="http://it.rs-online.com/web/c/?searchTerm=CG0603MLC-05E" TargetMode="External"/><Relationship Id="rId66" Type="http://schemas.openxmlformats.org/officeDocument/2006/relationships/hyperlink" Target="https://www.digikey.com/products/en?keywords=FOXSLF%2F160-20" TargetMode="External"/><Relationship Id="rId67" Type="http://schemas.openxmlformats.org/officeDocument/2006/relationships/hyperlink" Target="https://www.digikey.com/product-detail/en/murata-electronics-north-america/CSTCE16M0V53-R0/490-1198-1-ND/584635" TargetMode="External"/><Relationship Id="rId68" Type="http://schemas.openxmlformats.org/officeDocument/2006/relationships/hyperlink" Target="http://it.farnell.com/murata/cstce16m0v53-r0/risonatore-16mhz-15pf/dp/2443265RL?st=CSTCE16M0V53-R0" TargetMode="External"/><Relationship Id="rId69" Type="http://schemas.openxmlformats.org/officeDocument/2006/relationships/hyperlink" Target="http://www.newark.com/webapp/wcs/stores/servlet/Search?catalogId=15003&amp;langId=-1&amp;storeId=10194&amp;gs=true&amp;st=CSTCE16M0V53-R0" TargetMode="External"/><Relationship Id="rId70" Type="http://schemas.openxmlformats.org/officeDocument/2006/relationships/hyperlink" Target="https://www.tme.eu/en/details/cstce16m0v53-r0/smd-ceramic-filters-and-resonators/murata/" TargetMode="External"/><Relationship Id="rId71" Type="http://schemas.openxmlformats.org/officeDocument/2006/relationships/vmlDrawing" Target="../drawings/vmlDrawing1.vml"/><Relationship Id="rId7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76"/>
  <sheetViews>
    <sheetView tabSelected="1" workbookViewId="0">
      <pane xSplit="9" ySplit="6" topLeftCell="J7" activePane="bottomRight" state="frozen"/>
      <selection pane="topRight" activeCell="J1" sqref="J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15.7109375" customWidth="1"/>
    <col min="10" max="10" width="9.140625" outlineLevel="1"/>
    <col min="11" max="11" width="9.140625" outlineLevel="2"/>
    <col min="12" max="12" width="9.140625" outlineLevel="2"/>
    <col min="13" max="13" width="15.7109375" customWidth="1"/>
    <col min="14" max="14" width="15.7109375" customWidth="1" outlineLevel="2"/>
    <col min="15" max="15" width="9.140625" outlineLevel="1"/>
    <col min="16" max="16" width="9.140625" outlineLevel="2"/>
    <col min="17" max="17" width="9.140625" outlineLevel="2"/>
    <col min="18" max="18" width="15.7109375" customWidth="1"/>
    <col min="19" max="19" width="15.7109375" customWidth="1" outlineLevel="2"/>
    <col min="20" max="20" width="9.140625" outlineLevel="1"/>
    <col min="21" max="21" width="9.140625" outlineLevel="2"/>
    <col min="22" max="22" width="9.140625" outlineLevel="2"/>
    <col min="23" max="23" width="15.7109375" customWidth="1"/>
    <col min="24" max="24" width="15.7109375" customWidth="1" outlineLevel="2"/>
    <col min="25" max="25" width="9.140625" outlineLevel="1"/>
    <col min="26" max="26" width="9.140625" outlineLevel="2"/>
    <col min="27" max="27" width="9.140625" outlineLevel="2"/>
    <col min="28" max="28" width="15.7109375" customWidth="1"/>
    <col min="29" max="29" width="15.7109375" customWidth="1" outlineLevel="2"/>
    <col min="30" max="30" width="9.140625" outlineLevel="1"/>
    <col min="31" max="31" width="9.140625" outlineLevel="2"/>
    <col min="32" max="32" width="9.140625" outlineLevel="2"/>
    <col min="33" max="33" width="15.7109375" customWidth="1"/>
    <col min="34" max="34" width="15.7109375" customWidth="1" outlineLevel="2"/>
    <col min="35" max="35" width="9.140625" outlineLevel="1"/>
    <col min="36" max="36" width="9.140625" outlineLevel="2"/>
    <col min="37" max="37" width="9.140625" outlineLevel="2"/>
    <col min="38" max="38" width="15.7109375" customWidth="1"/>
    <col min="39" max="39" width="15.7109375" customWidth="1" outlineLevel="2"/>
  </cols>
  <sheetData>
    <row r="1" spans="1:39">
      <c r="A1" s="2" t="s">
        <v>152</v>
      </c>
      <c r="B1" s="3" t="s">
        <v>153</v>
      </c>
      <c r="H1" s="4" t="s">
        <v>158</v>
      </c>
      <c r="I1" s="4">
        <v>100</v>
      </c>
    </row>
    <row r="2" spans="1:39">
      <c r="A2" s="2" t="s">
        <v>154</v>
      </c>
      <c r="B2" s="3" t="s">
        <v>155</v>
      </c>
      <c r="H2" s="2" t="s">
        <v>160</v>
      </c>
      <c r="I2" s="5">
        <f>TotalCost/BoardQty</f>
        <v>0</v>
      </c>
    </row>
    <row r="3" spans="1:39">
      <c r="A3" s="2" t="s">
        <v>156</v>
      </c>
      <c r="B3" s="3" t="s">
        <v>157</v>
      </c>
      <c r="H3" s="2" t="s">
        <v>159</v>
      </c>
      <c r="I3" s="6">
        <f>SUM(I7:I40)</f>
        <v>0</v>
      </c>
      <c r="M3" s="6">
        <f>SUM(M7:M40)</f>
        <v>0</v>
      </c>
      <c r="N3" s="7">
        <f>(ROWS(M7:M40)-COUNTBLANK(M7:M40))&amp;" of "&amp;ROWS(M7:M40)&amp;" parts found"</f>
        <v>0</v>
      </c>
      <c r="R3" s="6">
        <f>SUM(R7:R40)</f>
        <v>0</v>
      </c>
      <c r="S3" s="7">
        <f>(ROWS(R7:R40)-COUNTBLANK(R7:R40))&amp;" of "&amp;ROWS(R7:R40)&amp;" parts found"</f>
        <v>0</v>
      </c>
      <c r="W3" s="6">
        <f>SUM(W7:W40)</f>
        <v>0</v>
      </c>
      <c r="X3" s="7">
        <f>(ROWS(W7:W40)-COUNTBLANK(W7:W40))&amp;" of "&amp;ROWS(W7:W40)&amp;" parts found"</f>
        <v>0</v>
      </c>
      <c r="AB3" s="6">
        <f>SUM(AB7:AB40)</f>
        <v>0</v>
      </c>
      <c r="AC3" s="7">
        <f>(ROWS(AB7:AB40)-COUNTBLANK(AB7:AB40))&amp;" of "&amp;ROWS(AB7:AB40)&amp;" parts found"</f>
        <v>0</v>
      </c>
      <c r="AG3" s="6">
        <f>SUM(AG7:AG40)</f>
        <v>0</v>
      </c>
      <c r="AH3" s="7">
        <f>(ROWS(AG7:AG40)-COUNTBLANK(AG7:AG40))&amp;" of "&amp;ROWS(AG7:AG40)&amp;" parts found"</f>
        <v>0</v>
      </c>
      <c r="AL3" s="6">
        <f>SUM(AL7:AL40)</f>
        <v>0</v>
      </c>
      <c r="AM3" s="7">
        <f>(ROWS(AL7:AL40)-COUNTBLANK(AL7:AL40))&amp;" of "&amp;ROWS(AL7:AL40)&amp;" parts found"</f>
        <v>0</v>
      </c>
    </row>
    <row r="4" spans="1:39">
      <c r="A4" s="2" t="s">
        <v>161</v>
      </c>
      <c r="B4" s="3" t="s">
        <v>162</v>
      </c>
    </row>
    <row r="5" spans="1:39">
      <c r="A5" s="8" t="s">
        <v>0</v>
      </c>
      <c r="B5" s="8"/>
      <c r="C5" s="8"/>
      <c r="D5" s="8"/>
      <c r="E5" s="8"/>
      <c r="F5" s="8"/>
      <c r="G5" s="8"/>
      <c r="H5" s="8"/>
      <c r="I5" s="8"/>
      <c r="J5" s="9" t="s">
        <v>163</v>
      </c>
      <c r="K5" s="9"/>
      <c r="L5" s="9"/>
      <c r="M5" s="9"/>
      <c r="N5" s="9"/>
      <c r="O5" s="10" t="s">
        <v>200</v>
      </c>
      <c r="P5" s="10"/>
      <c r="Q5" s="10"/>
      <c r="R5" s="10"/>
      <c r="S5" s="10"/>
      <c r="T5" s="11" t="s">
        <v>207</v>
      </c>
      <c r="U5" s="11"/>
      <c r="V5" s="11"/>
      <c r="W5" s="11"/>
      <c r="X5" s="11"/>
      <c r="Y5" s="12" t="s">
        <v>208</v>
      </c>
      <c r="Z5" s="12"/>
      <c r="AA5" s="12"/>
      <c r="AB5" s="12"/>
      <c r="AC5" s="12"/>
      <c r="AD5" s="13" t="s">
        <v>218</v>
      </c>
      <c r="AE5" s="13"/>
      <c r="AF5" s="13"/>
      <c r="AG5" s="13"/>
      <c r="AH5" s="13"/>
      <c r="AI5" s="14" t="s">
        <v>226</v>
      </c>
      <c r="AJ5" s="14"/>
      <c r="AK5" s="14"/>
      <c r="AL5" s="14"/>
      <c r="AM5" s="14"/>
    </row>
    <row r="6" spans="1:39">
      <c r="A6" s="15" t="s">
        <v>3</v>
      </c>
      <c r="B6" s="15" t="s">
        <v>5</v>
      </c>
      <c r="C6" s="15" t="s">
        <v>8</v>
      </c>
      <c r="D6" s="15" t="s">
        <v>4</v>
      </c>
      <c r="E6" s="15" t="s">
        <v>1</v>
      </c>
      <c r="F6" s="15" t="s">
        <v>9</v>
      </c>
      <c r="G6" s="15" t="s">
        <v>7</v>
      </c>
      <c r="H6" s="15" t="s">
        <v>6</v>
      </c>
      <c r="I6" s="15" t="s">
        <v>2</v>
      </c>
      <c r="J6" s="15" t="s">
        <v>166</v>
      </c>
      <c r="K6" s="15" t="s">
        <v>165</v>
      </c>
      <c r="L6" s="15" t="s">
        <v>6</v>
      </c>
      <c r="M6" s="15" t="s">
        <v>2</v>
      </c>
      <c r="N6" s="15" t="s">
        <v>164</v>
      </c>
      <c r="O6" s="15" t="s">
        <v>166</v>
      </c>
      <c r="P6" s="15" t="s">
        <v>165</v>
      </c>
      <c r="Q6" s="15" t="s">
        <v>6</v>
      </c>
      <c r="R6" s="15" t="s">
        <v>2</v>
      </c>
      <c r="S6" s="15" t="s">
        <v>164</v>
      </c>
      <c r="T6" s="15" t="s">
        <v>166</v>
      </c>
      <c r="U6" s="15" t="s">
        <v>165</v>
      </c>
      <c r="V6" s="15" t="s">
        <v>6</v>
      </c>
      <c r="W6" s="15" t="s">
        <v>2</v>
      </c>
      <c r="X6" s="15" t="s">
        <v>164</v>
      </c>
      <c r="Y6" s="15" t="s">
        <v>166</v>
      </c>
      <c r="Z6" s="15" t="s">
        <v>165</v>
      </c>
      <c r="AA6" s="15" t="s">
        <v>6</v>
      </c>
      <c r="AB6" s="15" t="s">
        <v>2</v>
      </c>
      <c r="AC6" s="15" t="s">
        <v>164</v>
      </c>
      <c r="AD6" s="15" t="s">
        <v>166</v>
      </c>
      <c r="AE6" s="15" t="s">
        <v>165</v>
      </c>
      <c r="AF6" s="15" t="s">
        <v>6</v>
      </c>
      <c r="AG6" s="15" t="s">
        <v>2</v>
      </c>
      <c r="AH6" s="15" t="s">
        <v>164</v>
      </c>
      <c r="AI6" s="15" t="s">
        <v>166</v>
      </c>
      <c r="AJ6" s="15" t="s">
        <v>165</v>
      </c>
      <c r="AK6" s="15" t="s">
        <v>6</v>
      </c>
      <c r="AL6" s="15" t="s">
        <v>2</v>
      </c>
      <c r="AM6" s="15" t="s">
        <v>164</v>
      </c>
    </row>
    <row r="7" spans="1:39">
      <c r="A7" s="16" t="s">
        <v>10</v>
      </c>
      <c r="B7" s="16" t="s">
        <v>12</v>
      </c>
      <c r="C7" s="16" t="s">
        <v>13</v>
      </c>
      <c r="E7" s="16" t="s">
        <v>11</v>
      </c>
      <c r="F7" s="16" t="s">
        <v>14</v>
      </c>
      <c r="G7" s="16">
        <f>BoardQty*2</f>
        <v>0</v>
      </c>
      <c r="H7" s="17">
        <f>MINA(INDIRECT(ADDRESS(ROW(),COLUMN(rs_part_data)+2)),INDIRECT(ADDRESS(ROW(),COLUMN(digikey_part_data)+2)),INDIRECT(ADDRESS(ROW(),COLUMN(mouser_part_data)+2)),INDIRECT(ADDRESS(ROW(),COLUMN(farnell_part_data)+2)),INDIRECT(ADDRESS(ROW(),COLUMN(tme_part_data)+2)),INDIRECT(ADDRESS(ROW(),COLUMN(newark_part_data)+2)))</f>
        <v>0</v>
      </c>
      <c r="I7" s="17">
        <f>iferror(G7*H7,"")</f>
        <v>0</v>
      </c>
      <c r="J7" s="16">
        <v>1440</v>
      </c>
      <c r="L7" s="17">
        <f>iferror(lookup(if(K7="",G7,K7),{0,1,10,100,500,1000,2500,5000},{0.0,1.82,1.433,1.0749,0.81218,0.71663,0.66885,0.64496}),"")</f>
        <v>0</v>
      </c>
      <c r="M7" s="17">
        <f>iferror(if(K7="",G7,K7)*L7,"")</f>
        <v>0</v>
      </c>
      <c r="N7" s="18" t="s">
        <v>167</v>
      </c>
    </row>
    <row r="8" spans="1:39">
      <c r="A8" s="16" t="s">
        <v>15</v>
      </c>
      <c r="B8" s="16" t="s">
        <v>17</v>
      </c>
      <c r="C8" s="16" t="s">
        <v>18</v>
      </c>
      <c r="E8" s="16" t="s">
        <v>16</v>
      </c>
      <c r="F8" s="16" t="s">
        <v>19</v>
      </c>
      <c r="G8" s="16">
        <f>BoardQty*6</f>
        <v>0</v>
      </c>
      <c r="H8" s="17">
        <f>MINA(INDIRECT(ADDRESS(ROW(),COLUMN(rs_part_data)+2)),INDIRECT(ADDRESS(ROW(),COLUMN(digikey_part_data)+2)),INDIRECT(ADDRESS(ROW(),COLUMN(mouser_part_data)+2)),INDIRECT(ADDRESS(ROW(),COLUMN(farnell_part_data)+2)),INDIRECT(ADDRESS(ROW(),COLUMN(tme_part_data)+2)),INDIRECT(ADDRESS(ROW(),COLUMN(newark_part_data)+2)))</f>
        <v>0</v>
      </c>
      <c r="I8" s="17">
        <f>iferror(G8*H8,"")</f>
        <v>0</v>
      </c>
      <c r="J8" s="16">
        <v>423</v>
      </c>
      <c r="L8" s="17">
        <f>iferror(lookup(if(K8="",G8,K8),{0,1,10,100,500,1000,2500},{0.0,0.31,0.215,0.122,0.08612,0.07535,0.0624}),"")</f>
        <v>0</v>
      </c>
      <c r="M8" s="17">
        <f>iferror(if(K8="",G8,K8)*L8,"")</f>
        <v>0</v>
      </c>
      <c r="N8" s="18" t="s">
        <v>168</v>
      </c>
      <c r="AI8" s="19" t="s">
        <v>170</v>
      </c>
      <c r="AK8" s="17">
        <f>iferror(lookup(if(AJ8="",G8,AJ8),{0,1,100,1000,2500},{0.0,0.1238,0.1238,0.06122,0.03624}),"")</f>
        <v>0</v>
      </c>
      <c r="AL8" s="17">
        <f>iferror(if(AJ8="",G8,AJ8)*AK8,"")</f>
        <v>0</v>
      </c>
      <c r="AM8" s="18" t="s">
        <v>19</v>
      </c>
    </row>
    <row r="9" spans="1:39">
      <c r="A9" s="16" t="s">
        <v>20</v>
      </c>
      <c r="B9" s="16" t="s">
        <v>21</v>
      </c>
      <c r="C9" s="16" t="s">
        <v>22</v>
      </c>
      <c r="E9" s="16" t="s">
        <v>16</v>
      </c>
      <c r="F9" s="16" t="s">
        <v>23</v>
      </c>
      <c r="G9" s="16">
        <f>BoardQty*2</f>
        <v>0</v>
      </c>
      <c r="H9" s="17">
        <f>MINA(INDIRECT(ADDRESS(ROW(),COLUMN(rs_part_data)+2)),INDIRECT(ADDRESS(ROW(),COLUMN(digikey_part_data)+2)),INDIRECT(ADDRESS(ROW(),COLUMN(mouser_part_data)+2)),INDIRECT(ADDRESS(ROW(),COLUMN(farnell_part_data)+2)),INDIRECT(ADDRESS(ROW(),COLUMN(tme_part_data)+2)),INDIRECT(ADDRESS(ROW(),COLUMN(newark_part_data)+2)))</f>
        <v>0</v>
      </c>
      <c r="I9" s="17">
        <f>iferror(G9*H9,"")</f>
        <v>0</v>
      </c>
      <c r="J9" s="19" t="s">
        <v>170</v>
      </c>
      <c r="L9" s="17">
        <f>iferror(lookup(if(K9="",G9,K9),{0,1,10,100,500,1000,4000},{0.0,0.3,0.207,0.1049,0.07176,0.06348,0.048}),"")</f>
        <v>0</v>
      </c>
      <c r="M9" s="17">
        <f>iferror(if(K9="",G9,K9)*L9,"")</f>
        <v>0</v>
      </c>
      <c r="N9" s="18" t="s">
        <v>169</v>
      </c>
    </row>
    <row r="10" spans="1:39">
      <c r="A10" s="16" t="s">
        <v>24</v>
      </c>
      <c r="B10" s="16" t="s">
        <v>26</v>
      </c>
      <c r="C10" s="16" t="s">
        <v>27</v>
      </c>
      <c r="E10" s="16" t="s">
        <v>25</v>
      </c>
      <c r="F10" s="16" t="s">
        <v>28</v>
      </c>
      <c r="G10" s="16">
        <f>BoardQty*1</f>
        <v>0</v>
      </c>
      <c r="H10" s="17">
        <f>MINA(INDIRECT(ADDRESS(ROW(),COLUMN(rs_part_data)+2)),INDIRECT(ADDRESS(ROW(),COLUMN(digikey_part_data)+2)),INDIRECT(ADDRESS(ROW(),COLUMN(mouser_part_data)+2)),INDIRECT(ADDRESS(ROW(),COLUMN(farnell_part_data)+2)),INDIRECT(ADDRESS(ROW(),COLUMN(tme_part_data)+2)),INDIRECT(ADDRESS(ROW(),COLUMN(newark_part_data)+2)))</f>
        <v>0</v>
      </c>
      <c r="I10" s="17">
        <f>iferror(G10*H10,"")</f>
        <v>0</v>
      </c>
      <c r="J10" s="16">
        <v>20000</v>
      </c>
      <c r="L10" s="17">
        <f>iferror(lookup(if(K10="",G10,K10),{0,1,10,100,500,1000,2000},{0.0,0.28,0.194,0.0983,0.06728,0.05951,0.0495}),"")</f>
        <v>0</v>
      </c>
      <c r="M10" s="17">
        <f>iferror(if(K10="",G10,K10)*L10,"")</f>
        <v>0</v>
      </c>
      <c r="N10" s="18" t="s">
        <v>171</v>
      </c>
    </row>
    <row r="11" spans="1:39">
      <c r="A11" s="16" t="s">
        <v>29</v>
      </c>
      <c r="B11" s="16" t="s">
        <v>30</v>
      </c>
      <c r="C11" s="16" t="s">
        <v>31</v>
      </c>
      <c r="E11" s="16" t="s">
        <v>16</v>
      </c>
      <c r="F11" s="16" t="s">
        <v>32</v>
      </c>
      <c r="G11" s="16">
        <f>BoardQty*2</f>
        <v>0</v>
      </c>
      <c r="H11" s="17">
        <f>MINA(INDIRECT(ADDRESS(ROW(),COLUMN(rs_part_data)+2)),INDIRECT(ADDRESS(ROW(),COLUMN(digikey_part_data)+2)),INDIRECT(ADDRESS(ROW(),COLUMN(mouser_part_data)+2)),INDIRECT(ADDRESS(ROW(),COLUMN(farnell_part_data)+2)),INDIRECT(ADDRESS(ROW(),COLUMN(tme_part_data)+2)),INDIRECT(ADDRESS(ROW(),COLUMN(newark_part_data)+2)))</f>
        <v>0</v>
      </c>
      <c r="I11" s="17">
        <f>iferror(G11*H11,"")</f>
        <v>0</v>
      </c>
      <c r="J11" s="16">
        <v>18236</v>
      </c>
      <c r="L11" s="17">
        <f>iferror(lookup(if(K11="",G11,K11),{0,1,10,100,500,1000,4000},{0.0,0.7,0.495,0.326,0.2415,0.20528,0.1575}),"")</f>
        <v>0</v>
      </c>
      <c r="M11" s="17">
        <f>iferror(if(K11="",G11,K11)*L11,"")</f>
        <v>0</v>
      </c>
      <c r="N11" s="18" t="s">
        <v>172</v>
      </c>
    </row>
    <row r="12" spans="1:39">
      <c r="A12" s="16" t="s">
        <v>33</v>
      </c>
      <c r="B12" s="16" t="s">
        <v>35</v>
      </c>
      <c r="C12" s="16" t="s">
        <v>36</v>
      </c>
      <c r="E12" s="16" t="s">
        <v>34</v>
      </c>
      <c r="F12" s="16" t="s">
        <v>37</v>
      </c>
      <c r="G12" s="16">
        <f>BoardQty*1</f>
        <v>0</v>
      </c>
      <c r="H12" s="17">
        <f>MINA(INDIRECT(ADDRESS(ROW(),COLUMN(rs_part_data)+2)),INDIRECT(ADDRESS(ROW(),COLUMN(digikey_part_data)+2)),INDIRECT(ADDRESS(ROW(),COLUMN(mouser_part_data)+2)),INDIRECT(ADDRESS(ROW(),COLUMN(farnell_part_data)+2)),INDIRECT(ADDRESS(ROW(),COLUMN(tme_part_data)+2)),INDIRECT(ADDRESS(ROW(),COLUMN(newark_part_data)+2)))</f>
        <v>0</v>
      </c>
      <c r="I12" s="17">
        <f>iferror(G12*H12,"")</f>
        <v>0</v>
      </c>
      <c r="J12" s="16">
        <v>1969</v>
      </c>
      <c r="L12" s="17">
        <f>iferror(lookup(if(K12="",G12,K12),{0,1,10,50,100,250,500,1250},{0.0,1.69,1.601,1.429,1.315,1.315,1.144,0.97201}),"")</f>
        <v>0</v>
      </c>
      <c r="M12" s="17">
        <f>iferror(if(K12="",G12,K12)*L12,"")</f>
        <v>0</v>
      </c>
      <c r="N12" s="18" t="s">
        <v>173</v>
      </c>
    </row>
    <row r="13" spans="1:39">
      <c r="A13" s="16" t="s">
        <v>38</v>
      </c>
      <c r="B13" s="16" t="s">
        <v>40</v>
      </c>
      <c r="C13" s="16" t="s">
        <v>41</v>
      </c>
      <c r="E13" s="16" t="s">
        <v>39</v>
      </c>
      <c r="F13" s="16" t="s">
        <v>42</v>
      </c>
      <c r="G13" s="16">
        <f>BoardQty*1</f>
        <v>0</v>
      </c>
      <c r="H13" s="17">
        <f>MINA(INDIRECT(ADDRESS(ROW(),COLUMN(rs_part_data)+2)),INDIRECT(ADDRESS(ROW(),COLUMN(digikey_part_data)+2)),INDIRECT(ADDRESS(ROW(),COLUMN(mouser_part_data)+2)),INDIRECT(ADDRESS(ROW(),COLUMN(farnell_part_data)+2)),INDIRECT(ADDRESS(ROW(),COLUMN(tme_part_data)+2)),INDIRECT(ADDRESS(ROW(),COLUMN(newark_part_data)+2)))</f>
        <v>0</v>
      </c>
      <c r="I13" s="17">
        <f>iferror(G13*H13,"")</f>
        <v>0</v>
      </c>
      <c r="J13" s="16">
        <v>299925</v>
      </c>
      <c r="L13" s="17">
        <f>iferror(lookup(if(K13="",G13,K13),{0,1,10,100,500,1000,5000,10000,25000,50000,125000},{0.0,0.35,0.289,0.1531,0.1007,0.06847,0.05214,0.04432,0.04171,0.03911,0.03389}),"")</f>
        <v>0</v>
      </c>
      <c r="M13" s="17">
        <f>iferror(if(K13="",G13,K13)*L13,"")</f>
        <v>0</v>
      </c>
      <c r="N13" s="18" t="s">
        <v>174</v>
      </c>
      <c r="O13" s="16">
        <v>7545</v>
      </c>
      <c r="Q13" s="17">
        <f>iferror(lookup(if(P13="",G13,P13),{0,1,100,250,500},{0.0,0.10031588,0.10031588,0.09218216000000001,0.06318368}),"")</f>
        <v>0</v>
      </c>
      <c r="R13" s="17">
        <f>iferror(if(P13="",G13,P13)*Q13,"")</f>
        <v>0</v>
      </c>
      <c r="S13" s="18" t="s">
        <v>201</v>
      </c>
      <c r="Y13" s="16">
        <v>84200</v>
      </c>
      <c r="AA13" s="17">
        <f>iferror(lookup(if(Z13="",G13,Z13),{0,1,25,50,100,250,500,1000},{0.0,0.32,0.214,0.152,0.089,0.08,0.07,0.061}),"")</f>
        <v>0</v>
      </c>
      <c r="AB13" s="17">
        <f>iferror(if(Z13="",G13,Z13)*AA13,"")</f>
        <v>0</v>
      </c>
      <c r="AC13" s="18" t="s">
        <v>209</v>
      </c>
      <c r="AI13" s="16">
        <v>6438</v>
      </c>
      <c r="AK13" s="17">
        <f>iferror(lookup(if(AJ13="",G13,AJ13),{0,1,10,50,250,1000,5000},{0.0,0.072,0.072,0.05,0.0402,0.0362,0.0337}),"")</f>
        <v>0</v>
      </c>
      <c r="AL13" s="17">
        <f>iferror(if(AJ13="",G13,AJ13)*AK13,"")</f>
        <v>0</v>
      </c>
      <c r="AM13" s="18" t="s">
        <v>42</v>
      </c>
    </row>
    <row r="14" spans="1:39">
      <c r="A14" s="16" t="s">
        <v>43</v>
      </c>
      <c r="B14" s="16" t="s">
        <v>45</v>
      </c>
      <c r="C14" s="16" t="s">
        <v>46</v>
      </c>
      <c r="E14" s="16" t="s">
        <v>44</v>
      </c>
      <c r="F14" s="16" t="s">
        <v>47</v>
      </c>
      <c r="G14" s="16">
        <f>BoardQty*4</f>
        <v>0</v>
      </c>
      <c r="H14" s="17">
        <f>MINA(INDIRECT(ADDRESS(ROW(),COLUMN(rs_part_data)+2)),INDIRECT(ADDRESS(ROW(),COLUMN(digikey_part_data)+2)),INDIRECT(ADDRESS(ROW(),COLUMN(mouser_part_data)+2)),INDIRECT(ADDRESS(ROW(),COLUMN(farnell_part_data)+2)),INDIRECT(ADDRESS(ROW(),COLUMN(tme_part_data)+2)),INDIRECT(ADDRESS(ROW(),COLUMN(newark_part_data)+2)))</f>
        <v>0</v>
      </c>
      <c r="I14" s="17">
        <f>iferror(G14*H14,"")</f>
        <v>0</v>
      </c>
      <c r="J14" s="16">
        <v>417138</v>
      </c>
      <c r="L14" s="17">
        <f>iferror(lookup(if(K14="",G14,K14),{0,1,10,25,100,250,500,1000,4000,8000,12000,28000,100000},{0.0,0.33,0.24,0.1772,0.1265,0.086,0.07588,0.05943,0.05288,0.04598,0.04138,0.03678,0.03104}),"")</f>
        <v>0</v>
      </c>
      <c r="M14" s="17">
        <f>iferror(if(K14="",G14,K14)*L14,"")</f>
        <v>0</v>
      </c>
      <c r="N14" s="18" t="s">
        <v>175</v>
      </c>
      <c r="Y14" s="19" t="s">
        <v>170</v>
      </c>
      <c r="AA14" s="17">
        <f>iferror(lookup(if(Z14="",G14,Z14),{0,1,4000,8000,16000,24000,40000},{0.0,0.034,0.034,0.032,0.03,0.028,0.027}),"")</f>
        <v>0</v>
      </c>
      <c r="AB14" s="17">
        <f>iferror(if(Z14="",G14,Z14)*AA14,"")</f>
        <v>0</v>
      </c>
      <c r="AC14" s="18" t="s">
        <v>210</v>
      </c>
    </row>
    <row r="15" spans="1:39">
      <c r="A15" s="16" t="s">
        <v>48</v>
      </c>
      <c r="B15" s="16" t="s">
        <v>50</v>
      </c>
      <c r="C15" s="16" t="s">
        <v>51</v>
      </c>
      <c r="E15" s="16" t="s">
        <v>49</v>
      </c>
      <c r="F15" s="16" t="s">
        <v>50</v>
      </c>
      <c r="G15" s="16">
        <f>BoardQty*2</f>
        <v>0</v>
      </c>
      <c r="H15" s="17">
        <f>MINA(INDIRECT(ADDRESS(ROW(),COLUMN(rs_part_data)+2)),INDIRECT(ADDRESS(ROW(),COLUMN(digikey_part_data)+2)),INDIRECT(ADDRESS(ROW(),COLUMN(mouser_part_data)+2)),INDIRECT(ADDRESS(ROW(),COLUMN(farnell_part_data)+2)),INDIRECT(ADDRESS(ROW(),COLUMN(tme_part_data)+2)),INDIRECT(ADDRESS(ROW(),COLUMN(newark_part_data)+2)))</f>
        <v>0</v>
      </c>
      <c r="I15" s="17">
        <f>iferror(G15*H15,"")</f>
        <v>0</v>
      </c>
      <c r="J15" s="16">
        <v>53595</v>
      </c>
      <c r="L15" s="17">
        <f>iferror(lookup(if(K15="",G15,K15),{0,1,10,100,500,1000,3000,6000,10000,15000,30000,50000,75000,100000,150000,250000},{0.0,0.18,0.164,0.0891,0.05484,0.03739,0.03086,0.02783,0.0264,0.0242,0.02376,0.02112,0.01936,0.0198,0.01609,0.01756}),"")</f>
        <v>0</v>
      </c>
      <c r="M15" s="17">
        <f>iferror(if(K15="",G15,K15)*L15,"")</f>
        <v>0</v>
      </c>
      <c r="N15" s="18" t="s">
        <v>176</v>
      </c>
      <c r="AI15" s="16">
        <v>28376</v>
      </c>
      <c r="AK15" s="17">
        <f>iferror(lookup(if(AJ15="",G15,AJ15),{0,1,25,100,500,1000,3000},{0.0,0.0254,0.0254,0.0183,0.0147,0.0136,0.0123}),"")</f>
        <v>0</v>
      </c>
      <c r="AL15" s="17">
        <f>iferror(if(AJ15="",G15,AJ15)*AK15,"")</f>
        <v>0</v>
      </c>
      <c r="AM15" s="18" t="s">
        <v>50</v>
      </c>
    </row>
    <row r="16" spans="1:39">
      <c r="A16" s="16" t="s">
        <v>52</v>
      </c>
      <c r="B16" s="16" t="s">
        <v>54</v>
      </c>
      <c r="C16" s="16" t="s">
        <v>55</v>
      </c>
      <c r="E16" s="16" t="s">
        <v>53</v>
      </c>
      <c r="F16" s="16" t="s">
        <v>54</v>
      </c>
      <c r="G16" s="16">
        <f>BoardQty*1</f>
        <v>0</v>
      </c>
      <c r="H16" s="17">
        <f>MINA(INDIRECT(ADDRESS(ROW(),COLUMN(rs_part_data)+2)),INDIRECT(ADDRESS(ROW(),COLUMN(digikey_part_data)+2)),INDIRECT(ADDRESS(ROW(),COLUMN(mouser_part_data)+2)),INDIRECT(ADDRESS(ROW(),COLUMN(farnell_part_data)+2)),INDIRECT(ADDRESS(ROW(),COLUMN(tme_part_data)+2)),INDIRECT(ADDRESS(ROW(),COLUMN(newark_part_data)+2)))</f>
        <v>0</v>
      </c>
      <c r="I16" s="17">
        <f>iferror(G16*H16,"")</f>
        <v>0</v>
      </c>
      <c r="J16" s="16">
        <v>1027648</v>
      </c>
      <c r="L16" s="17">
        <f>iferror(lookup(if(K16="",G16,K16),{0,1,10,25,50,100,250,500,1000,4000,8000,12000,28000,100000},{0.0,0.1,0.081,0.0732,0.0538,0.0464,0.03664,0.03094,0.02605,0.02368,0.02146,0.02072,0.01924,0.01902}),"")</f>
        <v>0</v>
      </c>
      <c r="M16" s="17">
        <f>iferror(if(K16="",G16,K16)*L16,"")</f>
        <v>0</v>
      </c>
      <c r="N16" s="18" t="s">
        <v>177</v>
      </c>
      <c r="AD16" s="16">
        <v>1550</v>
      </c>
      <c r="AF16" s="17">
        <f>iferror(lookup(if(AE16="",G16,AE16),{0,1,25,250,1250,2500,5000},{0.0,0.0671916,0.0671916,0.0377216,0.0259336,0.023576000000000003,0.0212184}),"")</f>
        <v>0</v>
      </c>
      <c r="AG16" s="17">
        <f>iferror(if(AE16="",G16,AE16)*AF16,"")</f>
        <v>0</v>
      </c>
      <c r="AH16" s="18" t="s">
        <v>219</v>
      </c>
      <c r="AI16" s="16">
        <v>113300</v>
      </c>
      <c r="AK16" s="17">
        <f>iferror(lookup(if(AJ16="",G16,AJ16),{0,1,100,500,1000,4000,12000},{0.0,0.046,0.046,0.03288,0.02565,0.02104,0.01973}),"")</f>
        <v>0</v>
      </c>
      <c r="AL16" s="17">
        <f>iferror(if(AJ16="",G16,AJ16)*AK16,"")</f>
        <v>0</v>
      </c>
      <c r="AM16" s="18" t="s">
        <v>54</v>
      </c>
    </row>
    <row r="17" spans="1:39">
      <c r="A17" s="16" t="s">
        <v>56</v>
      </c>
      <c r="B17" s="16" t="s">
        <v>58</v>
      </c>
      <c r="C17" s="16" t="s">
        <v>59</v>
      </c>
      <c r="E17" s="16" t="s">
        <v>57</v>
      </c>
      <c r="F17" s="16" t="s">
        <v>58</v>
      </c>
      <c r="G17" s="16">
        <f>BoardQty*2</f>
        <v>0</v>
      </c>
      <c r="H17" s="17">
        <f>MINA(INDIRECT(ADDRESS(ROW(),COLUMN(rs_part_data)+2)),INDIRECT(ADDRESS(ROW(),COLUMN(digikey_part_data)+2)),INDIRECT(ADDRESS(ROW(),COLUMN(mouser_part_data)+2)),INDIRECT(ADDRESS(ROW(),COLUMN(farnell_part_data)+2)),INDIRECT(ADDRESS(ROW(),COLUMN(tme_part_data)+2)),INDIRECT(ADDRESS(ROW(),COLUMN(newark_part_data)+2)))</f>
        <v>0</v>
      </c>
      <c r="I17" s="17">
        <f>iferror(G17*H17,"")</f>
        <v>0</v>
      </c>
      <c r="J17" s="16">
        <v>8558</v>
      </c>
      <c r="L17" s="17">
        <f>iferror(lookup(if(K17="",G17,K17),{0,1,10,100,500,1000,5000,10000},{0.0,0.24,0.229,0.1586,0.1342,0.1098,0.0976,0.08845}),"")</f>
        <v>0</v>
      </c>
      <c r="M17" s="17">
        <f>iferror(if(K17="",G17,K17)*L17,"")</f>
        <v>0</v>
      </c>
      <c r="N17" s="18" t="s">
        <v>178</v>
      </c>
    </row>
    <row r="18" spans="1:39">
      <c r="A18" s="16" t="s">
        <v>60</v>
      </c>
      <c r="B18" s="16" t="s">
        <v>62</v>
      </c>
      <c r="C18" s="16" t="s">
        <v>63</v>
      </c>
      <c r="E18" s="16" t="s">
        <v>61</v>
      </c>
      <c r="F18" s="16" t="s">
        <v>64</v>
      </c>
      <c r="G18" s="16">
        <f>BoardQty*1</f>
        <v>0</v>
      </c>
      <c r="H18" s="17">
        <f>MINA(INDIRECT(ADDRESS(ROW(),COLUMN(rs_part_data)+2)),INDIRECT(ADDRESS(ROW(),COLUMN(digikey_part_data)+2)),INDIRECT(ADDRESS(ROW(),COLUMN(mouser_part_data)+2)),INDIRECT(ADDRESS(ROW(),COLUMN(farnell_part_data)+2)),INDIRECT(ADDRESS(ROW(),COLUMN(tme_part_data)+2)),INDIRECT(ADDRESS(ROW(),COLUMN(newark_part_data)+2)))</f>
        <v>0</v>
      </c>
      <c r="I18" s="17">
        <f>iferror(G18*H18,"")</f>
        <v>0</v>
      </c>
      <c r="J18" s="16">
        <v>12741</v>
      </c>
      <c r="L18" s="17">
        <f>iferror(lookup(if(K18="",G18,K18),{0,1,10,25,50,100,250,500,1000,2500},{0.0,1.38,1.251,1.1748,1.1238,1.0727,0.97052,0.89388,0.76619,0.71511}),"")</f>
        <v>0</v>
      </c>
      <c r="M18" s="17">
        <f>iferror(if(K18="",G18,K18)*L18,"")</f>
        <v>0</v>
      </c>
      <c r="N18" s="18" t="s">
        <v>179</v>
      </c>
      <c r="Y18" s="16">
        <v>412</v>
      </c>
      <c r="AA18" s="17">
        <f>iferror(lookup(if(Z18="",G18,Z18),{0,1,10,25,50,100,500,1000,2500},{0.0,1.7,1.67,1.63,1.54,1.32,1.24,1.06,0.994}),"")</f>
        <v>0</v>
      </c>
      <c r="AB18" s="17">
        <f>iferror(if(Z18="",G18,Z18)*AA18,"")</f>
        <v>0</v>
      </c>
      <c r="AC18" s="18" t="s">
        <v>211</v>
      </c>
      <c r="AD18" s="16">
        <v>27</v>
      </c>
      <c r="AF18" s="17">
        <f>iferror(lookup(if(AE18="",G18,AE18),{0,1,25,75,200,400},{0.0,7.508956,4.844868000000001,4.7152,4.585532000000001,4.444076}),"")</f>
        <v>0</v>
      </c>
      <c r="AG18" s="17">
        <f>iferror(if(AE18="",G18,AE18)*AF18,"")</f>
        <v>0</v>
      </c>
      <c r="AH18" s="18" t="s">
        <v>220</v>
      </c>
      <c r="AI18" s="16">
        <v>1369</v>
      </c>
      <c r="AK18" s="17">
        <f>iferror(lookup(if(AJ18="",G18,AJ18),{0,1,5,20,100,600},{0.0,1.3153,1.2012,0.9828,0.8736,0.7644}),"")</f>
        <v>0</v>
      </c>
      <c r="AL18" s="17">
        <f>iferror(if(AJ18="",G18,AJ18)*AK18,"")</f>
        <v>0</v>
      </c>
      <c r="AM18" s="18" t="s">
        <v>64</v>
      </c>
    </row>
    <row r="19" spans="1:39">
      <c r="A19" s="16" t="s">
        <v>65</v>
      </c>
      <c r="B19" s="16" t="s">
        <v>67</v>
      </c>
      <c r="C19" s="16" t="s">
        <v>66</v>
      </c>
      <c r="E19" s="16" t="s">
        <v>66</v>
      </c>
      <c r="F19" s="16" t="s">
        <v>66</v>
      </c>
      <c r="G19" s="16">
        <f>BoardQty*1</f>
        <v>0</v>
      </c>
      <c r="H19" s="17">
        <f>MINA(INDIRECT(ADDRESS(ROW(),COLUMN(rs_part_data)+2)),INDIRECT(ADDRESS(ROW(),COLUMN(digikey_part_data)+2)),INDIRECT(ADDRESS(ROW(),COLUMN(mouser_part_data)+2)),INDIRECT(ADDRESS(ROW(),COLUMN(farnell_part_data)+2)),INDIRECT(ADDRESS(ROW(),COLUMN(tme_part_data)+2)),INDIRECT(ADDRESS(ROW(),COLUMN(newark_part_data)+2)))</f>
        <v>0</v>
      </c>
      <c r="I19" s="17">
        <f>iferror(G19*H19,"")</f>
        <v>0</v>
      </c>
    </row>
    <row r="20" spans="1:39">
      <c r="A20" s="16" t="s">
        <v>68</v>
      </c>
      <c r="B20" s="16" t="s">
        <v>70</v>
      </c>
      <c r="C20" s="16" t="s">
        <v>71</v>
      </c>
      <c r="E20" s="16" t="s">
        <v>69</v>
      </c>
      <c r="F20" s="16" t="s">
        <v>68</v>
      </c>
      <c r="G20" s="16">
        <f>BoardQty*1</f>
        <v>0</v>
      </c>
      <c r="H20" s="17">
        <f>MINA(INDIRECT(ADDRESS(ROW(),COLUMN(rs_part_data)+2)),INDIRECT(ADDRESS(ROW(),COLUMN(digikey_part_data)+2)),INDIRECT(ADDRESS(ROW(),COLUMN(mouser_part_data)+2)),INDIRECT(ADDRESS(ROW(),COLUMN(farnell_part_data)+2)),INDIRECT(ADDRESS(ROW(),COLUMN(tme_part_data)+2)),INDIRECT(ADDRESS(ROW(),COLUMN(newark_part_data)+2)))</f>
        <v>0</v>
      </c>
      <c r="I20" s="17">
        <f>iferror(G20*H20,"")</f>
        <v>0</v>
      </c>
      <c r="J20" s="16">
        <v>126934</v>
      </c>
      <c r="L20" s="17">
        <f>iferror(lookup(if(K20="",G20,K20),{0,1,5,10,50,100,250,500,1000,2000,4000,6000,10000},{0.0,0.66,0.644,0.624,0.5248,0.4356,0.396,0.3366,0.297,0.252,0.2475,0.243,0.234}),"")</f>
        <v>0</v>
      </c>
      <c r="M20" s="17">
        <f>iferror(if(K20="",G20,K20)*L20,"")</f>
        <v>0</v>
      </c>
      <c r="N20" s="18" t="s">
        <v>180</v>
      </c>
      <c r="O20" s="16">
        <v>3969</v>
      </c>
      <c r="Q20" s="17">
        <f>iferror(lookup(if(P20="",G20,P20),{0,1,10,100,500,1000,2000,4000,20000},{0.0,0.32888520000000004,0.32888520000000004,0.32181240000000005,0.31827600000000006,0.3170972,0.31591840000000004,0.31473960000000006,0.31356080000000003}),"")</f>
        <v>0</v>
      </c>
      <c r="R20" s="17">
        <f>iferror(if(P20="",G20,P20)*Q20,"")</f>
        <v>0</v>
      </c>
      <c r="S20" s="18" t="s">
        <v>202</v>
      </c>
      <c r="Y20" s="16">
        <v>5557</v>
      </c>
      <c r="AA20" s="17">
        <f>iferror(lookup(if(Z20="",G20,Z20),{0,1,10,25,50,100,250,500,1000},{0.0,0.6,0.477,0.438,0.399,0.36,0.324,0.307,0.261}),"")</f>
        <v>0</v>
      </c>
      <c r="AB20" s="17">
        <f>iferror(if(Z20="",G20,Z20)*AA20,"")</f>
        <v>0</v>
      </c>
      <c r="AC20" s="18" t="s">
        <v>212</v>
      </c>
      <c r="AD20" s="16">
        <v>130</v>
      </c>
      <c r="AF20" s="17">
        <f>iferror(lookup(if(AE20="",G20,AE20),{0,1,10,100,500,1500,2500},{0.0,0.2947,0.2947,0.28409080000000003,0.2758392,0.26523,0.259336}),"")</f>
        <v>0</v>
      </c>
      <c r="AG20" s="17">
        <f>iferror(if(AE20="",G20,AE20)*AF20,"")</f>
        <v>0</v>
      </c>
      <c r="AH20" s="18" t="s">
        <v>221</v>
      </c>
    </row>
    <row r="21" spans="1:39">
      <c r="A21" s="16" t="s">
        <v>72</v>
      </c>
      <c r="B21" s="16" t="s">
        <v>74</v>
      </c>
      <c r="C21" s="16" t="s">
        <v>75</v>
      </c>
      <c r="E21" s="16" t="s">
        <v>73</v>
      </c>
      <c r="F21" s="16" t="s">
        <v>76</v>
      </c>
      <c r="G21" s="16">
        <f>BoardQty*1</f>
        <v>0</v>
      </c>
      <c r="H21" s="17">
        <f>MINA(INDIRECT(ADDRESS(ROW(),COLUMN(rs_part_data)+2)),INDIRECT(ADDRESS(ROW(),COLUMN(digikey_part_data)+2)),INDIRECT(ADDRESS(ROW(),COLUMN(mouser_part_data)+2)),INDIRECT(ADDRESS(ROW(),COLUMN(farnell_part_data)+2)),INDIRECT(ADDRESS(ROW(),COLUMN(tme_part_data)+2)),INDIRECT(ADDRESS(ROW(),COLUMN(newark_part_data)+2)))</f>
        <v>0</v>
      </c>
      <c r="I21" s="17">
        <f>iferror(G21*H21,"")</f>
        <v>0</v>
      </c>
      <c r="J21" s="16">
        <v>2910</v>
      </c>
      <c r="L21" s="17">
        <f>iferror(lookup(if(K21="",G21,K21),{0,1,10,100,500,1000,5000},{0.0,1.24,1.092,0.9425,0.77112,0.68544,0.6188}),"")</f>
        <v>0</v>
      </c>
      <c r="M21" s="17">
        <f>iferror(if(K21="",G21,K21)*L21,"")</f>
        <v>0</v>
      </c>
      <c r="N21" s="18" t="s">
        <v>181</v>
      </c>
      <c r="Y21" s="19" t="s">
        <v>170</v>
      </c>
      <c r="AA21" s="17">
        <f>iferror(lookup(if(Z21="",G21,Z21),{0,1,10,100,250,500,1000},{0.0,9.95,9.95,8.13,7.45,6.92,6.51}),"")</f>
        <v>0</v>
      </c>
      <c r="AB21" s="17">
        <f>iferror(if(Z21="",G21,Z21)*AA21,"")</f>
        <v>0</v>
      </c>
      <c r="AC21" s="18" t="s">
        <v>213</v>
      </c>
    </row>
    <row r="22" spans="1:39">
      <c r="A22" s="16" t="s">
        <v>77</v>
      </c>
      <c r="B22" s="16" t="s">
        <v>78</v>
      </c>
      <c r="C22" s="16" t="s">
        <v>79</v>
      </c>
      <c r="E22" s="16" t="s">
        <v>73</v>
      </c>
      <c r="F22" s="16" t="s">
        <v>80</v>
      </c>
      <c r="G22" s="16">
        <f>BoardQty*1</f>
        <v>0</v>
      </c>
      <c r="H22" s="17">
        <f>MINA(INDIRECT(ADDRESS(ROW(),COLUMN(rs_part_data)+2)),INDIRECT(ADDRESS(ROW(),COLUMN(digikey_part_data)+2)),INDIRECT(ADDRESS(ROW(),COLUMN(mouser_part_data)+2)),INDIRECT(ADDRESS(ROW(),COLUMN(farnell_part_data)+2)),INDIRECT(ADDRESS(ROW(),COLUMN(tme_part_data)+2)),INDIRECT(ADDRESS(ROW(),COLUMN(newark_part_data)+2)))</f>
        <v>0</v>
      </c>
      <c r="I22" s="17">
        <f>iferror(G22*H22,"")</f>
        <v>0</v>
      </c>
      <c r="J22" s="16">
        <v>5864</v>
      </c>
      <c r="L22" s="17">
        <f>iferror(lookup(if(K22="",G22,K22),{0,1,10,100,500,1000,5000},{0.0,0.94,0.828,0.7148,0.58482,0.51984,0.4693}),"")</f>
        <v>0</v>
      </c>
      <c r="M22" s="17">
        <f>iferror(if(K22="",G22,K22)*L22,"")</f>
        <v>0</v>
      </c>
      <c r="N22" s="18" t="s">
        <v>182</v>
      </c>
      <c r="Y22" s="19" t="s">
        <v>170</v>
      </c>
      <c r="AA22" s="17">
        <f>iferror(lookup(if(Z22="",G22,Z22),{0,1,10,100,250,500,1000},{0.0,9.95,9.95,8.13,7.45,6.92,6.51}),"")</f>
        <v>0</v>
      </c>
      <c r="AB22" s="17">
        <f>iferror(if(Z22="",G22,Z22)*AA22,"")</f>
        <v>0</v>
      </c>
      <c r="AC22" s="18" t="s">
        <v>213</v>
      </c>
    </row>
    <row r="23" spans="1:39">
      <c r="A23" s="16" t="s">
        <v>81</v>
      </c>
      <c r="B23" s="16" t="s">
        <v>82</v>
      </c>
      <c r="C23" s="16" t="s">
        <v>83</v>
      </c>
      <c r="E23" s="16" t="s">
        <v>73</v>
      </c>
      <c r="F23" s="16" t="s">
        <v>84</v>
      </c>
      <c r="G23" s="16">
        <f>BoardQty*1</f>
        <v>0</v>
      </c>
      <c r="H23" s="17">
        <f>MINA(INDIRECT(ADDRESS(ROW(),COLUMN(rs_part_data)+2)),INDIRECT(ADDRESS(ROW(),COLUMN(digikey_part_data)+2)),INDIRECT(ADDRESS(ROW(),COLUMN(mouser_part_data)+2)),INDIRECT(ADDRESS(ROW(),COLUMN(farnell_part_data)+2)),INDIRECT(ADDRESS(ROW(),COLUMN(tme_part_data)+2)),INDIRECT(ADDRESS(ROW(),COLUMN(newark_part_data)+2)))</f>
        <v>0</v>
      </c>
      <c r="I23" s="17">
        <f>iferror(G23*H23,"")</f>
        <v>0</v>
      </c>
      <c r="J23" s="19" t="s">
        <v>170</v>
      </c>
      <c r="L23" s="17">
        <f>iferror(lookup(if(K23="",G23,K23),{0,1,10,100,500,1000,5000},{0.0,1.32,1.195,1.0244,0.85366,0.7317,0.7046}),"")</f>
        <v>0</v>
      </c>
      <c r="M23" s="17">
        <f>iferror(if(K23="",G23,K23)*L23,"")</f>
        <v>0</v>
      </c>
      <c r="N23" s="18" t="s">
        <v>183</v>
      </c>
      <c r="Y23" s="19" t="s">
        <v>170</v>
      </c>
      <c r="AA23" s="17">
        <f>iferror(lookup(if(Z23="",G23,Z23),{0,1,10,100,250,500,1000},{0.0,9.95,9.95,8.13,7.45,6.92,6.51}),"")</f>
        <v>0</v>
      </c>
      <c r="AB23" s="17">
        <f>iferror(if(Z23="",G23,Z23)*AA23,"")</f>
        <v>0</v>
      </c>
      <c r="AC23" s="18" t="s">
        <v>213</v>
      </c>
    </row>
    <row r="24" spans="1:39">
      <c r="A24" s="16" t="s">
        <v>85</v>
      </c>
      <c r="B24" s="16" t="s">
        <v>86</v>
      </c>
      <c r="C24" s="16" t="s">
        <v>87</v>
      </c>
      <c r="E24" s="16" t="s">
        <v>73</v>
      </c>
      <c r="F24" s="16" t="s">
        <v>76</v>
      </c>
      <c r="G24" s="16">
        <f>BoardQty*1</f>
        <v>0</v>
      </c>
      <c r="H24" s="17">
        <f>MINA(INDIRECT(ADDRESS(ROW(),COLUMN(rs_part_data)+2)),INDIRECT(ADDRESS(ROW(),COLUMN(digikey_part_data)+2)),INDIRECT(ADDRESS(ROW(),COLUMN(mouser_part_data)+2)),INDIRECT(ADDRESS(ROW(),COLUMN(farnell_part_data)+2)),INDIRECT(ADDRESS(ROW(),COLUMN(tme_part_data)+2)),INDIRECT(ADDRESS(ROW(),COLUMN(newark_part_data)+2)))</f>
        <v>0</v>
      </c>
      <c r="I24" s="17">
        <f>iferror(G24*H24,"")</f>
        <v>0</v>
      </c>
      <c r="J24" s="16">
        <v>2910</v>
      </c>
      <c r="L24" s="17">
        <f>iferror(lookup(if(K24="",G24,K24),{0,1,10,100,500,1000,5000},{0.0,1.24,1.092,0.9425,0.77112,0.68544,0.6188}),"")</f>
        <v>0</v>
      </c>
      <c r="M24" s="17">
        <f>iferror(if(K24="",G24,K24)*L24,"")</f>
        <v>0</v>
      </c>
      <c r="N24" s="18" t="s">
        <v>181</v>
      </c>
    </row>
    <row r="25" spans="1:39">
      <c r="A25" s="16" t="s">
        <v>88</v>
      </c>
      <c r="B25" s="16" t="s">
        <v>90</v>
      </c>
      <c r="C25" s="16" t="s">
        <v>91</v>
      </c>
      <c r="E25" s="16" t="s">
        <v>89</v>
      </c>
      <c r="F25" s="16" t="s">
        <v>90</v>
      </c>
      <c r="G25" s="16">
        <f>BoardQty*1</f>
        <v>0</v>
      </c>
      <c r="H25" s="17">
        <f>MINA(INDIRECT(ADDRESS(ROW(),COLUMN(rs_part_data)+2)),INDIRECT(ADDRESS(ROW(),COLUMN(digikey_part_data)+2)),INDIRECT(ADDRESS(ROW(),COLUMN(mouser_part_data)+2)),INDIRECT(ADDRESS(ROW(),COLUMN(farnell_part_data)+2)),INDIRECT(ADDRESS(ROW(),COLUMN(tme_part_data)+2)),INDIRECT(ADDRESS(ROW(),COLUMN(newark_part_data)+2)))</f>
        <v>0</v>
      </c>
      <c r="I25" s="17">
        <f>iferror(G25*H25,"")</f>
        <v>0</v>
      </c>
      <c r="J25" s="16">
        <v>40864</v>
      </c>
      <c r="L25" s="17">
        <f>iferror(lookup(if(K25="",G25,K25),{0,1,10,100,500,1000,3000},{0.0,0.55,0.431,0.2956,0.2027,0.15202,0.13529}),"")</f>
        <v>0</v>
      </c>
      <c r="M25" s="17">
        <f>iferror(if(K25="",G25,K25)*L25,"")</f>
        <v>0</v>
      </c>
      <c r="N25" s="18" t="s">
        <v>184</v>
      </c>
      <c r="O25" s="16">
        <v>55437</v>
      </c>
      <c r="Q25" s="17">
        <f>iferror(lookup(if(P25="",G25,P25),{0,1,100,250,500},{0.0,0.20157480000000003,0.20157480000000003,0.19568080000000002,0.14735}),"")</f>
        <v>0</v>
      </c>
      <c r="R25" s="17">
        <f>iferror(if(P25="",G25,P25)*Q25,"")</f>
        <v>0</v>
      </c>
      <c r="S25" s="18" t="s">
        <v>203</v>
      </c>
      <c r="Y25" s="16">
        <v>2661</v>
      </c>
      <c r="AA25" s="17">
        <f>iferror(lookup(if(Z25="",G25,Z25),{0,1,25,50,100,250,500,1000},{0.0,0.462,0.348,0.268,0.189,0.174,0.157,0.142}),"")</f>
        <v>0</v>
      </c>
      <c r="AB25" s="17">
        <f>iferror(if(Z25="",G25,Z25)*AA25,"")</f>
        <v>0</v>
      </c>
      <c r="AC25" s="18" t="s">
        <v>214</v>
      </c>
    </row>
    <row r="26" spans="1:39">
      <c r="A26" s="16" t="s">
        <v>92</v>
      </c>
      <c r="B26" s="16" t="s">
        <v>94</v>
      </c>
      <c r="C26" s="16" t="s">
        <v>95</v>
      </c>
      <c r="E26" s="16" t="s">
        <v>93</v>
      </c>
      <c r="F26" s="16" t="s">
        <v>96</v>
      </c>
      <c r="G26" s="16">
        <f>BoardQty*4</f>
        <v>0</v>
      </c>
      <c r="H26" s="17">
        <f>MINA(INDIRECT(ADDRESS(ROW(),COLUMN(rs_part_data)+2)),INDIRECT(ADDRESS(ROW(),COLUMN(digikey_part_data)+2)),INDIRECT(ADDRESS(ROW(),COLUMN(mouser_part_data)+2)),INDIRECT(ADDRESS(ROW(),COLUMN(farnell_part_data)+2)),INDIRECT(ADDRESS(ROW(),COLUMN(tme_part_data)+2)),INDIRECT(ADDRESS(ROW(),COLUMN(newark_part_data)+2)))</f>
        <v>0</v>
      </c>
      <c r="I26" s="17">
        <f>iferror(G26*H26,"")</f>
        <v>0</v>
      </c>
      <c r="J26" s="19" t="s">
        <v>170</v>
      </c>
      <c r="L26" s="17">
        <f>iferror(lookup(if(K26="",G26,K26),{0,1,10,100,1000,2500,5000,10000,25000,50000,125000},{0.0,0.1,0.046,0.0186,0.00835,0.00725,0.00544,0.00473,0.00415,0.00381,0.00373}),"")</f>
        <v>0</v>
      </c>
      <c r="M26" s="17">
        <f>iferror(if(K26="",G26,K26)*L26,"")</f>
        <v>0</v>
      </c>
      <c r="N26" s="18" t="s">
        <v>185</v>
      </c>
      <c r="AD26" s="16">
        <v>7</v>
      </c>
      <c r="AH26" s="18" t="s">
        <v>222</v>
      </c>
      <c r="AI26" s="16">
        <v>55100</v>
      </c>
      <c r="AK26" s="17">
        <f>iferror(lookup(if(AJ26="",G26,AJ26),{0,1,100,1000,5000,15000,50000},{0.0,0.04116,0.04116,0.01782,0.00697,0.00542,0.00465}),"")</f>
        <v>0</v>
      </c>
      <c r="AL26" s="17">
        <f>iferror(if(AJ26="",G26,AJ26)*AK26,"")</f>
        <v>0</v>
      </c>
      <c r="AM26" s="18" t="s">
        <v>227</v>
      </c>
    </row>
    <row r="27" spans="1:39">
      <c r="A27" s="16" t="s">
        <v>97</v>
      </c>
      <c r="B27" s="16" t="s">
        <v>98</v>
      </c>
      <c r="C27" s="16" t="s">
        <v>99</v>
      </c>
      <c r="E27" s="16" t="s">
        <v>11</v>
      </c>
      <c r="F27" s="16" t="s">
        <v>100</v>
      </c>
      <c r="G27" s="16">
        <f>BoardQty*3</f>
        <v>0</v>
      </c>
      <c r="H27" s="17">
        <f>MINA(INDIRECT(ADDRESS(ROW(),COLUMN(rs_part_data)+2)),INDIRECT(ADDRESS(ROW(),COLUMN(digikey_part_data)+2)),INDIRECT(ADDRESS(ROW(),COLUMN(mouser_part_data)+2)),INDIRECT(ADDRESS(ROW(),COLUMN(farnell_part_data)+2)),INDIRECT(ADDRESS(ROW(),COLUMN(tme_part_data)+2)),INDIRECT(ADDRESS(ROW(),COLUMN(newark_part_data)+2)))</f>
        <v>0</v>
      </c>
      <c r="I27" s="17">
        <f>iferror(G27*H27,"")</f>
        <v>0</v>
      </c>
      <c r="J27" s="19" t="s">
        <v>170</v>
      </c>
      <c r="L27" s="17">
        <f>iferror(lookup(if(K27="",G27,K27),{0,1,10,100,1000,2500,5000,10000,20000,25000,30000,40000},{0.0,0.1,0.035,0.0143,0.00641,0.00557,0.00418,0.00363,0.00363,0.0034,0.0034,0.0034}),"")</f>
        <v>0</v>
      </c>
      <c r="M27" s="17">
        <f>iferror(if(K27="",G27,K27)*L27,"")</f>
        <v>0</v>
      </c>
      <c r="N27" s="18" t="s">
        <v>186</v>
      </c>
      <c r="O27" s="19" t="s">
        <v>170</v>
      </c>
      <c r="Q27" s="17">
        <f>iferror(lookup(if(P27="",G27,P27),{0,1,100,500,1000,2500},{0.0,0.02110052,0.02110052,0.01992172,0.01025556,0.00895888}),"")</f>
        <v>0</v>
      </c>
      <c r="R27" s="17">
        <f>iferror(if(P27="",G27,P27)*Q27,"")</f>
        <v>0</v>
      </c>
      <c r="S27" s="18" t="s">
        <v>204</v>
      </c>
      <c r="Y27" s="16">
        <v>10000</v>
      </c>
      <c r="AA27" s="17">
        <f>iferror(lookup(if(Z27="",G27,Z27),{0,1,5000},{0.0,0.006,0.006}),"")</f>
        <v>0</v>
      </c>
      <c r="AB27" s="17">
        <f>iferror(if(Z27="",G27,Z27)*AA27,"")</f>
        <v>0</v>
      </c>
      <c r="AC27" s="18" t="s">
        <v>215</v>
      </c>
      <c r="AD27" s="16">
        <v>13</v>
      </c>
      <c r="AF27" s="17">
        <f>iferror(lookup(if(AE27="",G27,AE27),{0,1,4,20,40,200},{0.0,4.455864,4.326196,3.901828,2.7701800000000003,2.675876}),"")</f>
        <v>0</v>
      </c>
      <c r="AG27" s="17">
        <f>iferror(if(AE27="",G27,AE27)*AF27,"")</f>
        <v>0</v>
      </c>
      <c r="AH27" s="18" t="s">
        <v>223</v>
      </c>
    </row>
    <row r="28" spans="1:39">
      <c r="A28" s="16" t="s">
        <v>101</v>
      </c>
      <c r="B28" s="16" t="s">
        <v>102</v>
      </c>
      <c r="C28" s="16" t="s">
        <v>103</v>
      </c>
      <c r="E28" s="16" t="s">
        <v>11</v>
      </c>
      <c r="F28" s="16" t="s">
        <v>104</v>
      </c>
      <c r="G28" s="16">
        <f>BoardQty*4</f>
        <v>0</v>
      </c>
      <c r="H28" s="17">
        <f>MINA(INDIRECT(ADDRESS(ROW(),COLUMN(rs_part_data)+2)),INDIRECT(ADDRESS(ROW(),COLUMN(digikey_part_data)+2)),INDIRECT(ADDRESS(ROW(),COLUMN(mouser_part_data)+2)),INDIRECT(ADDRESS(ROW(),COLUMN(farnell_part_data)+2)),INDIRECT(ADDRESS(ROW(),COLUMN(tme_part_data)+2)),INDIRECT(ADDRESS(ROW(),COLUMN(newark_part_data)+2)))</f>
        <v>0</v>
      </c>
      <c r="I28" s="17">
        <f>iferror(G28*H28,"")</f>
        <v>0</v>
      </c>
      <c r="J28" s="19" t="s">
        <v>170</v>
      </c>
      <c r="L28" s="17">
        <f>iferror(lookup(if(K28="",G28,K28),{0,1,10,100,1000,2500,5000,10000,20000,25000,30000,40000},{0.0,0.1,0.035,0.0143,0.00641,0.00557,0.00418,0.00363,0.00363,0.0034,0.0034,0.0034}),"")</f>
        <v>0</v>
      </c>
      <c r="M28" s="17">
        <f>iferror(if(K28="",G28,K28)*L28,"")</f>
        <v>0</v>
      </c>
      <c r="N28" s="18" t="s">
        <v>187</v>
      </c>
      <c r="O28" s="19" t="s">
        <v>170</v>
      </c>
      <c r="Q28" s="17">
        <f>iferror(lookup(if(P28="",G28,P28),{0,1,100,500,1000,2500},{0.0,0.0253442,0.0253442,0.02392964,0.01225952,0.010727080000000002}),"")</f>
        <v>0</v>
      </c>
      <c r="R28" s="17">
        <f>iferror(if(P28="",G28,P28)*Q28,"")</f>
        <v>0</v>
      </c>
      <c r="S28" s="18" t="s">
        <v>205</v>
      </c>
      <c r="Y28" s="19" t="s">
        <v>170</v>
      </c>
      <c r="AA28" s="17">
        <f>iferror(lookup(if(Z28="",G28,Z28),{0,1,5000},{0.0,0.006,0.006}),"")</f>
        <v>0</v>
      </c>
      <c r="AB28" s="17">
        <f>iferror(if(Z28="",G28,Z28)*AA28,"")</f>
        <v>0</v>
      </c>
      <c r="AC28" s="18" t="s">
        <v>216</v>
      </c>
      <c r="AI28" s="16">
        <v>15000</v>
      </c>
      <c r="AK28" s="17">
        <f>iferror(lookup(if(AJ28="",G28,AJ28),{0,1,5000},{0.0,0.02271,0.02271}),"")</f>
        <v>0</v>
      </c>
      <c r="AL28" s="17">
        <f>iferror(if(AJ28="",G28,AJ28)*AK28,"")</f>
        <v>0</v>
      </c>
      <c r="AM28" s="18" t="s">
        <v>104</v>
      </c>
    </row>
    <row r="29" spans="1:39">
      <c r="A29" s="16" t="s">
        <v>105</v>
      </c>
      <c r="B29" s="16" t="s">
        <v>106</v>
      </c>
      <c r="C29" s="16" t="s">
        <v>107</v>
      </c>
      <c r="E29" s="16" t="s">
        <v>93</v>
      </c>
      <c r="F29" s="16" t="s">
        <v>108</v>
      </c>
      <c r="G29" s="16">
        <f>BoardQty*2</f>
        <v>0</v>
      </c>
      <c r="H29" s="17">
        <f>MINA(INDIRECT(ADDRESS(ROW(),COLUMN(rs_part_data)+2)),INDIRECT(ADDRESS(ROW(),COLUMN(digikey_part_data)+2)),INDIRECT(ADDRESS(ROW(),COLUMN(mouser_part_data)+2)),INDIRECT(ADDRESS(ROW(),COLUMN(farnell_part_data)+2)),INDIRECT(ADDRESS(ROW(),COLUMN(tme_part_data)+2)),INDIRECT(ADDRESS(ROW(),COLUMN(newark_part_data)+2)))</f>
        <v>0</v>
      </c>
      <c r="I29" s="17">
        <f>iferror(G29*H29,"")</f>
        <v>0</v>
      </c>
      <c r="J29" s="16">
        <v>2143</v>
      </c>
      <c r="L29" s="17">
        <f>iferror(lookup(if(K29="",G29,K29),{0,1,10,100,1000,2500,5000,10000,25000,50000,125000},{0.0,0.1,0.039,0.0159,0.00716,0.00622,0.00468,0.00406,0.00357,0.00327,0.00321}),"")</f>
        <v>0</v>
      </c>
      <c r="M29" s="17">
        <f>iferror(if(K29="",G29,K29)*L29,"")</f>
        <v>0</v>
      </c>
      <c r="N29" s="18" t="s">
        <v>188</v>
      </c>
      <c r="AI29" s="16">
        <v>37600</v>
      </c>
      <c r="AK29" s="17">
        <f>iferror(lookup(if(AJ29="",G29,AJ29),{0,1,100,1000,5000,15000,50000},{0.0,0.03606,0.03606,0.01479,0.00658,0.0055,0.00465}),"")</f>
        <v>0</v>
      </c>
      <c r="AL29" s="17">
        <f>iferror(if(AJ29="",G29,AJ29)*AK29,"")</f>
        <v>0</v>
      </c>
      <c r="AM29" s="18" t="s">
        <v>228</v>
      </c>
    </row>
    <row r="30" spans="1:39">
      <c r="A30" s="16" t="s">
        <v>109</v>
      </c>
      <c r="B30" s="16" t="s">
        <v>111</v>
      </c>
      <c r="C30" s="16" t="s">
        <v>112</v>
      </c>
      <c r="E30" s="16" t="s">
        <v>110</v>
      </c>
      <c r="F30" s="16" t="s">
        <v>113</v>
      </c>
      <c r="G30" s="16">
        <f>BoardQty*2</f>
        <v>0</v>
      </c>
      <c r="H30" s="17">
        <f>MINA(INDIRECT(ADDRESS(ROW(),COLUMN(rs_part_data)+2)),INDIRECT(ADDRESS(ROW(),COLUMN(digikey_part_data)+2)),INDIRECT(ADDRESS(ROW(),COLUMN(mouser_part_data)+2)),INDIRECT(ADDRESS(ROW(),COLUMN(farnell_part_data)+2)),INDIRECT(ADDRESS(ROW(),COLUMN(tme_part_data)+2)),INDIRECT(ADDRESS(ROW(),COLUMN(newark_part_data)+2)))</f>
        <v>0</v>
      </c>
      <c r="I30" s="17">
        <f>iferror(G30*H30,"")</f>
        <v>0</v>
      </c>
      <c r="J30" s="16">
        <v>3314244</v>
      </c>
      <c r="L30" s="17">
        <f>iferror(lookup(if(K30="",G30,K30),{0,1,10,25,50,100,250,500,1000,5000,10000,25000,50000,125000},{0.0,0.1,0.074,0.0532,0.0406,0.03,0.02288,0.0183,0.01347,0.00878,0.00762,0.0067,0.00614,0.00602}),"")</f>
        <v>0</v>
      </c>
      <c r="M30" s="17">
        <f>iferror(if(K30="",G30,K30)*L30,"")</f>
        <v>0</v>
      </c>
      <c r="N30" s="18" t="s">
        <v>189</v>
      </c>
    </row>
    <row r="31" spans="1:39">
      <c r="A31" s="16" t="s">
        <v>114</v>
      </c>
      <c r="B31" s="16" t="s">
        <v>115</v>
      </c>
      <c r="C31" s="16" t="s">
        <v>116</v>
      </c>
      <c r="E31" s="16" t="s">
        <v>11</v>
      </c>
      <c r="F31" s="16" t="s">
        <v>117</v>
      </c>
      <c r="G31" s="16">
        <f>BoardQty*2</f>
        <v>0</v>
      </c>
      <c r="H31" s="17">
        <f>MINA(INDIRECT(ADDRESS(ROW(),COLUMN(rs_part_data)+2)),INDIRECT(ADDRESS(ROW(),COLUMN(digikey_part_data)+2)),INDIRECT(ADDRESS(ROW(),COLUMN(mouser_part_data)+2)),INDIRECT(ADDRESS(ROW(),COLUMN(farnell_part_data)+2)),INDIRECT(ADDRESS(ROW(),COLUMN(tme_part_data)+2)),INDIRECT(ADDRESS(ROW(),COLUMN(newark_part_data)+2)))</f>
        <v>0</v>
      </c>
      <c r="I31" s="17">
        <f>iferror(G31*H31,"")</f>
        <v>0</v>
      </c>
      <c r="J31" s="19" t="s">
        <v>170</v>
      </c>
      <c r="L31" s="17">
        <f>iferror(lookup(if(K31="",G31,K31),{0,1,10,100,1000,2500,5000,10000,20000,25000,30000,40000},{0.0,0.1,0.055,0.0223,0.01003,0.0087,0.00654,0.00568,0.00568,0.00532,0.00532,0.00532}),"")</f>
        <v>0</v>
      </c>
      <c r="M31" s="17">
        <f>iferror(if(K31="",G31,K31)*L31,"")</f>
        <v>0</v>
      </c>
      <c r="N31" s="18" t="s">
        <v>190</v>
      </c>
    </row>
    <row r="32" spans="1:39">
      <c r="A32" s="16" t="s">
        <v>118</v>
      </c>
      <c r="B32" s="16" t="s">
        <v>119</v>
      </c>
      <c r="C32" s="16" t="s">
        <v>120</v>
      </c>
      <c r="E32" s="16" t="s">
        <v>110</v>
      </c>
      <c r="F32" s="16" t="s">
        <v>121</v>
      </c>
      <c r="G32" s="16">
        <f>BoardQty*1</f>
        <v>0</v>
      </c>
      <c r="H32" s="17">
        <f>MINA(INDIRECT(ADDRESS(ROW(),COLUMN(rs_part_data)+2)),INDIRECT(ADDRESS(ROW(),COLUMN(digikey_part_data)+2)),INDIRECT(ADDRESS(ROW(),COLUMN(mouser_part_data)+2)),INDIRECT(ADDRESS(ROW(),COLUMN(farnell_part_data)+2)),INDIRECT(ADDRESS(ROW(),COLUMN(tme_part_data)+2)),INDIRECT(ADDRESS(ROW(),COLUMN(newark_part_data)+2)))</f>
        <v>0</v>
      </c>
      <c r="I32" s="17">
        <f>iferror(G32*H32,"")</f>
        <v>0</v>
      </c>
      <c r="J32" s="16">
        <v>1893</v>
      </c>
      <c r="L32" s="17">
        <f>iferror(lookup(if(K32="",G32,K32),{0,1,10,25,50,100,250,500,1000,2000,6000},{0.0,0.3,0.286,0.2752,0.2652,0.2549,0.23452,0.20394,0.17335,0.16223,0.13442}),"")</f>
        <v>0</v>
      </c>
      <c r="M32" s="17">
        <f>iferror(if(K32="",G32,K32)*L32,"")</f>
        <v>0</v>
      </c>
      <c r="N32" s="18" t="s">
        <v>191</v>
      </c>
      <c r="AD32" s="19" t="s">
        <v>170</v>
      </c>
      <c r="AF32" s="17">
        <f>iferror(lookup(if(AE32="",G32,AE32),{0,1,100,300,500},{0.0,0.2451904,0.2451904,0.22279320000000002,0.2051112}),"")</f>
        <v>0</v>
      </c>
      <c r="AG32" s="17">
        <f>iferror(if(AE32="",G32,AE32)*AF32,"")</f>
        <v>0</v>
      </c>
      <c r="AH32" s="18" t="s">
        <v>224</v>
      </c>
    </row>
    <row r="33" spans="1:39">
      <c r="A33" s="16" t="s">
        <v>122</v>
      </c>
      <c r="B33" s="16" t="s">
        <v>125</v>
      </c>
      <c r="C33" s="16" t="s">
        <v>126</v>
      </c>
      <c r="D33" s="16" t="s">
        <v>124</v>
      </c>
      <c r="E33" s="16" t="s">
        <v>123</v>
      </c>
      <c r="F33" s="16" t="s">
        <v>125</v>
      </c>
      <c r="G33" s="16">
        <f>BoardQty*1</f>
        <v>0</v>
      </c>
      <c r="H33" s="17">
        <f>MINA(INDIRECT(ADDRESS(ROW(),COLUMN(rs_part_data)+2)),INDIRECT(ADDRESS(ROW(),COLUMN(digikey_part_data)+2)),INDIRECT(ADDRESS(ROW(),COLUMN(mouser_part_data)+2)),INDIRECT(ADDRESS(ROW(),COLUMN(farnell_part_data)+2)),INDIRECT(ADDRESS(ROW(),COLUMN(tme_part_data)+2)),INDIRECT(ADDRESS(ROW(),COLUMN(newark_part_data)+2)))</f>
        <v>0</v>
      </c>
      <c r="I33" s="17">
        <f>iferror(G33*H33,"")</f>
        <v>0</v>
      </c>
      <c r="J33" s="19" t="s">
        <v>170</v>
      </c>
      <c r="L33" s="17">
        <f>iferror(lookup(if(K33="",G33,K33),{0,1,10,100,500,1000,2500,5000,12500,25000,62500},{0.0,0.42,0.361,0.2697,0.21188,0.16373,0.14492,0.13558,0.12622,0.11968,0.11688}),"")</f>
        <v>0</v>
      </c>
      <c r="M33" s="17">
        <f>iferror(if(K33="",G33,K33)*L33,"")</f>
        <v>0</v>
      </c>
      <c r="N33" s="18" t="s">
        <v>192</v>
      </c>
      <c r="AI33" s="19" t="s">
        <v>170</v>
      </c>
      <c r="AK33" s="17">
        <f>iferror(lookup(if(AJ33="",G33,AJ33),{0,1,2500},{0.0,0.1161,0.1161}),"")</f>
        <v>0</v>
      </c>
      <c r="AL33" s="17">
        <f>iferror(if(AJ33="",G33,AJ33)*AK33,"")</f>
        <v>0</v>
      </c>
      <c r="AM33" s="18" t="s">
        <v>125</v>
      </c>
    </row>
    <row r="34" spans="1:39">
      <c r="A34" s="16" t="s">
        <v>127</v>
      </c>
      <c r="B34" s="16" t="s">
        <v>129</v>
      </c>
      <c r="C34" s="16" t="s">
        <v>130</v>
      </c>
      <c r="E34" s="16" t="s">
        <v>128</v>
      </c>
      <c r="F34" s="16" t="s">
        <v>129</v>
      </c>
      <c r="G34" s="16">
        <f>BoardQty*1</f>
        <v>0</v>
      </c>
      <c r="H34" s="17">
        <f>MINA(INDIRECT(ADDRESS(ROW(),COLUMN(rs_part_data)+2)),INDIRECT(ADDRESS(ROW(),COLUMN(digikey_part_data)+2)),INDIRECT(ADDRESS(ROW(),COLUMN(mouser_part_data)+2)),INDIRECT(ADDRESS(ROW(),COLUMN(farnell_part_data)+2)),INDIRECT(ADDRESS(ROW(),COLUMN(tme_part_data)+2)),INDIRECT(ADDRESS(ROW(),COLUMN(newark_part_data)+2)))</f>
        <v>0</v>
      </c>
      <c r="I34" s="17">
        <f>iferror(G34*H34,"")</f>
        <v>0</v>
      </c>
      <c r="J34" s="16">
        <v>50998</v>
      </c>
      <c r="L34" s="17">
        <f>iferror(lookup(if(K34="",G34,K34),{0,1,10,100,500,1000,2500,5000,12500},{0.0,0.8,0.704,0.5394,0.42642,0.34114,0.30015,0.27945,0.2691}),"")</f>
        <v>0</v>
      </c>
      <c r="M34" s="17">
        <f>iferror(if(K34="",G34,K34)*L34,"")</f>
        <v>0</v>
      </c>
      <c r="N34" s="18" t="s">
        <v>193</v>
      </c>
    </row>
    <row r="35" spans="1:39">
      <c r="A35" s="16" t="s">
        <v>131</v>
      </c>
      <c r="B35" s="16" t="s">
        <v>132</v>
      </c>
      <c r="C35" s="16" t="s">
        <v>133</v>
      </c>
      <c r="E35" s="16" t="s">
        <v>128</v>
      </c>
      <c r="F35" s="16" t="s">
        <v>132</v>
      </c>
      <c r="G35" s="16">
        <f>BoardQty*1</f>
        <v>0</v>
      </c>
      <c r="H35" s="17">
        <f>MINA(INDIRECT(ADDRESS(ROW(),COLUMN(rs_part_data)+2)),INDIRECT(ADDRESS(ROW(),COLUMN(digikey_part_data)+2)),INDIRECT(ADDRESS(ROW(),COLUMN(mouser_part_data)+2)),INDIRECT(ADDRESS(ROW(),COLUMN(farnell_part_data)+2)),INDIRECT(ADDRESS(ROW(),COLUMN(tme_part_data)+2)),INDIRECT(ADDRESS(ROW(),COLUMN(newark_part_data)+2)))</f>
        <v>0</v>
      </c>
      <c r="I35" s="17">
        <f>iferror(G35*H35,"")</f>
        <v>0</v>
      </c>
      <c r="J35" s="16">
        <v>74056</v>
      </c>
      <c r="L35" s="17">
        <f>iferror(lookup(if(K35="",G35,K35),{0,1,10,100,250,500,1000,1250,3000,6000,15000},{0.0,0.6,0.527,0.4039,0.6536,0.3193,0.25544,0.456,0.22475,0.20925,0.2015}),"")</f>
        <v>0</v>
      </c>
      <c r="M35" s="17">
        <f>iferror(if(K35="",G35,K35)*L35,"")</f>
        <v>0</v>
      </c>
      <c r="N35" s="18" t="s">
        <v>194</v>
      </c>
      <c r="AI35" s="16">
        <v>1519</v>
      </c>
      <c r="AK35" s="17">
        <f>iferror(lookup(if(AJ35="",G35,AJ35),{0,1,3,25,100,500,3000},{0.0,0.412,0.412,0.37,0.327,0.294,0.274}),"")</f>
        <v>0</v>
      </c>
      <c r="AL35" s="17">
        <f>iferror(if(AJ35="",G35,AJ35)*AK35,"")</f>
        <v>0</v>
      </c>
      <c r="AM35" s="18" t="s">
        <v>132</v>
      </c>
    </row>
    <row r="36" spans="1:39">
      <c r="A36" s="16" t="s">
        <v>134</v>
      </c>
      <c r="B36" s="16" t="s">
        <v>136</v>
      </c>
      <c r="C36" s="16" t="s">
        <v>137</v>
      </c>
      <c r="E36" s="16" t="s">
        <v>135</v>
      </c>
      <c r="F36" s="16" t="s">
        <v>136</v>
      </c>
      <c r="G36" s="16">
        <f>BoardQty*1</f>
        <v>0</v>
      </c>
      <c r="H36" s="17">
        <f>MINA(INDIRECT(ADDRESS(ROW(),COLUMN(rs_part_data)+2)),INDIRECT(ADDRESS(ROW(),COLUMN(digikey_part_data)+2)),INDIRECT(ADDRESS(ROW(),COLUMN(mouser_part_data)+2)),INDIRECT(ADDRESS(ROW(),COLUMN(farnell_part_data)+2)),INDIRECT(ADDRESS(ROW(),COLUMN(tme_part_data)+2)),INDIRECT(ADDRESS(ROW(),COLUMN(newark_part_data)+2)))</f>
        <v>0</v>
      </c>
      <c r="I36" s="17">
        <f>iferror(G36*H36,"")</f>
        <v>0</v>
      </c>
      <c r="J36" s="16">
        <v>14957</v>
      </c>
      <c r="L36" s="17">
        <f>iferror(lookup(if(K36="",G36,K36),{0,1,25,5000},{0.0,2.52,2.3176,2.37931}),"")</f>
        <v>0</v>
      </c>
      <c r="M36" s="17">
        <f>iferror(if(K36="",G36,K36)*L36,"")</f>
        <v>0</v>
      </c>
      <c r="N36" s="18" t="s">
        <v>195</v>
      </c>
      <c r="AI36" s="16">
        <v>382</v>
      </c>
      <c r="AK36" s="17">
        <f>iferror(lookup(if(AJ36="",G36,AJ36),{0,1,5,25,100},{0.0,2.99,2.75,2.56,2.46}),"")</f>
        <v>0</v>
      </c>
      <c r="AL36" s="17">
        <f>iferror(if(AJ36="",G36,AJ36)*AK36,"")</f>
        <v>0</v>
      </c>
      <c r="AM36" s="18" t="s">
        <v>136</v>
      </c>
    </row>
    <row r="37" spans="1:39">
      <c r="A37" s="16" t="s">
        <v>138</v>
      </c>
      <c r="B37" s="16" t="s">
        <v>139</v>
      </c>
      <c r="C37" s="16" t="s">
        <v>139</v>
      </c>
      <c r="E37" s="16" t="s">
        <v>135</v>
      </c>
      <c r="F37" s="16" t="s">
        <v>140</v>
      </c>
      <c r="G37" s="16">
        <f>BoardQty*1</f>
        <v>0</v>
      </c>
      <c r="H37" s="17">
        <f>MINA(INDIRECT(ADDRESS(ROW(),COLUMN(rs_part_data)+2)),INDIRECT(ADDRESS(ROW(),COLUMN(digikey_part_data)+2)),INDIRECT(ADDRESS(ROW(),COLUMN(mouser_part_data)+2)),INDIRECT(ADDRESS(ROW(),COLUMN(farnell_part_data)+2)),INDIRECT(ADDRESS(ROW(),COLUMN(tme_part_data)+2)),INDIRECT(ADDRESS(ROW(),COLUMN(newark_part_data)+2)))</f>
        <v>0</v>
      </c>
      <c r="I37" s="17">
        <f>iferror(G37*H37,"")</f>
        <v>0</v>
      </c>
      <c r="J37" s="16">
        <v>16819</v>
      </c>
      <c r="L37" s="17">
        <f>iferror(lookup(if(K37="",G37,K37),{0,1,25},{0.0,2.14,1.9672}),"")</f>
        <v>0</v>
      </c>
      <c r="M37" s="17">
        <f>iferror(if(K37="",G37,K37)*L37,"")</f>
        <v>0</v>
      </c>
      <c r="N37" s="18" t="s">
        <v>196</v>
      </c>
      <c r="AI37" s="16">
        <v>2287</v>
      </c>
      <c r="AK37" s="17">
        <f>iferror(lookup(if(AJ37="",G37,AJ37),{0,1,5,28,98},{0.0,2.82,2.65,2.45,2.21}),"")</f>
        <v>0</v>
      </c>
      <c r="AL37" s="17">
        <f>iferror(if(AJ37="",G37,AJ37)*AK37,"")</f>
        <v>0</v>
      </c>
      <c r="AM37" s="18" t="s">
        <v>140</v>
      </c>
    </row>
    <row r="38" spans="1:39">
      <c r="A38" s="16" t="s">
        <v>141</v>
      </c>
      <c r="B38" s="16" t="s">
        <v>142</v>
      </c>
      <c r="C38" s="16" t="s">
        <v>143</v>
      </c>
      <c r="E38" s="16" t="s">
        <v>69</v>
      </c>
      <c r="F38" s="16" t="s">
        <v>142</v>
      </c>
      <c r="G38" s="16">
        <f>BoardQty*2</f>
        <v>0</v>
      </c>
      <c r="H38" s="17">
        <f>MINA(INDIRECT(ADDRESS(ROW(),COLUMN(rs_part_data)+2)),INDIRECT(ADDRESS(ROW(),COLUMN(digikey_part_data)+2)),INDIRECT(ADDRESS(ROW(),COLUMN(mouser_part_data)+2)),INDIRECT(ADDRESS(ROW(),COLUMN(farnell_part_data)+2)),INDIRECT(ADDRESS(ROW(),COLUMN(tme_part_data)+2)),INDIRECT(ADDRESS(ROW(),COLUMN(newark_part_data)+2)))</f>
        <v>0</v>
      </c>
      <c r="I38" s="17">
        <f>iferror(G38*H38,"")</f>
        <v>0</v>
      </c>
      <c r="J38" s="16">
        <v>231517</v>
      </c>
      <c r="L38" s="17">
        <f>iferror(lookup(if(K38="",G38,K38),{0,1,10,25,100,250,500,1000,2500,5000,10000,25000,50000,125000},{0.0,0.51,0.359,0.2944,0.2357,0.1714,0.13926,0.10712,0.09641,0.0884,0.0806,0.0754,0.0676,0.065}),"")</f>
        <v>0</v>
      </c>
      <c r="M38" s="17">
        <f>iferror(if(K38="",G38,K38)*L38,"")</f>
        <v>0</v>
      </c>
      <c r="N38" s="18" t="s">
        <v>197</v>
      </c>
      <c r="AD38" s="19" t="s">
        <v>170</v>
      </c>
      <c r="AH38" s="18" t="s">
        <v>225</v>
      </c>
    </row>
    <row r="39" spans="1:39">
      <c r="A39" s="16" t="s">
        <v>144</v>
      </c>
      <c r="B39" s="16" t="s">
        <v>146</v>
      </c>
      <c r="C39" s="16" t="s">
        <v>147</v>
      </c>
      <c r="E39" s="16" t="s">
        <v>145</v>
      </c>
      <c r="F39" s="16" t="s">
        <v>146</v>
      </c>
      <c r="G39" s="16">
        <f>BoardQty*1</f>
        <v>0</v>
      </c>
      <c r="H39" s="17">
        <f>MINA(INDIRECT(ADDRESS(ROW(),COLUMN(rs_part_data)+2)),INDIRECT(ADDRESS(ROW(),COLUMN(digikey_part_data)+2)),INDIRECT(ADDRESS(ROW(),COLUMN(mouser_part_data)+2)),INDIRECT(ADDRESS(ROW(),COLUMN(farnell_part_data)+2)),INDIRECT(ADDRESS(ROW(),COLUMN(tme_part_data)+2)),INDIRECT(ADDRESS(ROW(),COLUMN(newark_part_data)+2)))</f>
        <v>0</v>
      </c>
      <c r="I39" s="17">
        <f>iferror(G39*H39,"")</f>
        <v>0</v>
      </c>
      <c r="J39" s="16">
        <v>2460</v>
      </c>
      <c r="L39" s="17">
        <f>iferror(lookup(if(K39="",G39,K39),{0,1,10,50,100,500,1000,2500,5000,10000},{0.0,0.35,0.289,0.2598,0.231,0.21946,0.1848,0.17325,0.16748,0.1617}),"")</f>
        <v>0</v>
      </c>
      <c r="M39" s="17">
        <f>iferror(if(K39="",G39,K39)*L39,"")</f>
        <v>0</v>
      </c>
      <c r="N39" s="18" t="s">
        <v>198</v>
      </c>
    </row>
    <row r="40" spans="1:39">
      <c r="A40" s="16" t="s">
        <v>148</v>
      </c>
      <c r="B40" s="16" t="s">
        <v>149</v>
      </c>
      <c r="C40" s="16" t="s">
        <v>150</v>
      </c>
      <c r="E40" s="16" t="s">
        <v>53</v>
      </c>
      <c r="F40" s="16" t="s">
        <v>151</v>
      </c>
      <c r="G40" s="16">
        <f>BoardQty*1</f>
        <v>0</v>
      </c>
      <c r="H40" s="17">
        <f>MINA(INDIRECT(ADDRESS(ROW(),COLUMN(rs_part_data)+2)),INDIRECT(ADDRESS(ROW(),COLUMN(digikey_part_data)+2)),INDIRECT(ADDRESS(ROW(),COLUMN(mouser_part_data)+2)),INDIRECT(ADDRESS(ROW(),COLUMN(farnell_part_data)+2)),INDIRECT(ADDRESS(ROW(),COLUMN(tme_part_data)+2)),INDIRECT(ADDRESS(ROW(),COLUMN(newark_part_data)+2)))</f>
        <v>0</v>
      </c>
      <c r="I40" s="17">
        <f>iferror(G40*H40,"")</f>
        <v>0</v>
      </c>
      <c r="J40" s="16">
        <v>47479</v>
      </c>
      <c r="L40" s="17">
        <f>iferror(lookup(if(K40="",G40,K40),{0,1,10,50,100,500,1000,3000,6000,15000},{0.0,0.5,0.42,0.3776,0.3357,0.31894,0.26858,0.2289,0.22127,0.21364}),"")</f>
        <v>0</v>
      </c>
      <c r="M40" s="17">
        <f>iferror(if(K40="",G40,K40)*L40,"")</f>
        <v>0</v>
      </c>
      <c r="N40" s="18" t="s">
        <v>199</v>
      </c>
      <c r="O40" s="16">
        <v>15843</v>
      </c>
      <c r="Q40" s="17">
        <f>iferror(lookup(if(P40="",G40,P40),{0,1,5,50,250,500,1500,3000,15000},{0.0,0.5104204,0.5104204,0.3465672,0.3076668,0.253442,0.23576000000000003,0.21807800000000002,0.2110052}),"")</f>
        <v>0</v>
      </c>
      <c r="R40" s="17">
        <f>iferror(if(P40="",G40,P40)*Q40,"")</f>
        <v>0</v>
      </c>
      <c r="S40" s="18" t="s">
        <v>206</v>
      </c>
      <c r="Y40" s="19" t="s">
        <v>170</v>
      </c>
      <c r="AC40" s="18" t="s">
        <v>217</v>
      </c>
      <c r="AI40" s="19" t="s">
        <v>170</v>
      </c>
      <c r="AK40" s="17">
        <f>iferror(lookup(if(AJ40="",G40,AJ40),{0,1,10,100,1000,3000},{0.0,1.09,0.42,0.2748,0.22488,0.20516}),"")</f>
        <v>0</v>
      </c>
      <c r="AL40" s="17">
        <f>iferror(if(AJ40="",G40,AJ40)*AK40,"")</f>
        <v>0</v>
      </c>
      <c r="AM40" s="18" t="s">
        <v>151</v>
      </c>
    </row>
    <row r="42" spans="1:39">
      <c r="A42" s="3" t="s">
        <v>229</v>
      </c>
      <c r="K42" s="7">
        <f>IFERROR(IF(OR(K7:K40),COUNTIF(K7:K40,"&gt;0")&amp;" of "&amp;ROWS(K7:K40)&amp;" parts purchased",""),"")</f>
        <v>0</v>
      </c>
      <c r="P42" s="7">
        <f>IFERROR(IF(OR(P7:P40),COUNTIF(P7:P40,"&gt;0")&amp;" of "&amp;ROWS(P7:P40)&amp;" parts purchased",""),"")</f>
        <v>0</v>
      </c>
      <c r="U42" s="7">
        <f>IFERROR(IF(OR(U7:U40),COUNTIF(U7:U40,"&gt;0")&amp;" of "&amp;ROWS(U7:U40)&amp;" parts purchased",""),"")</f>
        <v>0</v>
      </c>
      <c r="Z42" s="7">
        <f>IFERROR(IF(OR(Z7:Z40),COUNTIF(Z7:Z40,"&gt;0")&amp;" of "&amp;ROWS(Z7:Z40)&amp;" parts purchased",""),"")</f>
        <v>0</v>
      </c>
      <c r="AE42" s="7">
        <f>IFERROR(IF(OR(AE7:AE40),COUNTIF(AE7:AE40,"&gt;0")&amp;" of "&amp;ROWS(AE7:AE40)&amp;" parts purchased",""),"")</f>
        <v>0</v>
      </c>
      <c r="AJ42" s="7">
        <f>IFERROR(IF(OR(AJ7:AJ40),COUNTIF(AJ7:AJ40,"&gt;0")&amp;" of "&amp;ROWS(AJ7:AJ40)&amp;" parts purchased",""),"")</f>
        <v>0</v>
      </c>
    </row>
    <row r="43" spans="1:39">
      <c r="K43">
        <f t="array" ref="K43">IFERROR(CONCATENATE(TEXT(INDEX($K$7:$K$40,SMALL(IF($N$7:$N$40&lt;&gt;"",IF($K$7:$K$40&lt;&gt;"",ROW($K$7:$K$40)-MIN(ROW($K$7:$K$40))+1,""),""),ROW()-ROW(A$43)+1)),"##0"),","),"")</f>
        <v>0</v>
      </c>
      <c r="L43">
        <f t="array" ref="L43">IFERROR(CONCATENATE((INDEX($N$7:$N$40,SMALL(IF($N$7:$N$40&lt;&gt;"",IF($K$7:$K$40&lt;&gt;"",ROW($K$7:$K$40)-MIN(ROW($K$7:$K$40))+1,""),""),ROW()-ROW(A$43)+1))),","),"")</f>
        <v>0</v>
      </c>
      <c r="M43">
        <f t="array" ref="M43">IFERROR(CONCATENATE((INDEX($A$7:$A$40,SMALL(IF($N$7:$N$40&lt;&gt;"",IF($K$7:$K$40&lt;&gt;"",ROW($K$7:$K$40)-MIN(ROW($K$7:$K$40))+1,""),""),ROW()-ROW(A$43)+1))),),"")</f>
        <v>0</v>
      </c>
      <c r="P43">
        <f t="array" ref="P43">IFERROR(CONCATENATE((INDEX($S$7:$S$40,SMALL(IF($S$7:$S$40&lt;&gt;"",IF($P$7:$P$40&lt;&gt;"",ROW($P$7:$P$40)-MIN(ROW($P$7:$P$40))+1,""),""),ROW()-ROW(A$43)+1)))," "),"")</f>
        <v>0</v>
      </c>
      <c r="Q43">
        <f t="array" ref="Q43">IFERROR(CONCATENATE(TEXT(INDEX($P$7:$P$40,SMALL(IF($S$7:$S$40&lt;&gt;"",IF($P$7:$P$40&lt;&gt;"",ROW($P$7:$P$40)-MIN(ROW($P$7:$P$40))+1,""),""),ROW()-ROW(A$43)+1)),"##0")," "),"")</f>
        <v>0</v>
      </c>
      <c r="R43">
        <f t="array" ref="R43">IFERROR(CONCATENATE((INDEX($A$7:$A$40,SMALL(IF($S$7:$S$40&lt;&gt;"",IF($P$7:$P$40&lt;&gt;"",ROW($P$7:$P$40)-MIN(ROW($P$7:$P$40))+1,""),""),ROW()-ROW(A$43)+1))),),"")</f>
        <v>0</v>
      </c>
      <c r="U43">
        <f t="array" ref="U43">IFERROR(CONCATENATE((INDEX($X$7:$X$40,SMALL(IF($X$7:$X$40&lt;&gt;"",IF($U$7:$U$40&lt;&gt;"",ROW($U$7:$U$40)-MIN(ROW($U$7:$U$40))+1,""),""),ROW()-ROW(A$43)+1)))," "),"")</f>
        <v>0</v>
      </c>
      <c r="V43">
        <f t="array" ref="V43">IFERROR(CONCATENATE(TEXT(INDEX($U$7:$U$40,SMALL(IF($X$7:$X$40&lt;&gt;"",IF($U$7:$U$40&lt;&gt;"",ROW($U$7:$U$40)-MIN(ROW($U$7:$U$40))+1,""),""),ROW()-ROW(A$43)+1)),"##0")," "),"")</f>
        <v>0</v>
      </c>
      <c r="W43">
        <f t="array" ref="W43">IFERROR(CONCATENATE((INDEX($A$7:$A$40,SMALL(IF($X$7:$X$40&lt;&gt;"",IF($U$7:$U$40&lt;&gt;"",ROW($U$7:$U$40)-MIN(ROW($U$7:$U$40))+1,""),""),ROW()-ROW(A$43)+1))),),"")</f>
        <v>0</v>
      </c>
      <c r="Z43">
        <f t="array" ref="Z43">IFERROR(CONCATENATE((INDEX($AC$7:$AC$40,SMALL(IF($AC$7:$AC$40&lt;&gt;"",IF($Z$7:$Z$40&lt;&gt;"",ROW($Z$7:$Z$40)-MIN(ROW($Z$7:$Z$40))+1,""),""),ROW()-ROW(A$43)+1))),","),"")</f>
        <v>0</v>
      </c>
      <c r="AA43">
        <f t="array" ref="AA43">IFERROR(CONCATENATE(TEXT(INDEX($Z$7:$Z$40,SMALL(IF($AC$7:$AC$40&lt;&gt;"",IF($Z$7:$Z$40&lt;&gt;"",ROW($Z$7:$Z$40)-MIN(ROW($Z$7:$Z$40))+1,""),""),ROW()-ROW(A$43)+1)),"##0"),","),"")</f>
        <v>0</v>
      </c>
      <c r="AB43">
        <f t="array" ref="AB43">IFERROR(CONCATENATE((INDEX($A$7:$A$40,SMALL(IF($AC$7:$AC$40&lt;&gt;"",IF($Z$7:$Z$40&lt;&gt;"",ROW($Z$7:$Z$40)-MIN(ROW($Z$7:$Z$40))+1,""),""),ROW()-ROW(A$43)+1))),),"")</f>
        <v>0</v>
      </c>
      <c r="AE43">
        <f t="array" ref="AE43">IFERROR(CONCATENATE((INDEX($AH$7:$AH$40,SMALL(IF($AH$7:$AH$40&lt;&gt;"",IF($AE$7:$AE$40&lt;&gt;"",ROW($AE$7:$AE$40)-MIN(ROW($AE$7:$AE$40))+1,""),""),ROW()-ROW(A$43)+1)))," "),"")</f>
        <v>0</v>
      </c>
      <c r="AF43">
        <f t="array" ref="AF43">IFERROR(CONCATENATE(TEXT(INDEX($AE$7:$AE$40,SMALL(IF($AH$7:$AH$40&lt;&gt;"",IF($AE$7:$AE$40&lt;&gt;"",ROW($AE$7:$AE$40)-MIN(ROW($AE$7:$AE$40))+1,""),""),ROW()-ROW(A$43)+1)),"##0")," "),"")</f>
        <v>0</v>
      </c>
      <c r="AG43">
        <f t="array" ref="AG43">IFERROR(CONCATENATE((INDEX($A$7:$A$40,SMALL(IF($AH$7:$AH$40&lt;&gt;"",IF($AE$7:$AE$40&lt;&gt;"",ROW($AE$7:$AE$40)-MIN(ROW($AE$7:$AE$40))+1,""),""),ROW()-ROW(A$43)+1))),),"")</f>
        <v>0</v>
      </c>
      <c r="AJ43">
        <f t="array" ref="AJ43">IFERROR(CONCATENATE((INDEX($AM$7:$AM$40,SMALL(IF($AM$7:$AM$40&lt;&gt;"",IF($AJ$7:$AJ$40&lt;&gt;"",ROW($AJ$7:$AJ$40)-MIN(ROW($AJ$7:$AJ$40))+1,""),""),ROW()-ROW(A$43)+1)))," "),"")</f>
        <v>0</v>
      </c>
      <c r="AK43">
        <f t="array" ref="AK43">IFERROR(CONCATENATE(TEXT(INDEX($AJ$7:$AJ$40,SMALL(IF($AM$7:$AM$40&lt;&gt;"",IF($AJ$7:$AJ$40&lt;&gt;"",ROW($AJ$7:$AJ$40)-MIN(ROW($AJ$7:$AJ$40))+1,""),""),ROW()-ROW(A$43)+1)),"##0")," "),"")</f>
        <v>0</v>
      </c>
      <c r="AL43">
        <f t="array" ref="AL43">IFERROR(CONCATENATE((INDEX($A$7:$A$40,SMALL(IF($AM$7:$AM$40&lt;&gt;"",IF($AJ$7:$AJ$40&lt;&gt;"",ROW($AJ$7:$AJ$40)-MIN(ROW($AJ$7:$AJ$40))+1,""),""),ROW()-ROW(A$43)+1))),),"")</f>
        <v>0</v>
      </c>
    </row>
    <row r="44" spans="1:39">
      <c r="K44">
        <f t="array" ref="K44">IFERROR(CONCATENATE(TEXT(INDEX($K$7:$K$40,SMALL(IF($N$7:$N$40&lt;&gt;"",IF($K$7:$K$40&lt;&gt;"",ROW($K$7:$K$40)-MIN(ROW($K$7:$K$40))+1,""),""),ROW()-ROW(A$43)+1)),"##0"),","),"")</f>
        <v>0</v>
      </c>
      <c r="L44">
        <f t="array" ref="L44">IFERROR(CONCATENATE((INDEX($N$7:$N$40,SMALL(IF($N$7:$N$40&lt;&gt;"",IF($K$7:$K$40&lt;&gt;"",ROW($K$7:$K$40)-MIN(ROW($K$7:$K$40))+1,""),""),ROW()-ROW(A$43)+1))),","),"")</f>
        <v>0</v>
      </c>
      <c r="M44">
        <f t="array" ref="M44">IFERROR(CONCATENATE((INDEX($A$7:$A$40,SMALL(IF($N$7:$N$40&lt;&gt;"",IF($K$7:$K$40&lt;&gt;"",ROW($K$7:$K$40)-MIN(ROW($K$7:$K$40))+1,""),""),ROW()-ROW(A$43)+1))),),"")</f>
        <v>0</v>
      </c>
      <c r="P44">
        <f t="array" ref="P44">IFERROR(CONCATENATE((INDEX($S$7:$S$40,SMALL(IF($S$7:$S$40&lt;&gt;"",IF($P$7:$P$40&lt;&gt;"",ROW($P$7:$P$40)-MIN(ROW($P$7:$P$40))+1,""),""),ROW()-ROW(A$43)+1)))," "),"")</f>
        <v>0</v>
      </c>
      <c r="Q44">
        <f t="array" ref="Q44">IFERROR(CONCATENATE(TEXT(INDEX($P$7:$P$40,SMALL(IF($S$7:$S$40&lt;&gt;"",IF($P$7:$P$40&lt;&gt;"",ROW($P$7:$P$40)-MIN(ROW($P$7:$P$40))+1,""),""),ROW()-ROW(A$43)+1)),"##0")," "),"")</f>
        <v>0</v>
      </c>
      <c r="R44">
        <f t="array" ref="R44">IFERROR(CONCATENATE((INDEX($A$7:$A$40,SMALL(IF($S$7:$S$40&lt;&gt;"",IF($P$7:$P$40&lt;&gt;"",ROW($P$7:$P$40)-MIN(ROW($P$7:$P$40))+1,""),""),ROW()-ROW(A$43)+1))),),"")</f>
        <v>0</v>
      </c>
      <c r="U44">
        <f t="array" ref="U44">IFERROR(CONCATENATE((INDEX($X$7:$X$40,SMALL(IF($X$7:$X$40&lt;&gt;"",IF($U$7:$U$40&lt;&gt;"",ROW($U$7:$U$40)-MIN(ROW($U$7:$U$40))+1,""),""),ROW()-ROW(A$43)+1)))," "),"")</f>
        <v>0</v>
      </c>
      <c r="V44">
        <f t="array" ref="V44">IFERROR(CONCATENATE(TEXT(INDEX($U$7:$U$40,SMALL(IF($X$7:$X$40&lt;&gt;"",IF($U$7:$U$40&lt;&gt;"",ROW($U$7:$U$40)-MIN(ROW($U$7:$U$40))+1,""),""),ROW()-ROW(A$43)+1)),"##0")," "),"")</f>
        <v>0</v>
      </c>
      <c r="W44">
        <f t="array" ref="W44">IFERROR(CONCATENATE((INDEX($A$7:$A$40,SMALL(IF($X$7:$X$40&lt;&gt;"",IF($U$7:$U$40&lt;&gt;"",ROW($U$7:$U$40)-MIN(ROW($U$7:$U$40))+1,""),""),ROW()-ROW(A$43)+1))),),"")</f>
        <v>0</v>
      </c>
      <c r="Z44">
        <f t="array" ref="Z44">IFERROR(CONCATENATE((INDEX($AC$7:$AC$40,SMALL(IF($AC$7:$AC$40&lt;&gt;"",IF($Z$7:$Z$40&lt;&gt;"",ROW($Z$7:$Z$40)-MIN(ROW($Z$7:$Z$40))+1,""),""),ROW()-ROW(A$43)+1))),","),"")</f>
        <v>0</v>
      </c>
      <c r="AA44">
        <f t="array" ref="AA44">IFERROR(CONCATENATE(TEXT(INDEX($Z$7:$Z$40,SMALL(IF($AC$7:$AC$40&lt;&gt;"",IF($Z$7:$Z$40&lt;&gt;"",ROW($Z$7:$Z$40)-MIN(ROW($Z$7:$Z$40))+1,""),""),ROW()-ROW(A$43)+1)),"##0"),","),"")</f>
        <v>0</v>
      </c>
      <c r="AB44">
        <f t="array" ref="AB44">IFERROR(CONCATENATE((INDEX($A$7:$A$40,SMALL(IF($AC$7:$AC$40&lt;&gt;"",IF($Z$7:$Z$40&lt;&gt;"",ROW($Z$7:$Z$40)-MIN(ROW($Z$7:$Z$40))+1,""),""),ROW()-ROW(A$43)+1))),),"")</f>
        <v>0</v>
      </c>
      <c r="AE44">
        <f t="array" ref="AE44">IFERROR(CONCATENATE((INDEX($AH$7:$AH$40,SMALL(IF($AH$7:$AH$40&lt;&gt;"",IF($AE$7:$AE$40&lt;&gt;"",ROW($AE$7:$AE$40)-MIN(ROW($AE$7:$AE$40))+1,""),""),ROW()-ROW(A$43)+1)))," "),"")</f>
        <v>0</v>
      </c>
      <c r="AF44">
        <f t="array" ref="AF44">IFERROR(CONCATENATE(TEXT(INDEX($AE$7:$AE$40,SMALL(IF($AH$7:$AH$40&lt;&gt;"",IF($AE$7:$AE$40&lt;&gt;"",ROW($AE$7:$AE$40)-MIN(ROW($AE$7:$AE$40))+1,""),""),ROW()-ROW(A$43)+1)),"##0")," "),"")</f>
        <v>0</v>
      </c>
      <c r="AG44">
        <f t="array" ref="AG44">IFERROR(CONCATENATE((INDEX($A$7:$A$40,SMALL(IF($AH$7:$AH$40&lt;&gt;"",IF($AE$7:$AE$40&lt;&gt;"",ROW($AE$7:$AE$40)-MIN(ROW($AE$7:$AE$40))+1,""),""),ROW()-ROW(A$43)+1))),),"")</f>
        <v>0</v>
      </c>
      <c r="AJ44">
        <f t="array" ref="AJ44">IFERROR(CONCATENATE((INDEX($AM$7:$AM$40,SMALL(IF($AM$7:$AM$40&lt;&gt;"",IF($AJ$7:$AJ$40&lt;&gt;"",ROW($AJ$7:$AJ$40)-MIN(ROW($AJ$7:$AJ$40))+1,""),""),ROW()-ROW(A$43)+1)))," "),"")</f>
        <v>0</v>
      </c>
      <c r="AK44">
        <f t="array" ref="AK44">IFERROR(CONCATENATE(TEXT(INDEX($AJ$7:$AJ$40,SMALL(IF($AM$7:$AM$40&lt;&gt;"",IF($AJ$7:$AJ$40&lt;&gt;"",ROW($AJ$7:$AJ$40)-MIN(ROW($AJ$7:$AJ$40))+1,""),""),ROW()-ROW(A$43)+1)),"##0")," "),"")</f>
        <v>0</v>
      </c>
      <c r="AL44">
        <f t="array" ref="AL44">IFERROR(CONCATENATE((INDEX($A$7:$A$40,SMALL(IF($AM$7:$AM$40&lt;&gt;"",IF($AJ$7:$AJ$40&lt;&gt;"",ROW($AJ$7:$AJ$40)-MIN(ROW($AJ$7:$AJ$40))+1,""),""),ROW()-ROW(A$43)+1))),),"")</f>
        <v>0</v>
      </c>
    </row>
    <row r="45" spans="1:39">
      <c r="K45">
        <f t="array" ref="K45">IFERROR(CONCATENATE(TEXT(INDEX($K$7:$K$40,SMALL(IF($N$7:$N$40&lt;&gt;"",IF($K$7:$K$40&lt;&gt;"",ROW($K$7:$K$40)-MIN(ROW($K$7:$K$40))+1,""),""),ROW()-ROW(A$43)+1)),"##0"),","),"")</f>
        <v>0</v>
      </c>
      <c r="L45">
        <f t="array" ref="L45">IFERROR(CONCATENATE((INDEX($N$7:$N$40,SMALL(IF($N$7:$N$40&lt;&gt;"",IF($K$7:$K$40&lt;&gt;"",ROW($K$7:$K$40)-MIN(ROW($K$7:$K$40))+1,""),""),ROW()-ROW(A$43)+1))),","),"")</f>
        <v>0</v>
      </c>
      <c r="M45">
        <f t="array" ref="M45">IFERROR(CONCATENATE((INDEX($A$7:$A$40,SMALL(IF($N$7:$N$40&lt;&gt;"",IF($K$7:$K$40&lt;&gt;"",ROW($K$7:$K$40)-MIN(ROW($K$7:$K$40))+1,""),""),ROW()-ROW(A$43)+1))),),"")</f>
        <v>0</v>
      </c>
      <c r="P45">
        <f t="array" ref="P45">IFERROR(CONCATENATE((INDEX($S$7:$S$40,SMALL(IF($S$7:$S$40&lt;&gt;"",IF($P$7:$P$40&lt;&gt;"",ROW($P$7:$P$40)-MIN(ROW($P$7:$P$40))+1,""),""),ROW()-ROW(A$43)+1)))," "),"")</f>
        <v>0</v>
      </c>
      <c r="Q45">
        <f t="array" ref="Q45">IFERROR(CONCATENATE(TEXT(INDEX($P$7:$P$40,SMALL(IF($S$7:$S$40&lt;&gt;"",IF($P$7:$P$40&lt;&gt;"",ROW($P$7:$P$40)-MIN(ROW($P$7:$P$40))+1,""),""),ROW()-ROW(A$43)+1)),"##0")," "),"")</f>
        <v>0</v>
      </c>
      <c r="R45">
        <f t="array" ref="R45">IFERROR(CONCATENATE((INDEX($A$7:$A$40,SMALL(IF($S$7:$S$40&lt;&gt;"",IF($P$7:$P$40&lt;&gt;"",ROW($P$7:$P$40)-MIN(ROW($P$7:$P$40))+1,""),""),ROW()-ROW(A$43)+1))),),"")</f>
        <v>0</v>
      </c>
      <c r="U45">
        <f t="array" ref="U45">IFERROR(CONCATENATE((INDEX($X$7:$X$40,SMALL(IF($X$7:$X$40&lt;&gt;"",IF($U$7:$U$40&lt;&gt;"",ROW($U$7:$U$40)-MIN(ROW($U$7:$U$40))+1,""),""),ROW()-ROW(A$43)+1)))," "),"")</f>
        <v>0</v>
      </c>
      <c r="V45">
        <f t="array" ref="V45">IFERROR(CONCATENATE(TEXT(INDEX($U$7:$U$40,SMALL(IF($X$7:$X$40&lt;&gt;"",IF($U$7:$U$40&lt;&gt;"",ROW($U$7:$U$40)-MIN(ROW($U$7:$U$40))+1,""),""),ROW()-ROW(A$43)+1)),"##0")," "),"")</f>
        <v>0</v>
      </c>
      <c r="W45">
        <f t="array" ref="W45">IFERROR(CONCATENATE((INDEX($A$7:$A$40,SMALL(IF($X$7:$X$40&lt;&gt;"",IF($U$7:$U$40&lt;&gt;"",ROW($U$7:$U$40)-MIN(ROW($U$7:$U$40))+1,""),""),ROW()-ROW(A$43)+1))),),"")</f>
        <v>0</v>
      </c>
      <c r="Z45">
        <f t="array" ref="Z45">IFERROR(CONCATENATE((INDEX($AC$7:$AC$40,SMALL(IF($AC$7:$AC$40&lt;&gt;"",IF($Z$7:$Z$40&lt;&gt;"",ROW($Z$7:$Z$40)-MIN(ROW($Z$7:$Z$40))+1,""),""),ROW()-ROW(A$43)+1))),","),"")</f>
        <v>0</v>
      </c>
      <c r="AA45">
        <f t="array" ref="AA45">IFERROR(CONCATENATE(TEXT(INDEX($Z$7:$Z$40,SMALL(IF($AC$7:$AC$40&lt;&gt;"",IF($Z$7:$Z$40&lt;&gt;"",ROW($Z$7:$Z$40)-MIN(ROW($Z$7:$Z$40))+1,""),""),ROW()-ROW(A$43)+1)),"##0"),","),"")</f>
        <v>0</v>
      </c>
      <c r="AB45">
        <f t="array" ref="AB45">IFERROR(CONCATENATE((INDEX($A$7:$A$40,SMALL(IF($AC$7:$AC$40&lt;&gt;"",IF($Z$7:$Z$40&lt;&gt;"",ROW($Z$7:$Z$40)-MIN(ROW($Z$7:$Z$40))+1,""),""),ROW()-ROW(A$43)+1))),),"")</f>
        <v>0</v>
      </c>
      <c r="AE45">
        <f t="array" ref="AE45">IFERROR(CONCATENATE((INDEX($AH$7:$AH$40,SMALL(IF($AH$7:$AH$40&lt;&gt;"",IF($AE$7:$AE$40&lt;&gt;"",ROW($AE$7:$AE$40)-MIN(ROW($AE$7:$AE$40))+1,""),""),ROW()-ROW(A$43)+1)))," "),"")</f>
        <v>0</v>
      </c>
      <c r="AF45">
        <f t="array" ref="AF45">IFERROR(CONCATENATE(TEXT(INDEX($AE$7:$AE$40,SMALL(IF($AH$7:$AH$40&lt;&gt;"",IF($AE$7:$AE$40&lt;&gt;"",ROW($AE$7:$AE$40)-MIN(ROW($AE$7:$AE$40))+1,""),""),ROW()-ROW(A$43)+1)),"##0")," "),"")</f>
        <v>0</v>
      </c>
      <c r="AG45">
        <f t="array" ref="AG45">IFERROR(CONCATENATE((INDEX($A$7:$A$40,SMALL(IF($AH$7:$AH$40&lt;&gt;"",IF($AE$7:$AE$40&lt;&gt;"",ROW($AE$7:$AE$40)-MIN(ROW($AE$7:$AE$40))+1,""),""),ROW()-ROW(A$43)+1))),),"")</f>
        <v>0</v>
      </c>
      <c r="AJ45">
        <f t="array" ref="AJ45">IFERROR(CONCATENATE((INDEX($AM$7:$AM$40,SMALL(IF($AM$7:$AM$40&lt;&gt;"",IF($AJ$7:$AJ$40&lt;&gt;"",ROW($AJ$7:$AJ$40)-MIN(ROW($AJ$7:$AJ$40))+1,""),""),ROW()-ROW(A$43)+1)))," "),"")</f>
        <v>0</v>
      </c>
      <c r="AK45">
        <f t="array" ref="AK45">IFERROR(CONCATENATE(TEXT(INDEX($AJ$7:$AJ$40,SMALL(IF($AM$7:$AM$40&lt;&gt;"",IF($AJ$7:$AJ$40&lt;&gt;"",ROW($AJ$7:$AJ$40)-MIN(ROW($AJ$7:$AJ$40))+1,""),""),ROW()-ROW(A$43)+1)),"##0")," "),"")</f>
        <v>0</v>
      </c>
      <c r="AL45">
        <f t="array" ref="AL45">IFERROR(CONCATENATE((INDEX($A$7:$A$40,SMALL(IF($AM$7:$AM$40&lt;&gt;"",IF($AJ$7:$AJ$40&lt;&gt;"",ROW($AJ$7:$AJ$40)-MIN(ROW($AJ$7:$AJ$40))+1,""),""),ROW()-ROW(A$43)+1))),),"")</f>
        <v>0</v>
      </c>
    </row>
    <row r="46" spans="1:39">
      <c r="K46">
        <f t="array" ref="K46">IFERROR(CONCATENATE(TEXT(INDEX($K$7:$K$40,SMALL(IF($N$7:$N$40&lt;&gt;"",IF($K$7:$K$40&lt;&gt;"",ROW($K$7:$K$40)-MIN(ROW($K$7:$K$40))+1,""),""),ROW()-ROW(A$43)+1)),"##0"),","),"")</f>
        <v>0</v>
      </c>
      <c r="L46">
        <f t="array" ref="L46">IFERROR(CONCATENATE((INDEX($N$7:$N$40,SMALL(IF($N$7:$N$40&lt;&gt;"",IF($K$7:$K$40&lt;&gt;"",ROW($K$7:$K$40)-MIN(ROW($K$7:$K$40))+1,""),""),ROW()-ROW(A$43)+1))),","),"")</f>
        <v>0</v>
      </c>
      <c r="M46">
        <f t="array" ref="M46">IFERROR(CONCATENATE((INDEX($A$7:$A$40,SMALL(IF($N$7:$N$40&lt;&gt;"",IF($K$7:$K$40&lt;&gt;"",ROW($K$7:$K$40)-MIN(ROW($K$7:$K$40))+1,""),""),ROW()-ROW(A$43)+1))),),"")</f>
        <v>0</v>
      </c>
      <c r="P46">
        <f t="array" ref="P46">IFERROR(CONCATENATE((INDEX($S$7:$S$40,SMALL(IF($S$7:$S$40&lt;&gt;"",IF($P$7:$P$40&lt;&gt;"",ROW($P$7:$P$40)-MIN(ROW($P$7:$P$40))+1,""),""),ROW()-ROW(A$43)+1)))," "),"")</f>
        <v>0</v>
      </c>
      <c r="Q46">
        <f t="array" ref="Q46">IFERROR(CONCATENATE(TEXT(INDEX($P$7:$P$40,SMALL(IF($S$7:$S$40&lt;&gt;"",IF($P$7:$P$40&lt;&gt;"",ROW($P$7:$P$40)-MIN(ROW($P$7:$P$40))+1,""),""),ROW()-ROW(A$43)+1)),"##0")," "),"")</f>
        <v>0</v>
      </c>
      <c r="R46">
        <f t="array" ref="R46">IFERROR(CONCATENATE((INDEX($A$7:$A$40,SMALL(IF($S$7:$S$40&lt;&gt;"",IF($P$7:$P$40&lt;&gt;"",ROW($P$7:$P$40)-MIN(ROW($P$7:$P$40))+1,""),""),ROW()-ROW(A$43)+1))),),"")</f>
        <v>0</v>
      </c>
      <c r="U46">
        <f t="array" ref="U46">IFERROR(CONCATENATE((INDEX($X$7:$X$40,SMALL(IF($X$7:$X$40&lt;&gt;"",IF($U$7:$U$40&lt;&gt;"",ROW($U$7:$U$40)-MIN(ROW($U$7:$U$40))+1,""),""),ROW()-ROW(A$43)+1)))," "),"")</f>
        <v>0</v>
      </c>
      <c r="V46">
        <f t="array" ref="V46">IFERROR(CONCATENATE(TEXT(INDEX($U$7:$U$40,SMALL(IF($X$7:$X$40&lt;&gt;"",IF($U$7:$U$40&lt;&gt;"",ROW($U$7:$U$40)-MIN(ROW($U$7:$U$40))+1,""),""),ROW()-ROW(A$43)+1)),"##0")," "),"")</f>
        <v>0</v>
      </c>
      <c r="W46">
        <f t="array" ref="W46">IFERROR(CONCATENATE((INDEX($A$7:$A$40,SMALL(IF($X$7:$X$40&lt;&gt;"",IF($U$7:$U$40&lt;&gt;"",ROW($U$7:$U$40)-MIN(ROW($U$7:$U$40))+1,""),""),ROW()-ROW(A$43)+1))),),"")</f>
        <v>0</v>
      </c>
      <c r="Z46">
        <f t="array" ref="Z46">IFERROR(CONCATENATE((INDEX($AC$7:$AC$40,SMALL(IF($AC$7:$AC$40&lt;&gt;"",IF($Z$7:$Z$40&lt;&gt;"",ROW($Z$7:$Z$40)-MIN(ROW($Z$7:$Z$40))+1,""),""),ROW()-ROW(A$43)+1))),","),"")</f>
        <v>0</v>
      </c>
      <c r="AA46">
        <f t="array" ref="AA46">IFERROR(CONCATENATE(TEXT(INDEX($Z$7:$Z$40,SMALL(IF($AC$7:$AC$40&lt;&gt;"",IF($Z$7:$Z$40&lt;&gt;"",ROW($Z$7:$Z$40)-MIN(ROW($Z$7:$Z$40))+1,""),""),ROW()-ROW(A$43)+1)),"##0"),","),"")</f>
        <v>0</v>
      </c>
      <c r="AB46">
        <f t="array" ref="AB46">IFERROR(CONCATENATE((INDEX($A$7:$A$40,SMALL(IF($AC$7:$AC$40&lt;&gt;"",IF($Z$7:$Z$40&lt;&gt;"",ROW($Z$7:$Z$40)-MIN(ROW($Z$7:$Z$40))+1,""),""),ROW()-ROW(A$43)+1))),),"")</f>
        <v>0</v>
      </c>
      <c r="AE46">
        <f t="array" ref="AE46">IFERROR(CONCATENATE((INDEX($AH$7:$AH$40,SMALL(IF($AH$7:$AH$40&lt;&gt;"",IF($AE$7:$AE$40&lt;&gt;"",ROW($AE$7:$AE$40)-MIN(ROW($AE$7:$AE$40))+1,""),""),ROW()-ROW(A$43)+1)))," "),"")</f>
        <v>0</v>
      </c>
      <c r="AF46">
        <f t="array" ref="AF46">IFERROR(CONCATENATE(TEXT(INDEX($AE$7:$AE$40,SMALL(IF($AH$7:$AH$40&lt;&gt;"",IF($AE$7:$AE$40&lt;&gt;"",ROW($AE$7:$AE$40)-MIN(ROW($AE$7:$AE$40))+1,""),""),ROW()-ROW(A$43)+1)),"##0")," "),"")</f>
        <v>0</v>
      </c>
      <c r="AG46">
        <f t="array" ref="AG46">IFERROR(CONCATENATE((INDEX($A$7:$A$40,SMALL(IF($AH$7:$AH$40&lt;&gt;"",IF($AE$7:$AE$40&lt;&gt;"",ROW($AE$7:$AE$40)-MIN(ROW($AE$7:$AE$40))+1,""),""),ROW()-ROW(A$43)+1))),),"")</f>
        <v>0</v>
      </c>
      <c r="AJ46">
        <f t="array" ref="AJ46">IFERROR(CONCATENATE((INDEX($AM$7:$AM$40,SMALL(IF($AM$7:$AM$40&lt;&gt;"",IF($AJ$7:$AJ$40&lt;&gt;"",ROW($AJ$7:$AJ$40)-MIN(ROW($AJ$7:$AJ$40))+1,""),""),ROW()-ROW(A$43)+1)))," "),"")</f>
        <v>0</v>
      </c>
      <c r="AK46">
        <f t="array" ref="AK46">IFERROR(CONCATENATE(TEXT(INDEX($AJ$7:$AJ$40,SMALL(IF($AM$7:$AM$40&lt;&gt;"",IF($AJ$7:$AJ$40&lt;&gt;"",ROW($AJ$7:$AJ$40)-MIN(ROW($AJ$7:$AJ$40))+1,""),""),ROW()-ROW(A$43)+1)),"##0")," "),"")</f>
        <v>0</v>
      </c>
      <c r="AL46">
        <f t="array" ref="AL46">IFERROR(CONCATENATE((INDEX($A$7:$A$40,SMALL(IF($AM$7:$AM$40&lt;&gt;"",IF($AJ$7:$AJ$40&lt;&gt;"",ROW($AJ$7:$AJ$40)-MIN(ROW($AJ$7:$AJ$40))+1,""),""),ROW()-ROW(A$43)+1))),),"")</f>
        <v>0</v>
      </c>
    </row>
    <row r="47" spans="1:39">
      <c r="K47">
        <f t="array" ref="K47">IFERROR(CONCATENATE(TEXT(INDEX($K$7:$K$40,SMALL(IF($N$7:$N$40&lt;&gt;"",IF($K$7:$K$40&lt;&gt;"",ROW($K$7:$K$40)-MIN(ROW($K$7:$K$40))+1,""),""),ROW()-ROW(A$43)+1)),"##0"),","),"")</f>
        <v>0</v>
      </c>
      <c r="L47">
        <f t="array" ref="L47">IFERROR(CONCATENATE((INDEX($N$7:$N$40,SMALL(IF($N$7:$N$40&lt;&gt;"",IF($K$7:$K$40&lt;&gt;"",ROW($K$7:$K$40)-MIN(ROW($K$7:$K$40))+1,""),""),ROW()-ROW(A$43)+1))),","),"")</f>
        <v>0</v>
      </c>
      <c r="M47">
        <f t="array" ref="M47">IFERROR(CONCATENATE((INDEX($A$7:$A$40,SMALL(IF($N$7:$N$40&lt;&gt;"",IF($K$7:$K$40&lt;&gt;"",ROW($K$7:$K$40)-MIN(ROW($K$7:$K$40))+1,""),""),ROW()-ROW(A$43)+1))),),"")</f>
        <v>0</v>
      </c>
      <c r="P47">
        <f t="array" ref="P47">IFERROR(CONCATENATE((INDEX($S$7:$S$40,SMALL(IF($S$7:$S$40&lt;&gt;"",IF($P$7:$P$40&lt;&gt;"",ROW($P$7:$P$40)-MIN(ROW($P$7:$P$40))+1,""),""),ROW()-ROW(A$43)+1)))," "),"")</f>
        <v>0</v>
      </c>
      <c r="Q47">
        <f t="array" ref="Q47">IFERROR(CONCATENATE(TEXT(INDEX($P$7:$P$40,SMALL(IF($S$7:$S$40&lt;&gt;"",IF($P$7:$P$40&lt;&gt;"",ROW($P$7:$P$40)-MIN(ROW($P$7:$P$40))+1,""),""),ROW()-ROW(A$43)+1)),"##0")," "),"")</f>
        <v>0</v>
      </c>
      <c r="R47">
        <f t="array" ref="R47">IFERROR(CONCATENATE((INDEX($A$7:$A$40,SMALL(IF($S$7:$S$40&lt;&gt;"",IF($P$7:$P$40&lt;&gt;"",ROW($P$7:$P$40)-MIN(ROW($P$7:$P$40))+1,""),""),ROW()-ROW(A$43)+1))),),"")</f>
        <v>0</v>
      </c>
      <c r="U47">
        <f t="array" ref="U47">IFERROR(CONCATENATE((INDEX($X$7:$X$40,SMALL(IF($X$7:$X$40&lt;&gt;"",IF($U$7:$U$40&lt;&gt;"",ROW($U$7:$U$40)-MIN(ROW($U$7:$U$40))+1,""),""),ROW()-ROW(A$43)+1)))," "),"")</f>
        <v>0</v>
      </c>
      <c r="V47">
        <f t="array" ref="V47">IFERROR(CONCATENATE(TEXT(INDEX($U$7:$U$40,SMALL(IF($X$7:$X$40&lt;&gt;"",IF($U$7:$U$40&lt;&gt;"",ROW($U$7:$U$40)-MIN(ROW($U$7:$U$40))+1,""),""),ROW()-ROW(A$43)+1)),"##0")," "),"")</f>
        <v>0</v>
      </c>
      <c r="W47">
        <f t="array" ref="W47">IFERROR(CONCATENATE((INDEX($A$7:$A$40,SMALL(IF($X$7:$X$40&lt;&gt;"",IF($U$7:$U$40&lt;&gt;"",ROW($U$7:$U$40)-MIN(ROW($U$7:$U$40))+1,""),""),ROW()-ROW(A$43)+1))),),"")</f>
        <v>0</v>
      </c>
      <c r="Z47">
        <f t="array" ref="Z47">IFERROR(CONCATENATE((INDEX($AC$7:$AC$40,SMALL(IF($AC$7:$AC$40&lt;&gt;"",IF($Z$7:$Z$40&lt;&gt;"",ROW($Z$7:$Z$40)-MIN(ROW($Z$7:$Z$40))+1,""),""),ROW()-ROW(A$43)+1))),","),"")</f>
        <v>0</v>
      </c>
      <c r="AA47">
        <f t="array" ref="AA47">IFERROR(CONCATENATE(TEXT(INDEX($Z$7:$Z$40,SMALL(IF($AC$7:$AC$40&lt;&gt;"",IF($Z$7:$Z$40&lt;&gt;"",ROW($Z$7:$Z$40)-MIN(ROW($Z$7:$Z$40))+1,""),""),ROW()-ROW(A$43)+1)),"##0"),","),"")</f>
        <v>0</v>
      </c>
      <c r="AB47">
        <f t="array" ref="AB47">IFERROR(CONCATENATE((INDEX($A$7:$A$40,SMALL(IF($AC$7:$AC$40&lt;&gt;"",IF($Z$7:$Z$40&lt;&gt;"",ROW($Z$7:$Z$40)-MIN(ROW($Z$7:$Z$40))+1,""),""),ROW()-ROW(A$43)+1))),),"")</f>
        <v>0</v>
      </c>
      <c r="AE47">
        <f t="array" ref="AE47">IFERROR(CONCATENATE((INDEX($AH$7:$AH$40,SMALL(IF($AH$7:$AH$40&lt;&gt;"",IF($AE$7:$AE$40&lt;&gt;"",ROW($AE$7:$AE$40)-MIN(ROW($AE$7:$AE$40))+1,""),""),ROW()-ROW(A$43)+1)))," "),"")</f>
        <v>0</v>
      </c>
      <c r="AF47">
        <f t="array" ref="AF47">IFERROR(CONCATENATE(TEXT(INDEX($AE$7:$AE$40,SMALL(IF($AH$7:$AH$40&lt;&gt;"",IF($AE$7:$AE$40&lt;&gt;"",ROW($AE$7:$AE$40)-MIN(ROW($AE$7:$AE$40))+1,""),""),ROW()-ROW(A$43)+1)),"##0")," "),"")</f>
        <v>0</v>
      </c>
      <c r="AG47">
        <f t="array" ref="AG47">IFERROR(CONCATENATE((INDEX($A$7:$A$40,SMALL(IF($AH$7:$AH$40&lt;&gt;"",IF($AE$7:$AE$40&lt;&gt;"",ROW($AE$7:$AE$40)-MIN(ROW($AE$7:$AE$40))+1,""),""),ROW()-ROW(A$43)+1))),),"")</f>
        <v>0</v>
      </c>
      <c r="AJ47">
        <f t="array" ref="AJ47">IFERROR(CONCATENATE((INDEX($AM$7:$AM$40,SMALL(IF($AM$7:$AM$40&lt;&gt;"",IF($AJ$7:$AJ$40&lt;&gt;"",ROW($AJ$7:$AJ$40)-MIN(ROW($AJ$7:$AJ$40))+1,""),""),ROW()-ROW(A$43)+1)))," "),"")</f>
        <v>0</v>
      </c>
      <c r="AK47">
        <f t="array" ref="AK47">IFERROR(CONCATENATE(TEXT(INDEX($AJ$7:$AJ$40,SMALL(IF($AM$7:$AM$40&lt;&gt;"",IF($AJ$7:$AJ$40&lt;&gt;"",ROW($AJ$7:$AJ$40)-MIN(ROW($AJ$7:$AJ$40))+1,""),""),ROW()-ROW(A$43)+1)),"##0")," "),"")</f>
        <v>0</v>
      </c>
      <c r="AL47">
        <f t="array" ref="AL47">IFERROR(CONCATENATE((INDEX($A$7:$A$40,SMALL(IF($AM$7:$AM$40&lt;&gt;"",IF($AJ$7:$AJ$40&lt;&gt;"",ROW($AJ$7:$AJ$40)-MIN(ROW($AJ$7:$AJ$40))+1,""),""),ROW()-ROW(A$43)+1))),),"")</f>
        <v>0</v>
      </c>
    </row>
    <row r="48" spans="1:39">
      <c r="K48">
        <f t="array" ref="K48">IFERROR(CONCATENATE(TEXT(INDEX($K$7:$K$40,SMALL(IF($N$7:$N$40&lt;&gt;"",IF($K$7:$K$40&lt;&gt;"",ROW($K$7:$K$40)-MIN(ROW($K$7:$K$40))+1,""),""),ROW()-ROW(A$43)+1)),"##0"),","),"")</f>
        <v>0</v>
      </c>
      <c r="L48">
        <f t="array" ref="L48">IFERROR(CONCATENATE((INDEX($N$7:$N$40,SMALL(IF($N$7:$N$40&lt;&gt;"",IF($K$7:$K$40&lt;&gt;"",ROW($K$7:$K$40)-MIN(ROW($K$7:$K$40))+1,""),""),ROW()-ROW(A$43)+1))),","),"")</f>
        <v>0</v>
      </c>
      <c r="M48">
        <f t="array" ref="M48">IFERROR(CONCATENATE((INDEX($A$7:$A$40,SMALL(IF($N$7:$N$40&lt;&gt;"",IF($K$7:$K$40&lt;&gt;"",ROW($K$7:$K$40)-MIN(ROW($K$7:$K$40))+1,""),""),ROW()-ROW(A$43)+1))),),"")</f>
        <v>0</v>
      </c>
      <c r="P48">
        <f t="array" ref="P48">IFERROR(CONCATENATE((INDEX($S$7:$S$40,SMALL(IF($S$7:$S$40&lt;&gt;"",IF($P$7:$P$40&lt;&gt;"",ROW($P$7:$P$40)-MIN(ROW($P$7:$P$40))+1,""),""),ROW()-ROW(A$43)+1)))," "),"")</f>
        <v>0</v>
      </c>
      <c r="Q48">
        <f t="array" ref="Q48">IFERROR(CONCATENATE(TEXT(INDEX($P$7:$P$40,SMALL(IF($S$7:$S$40&lt;&gt;"",IF($P$7:$P$40&lt;&gt;"",ROW($P$7:$P$40)-MIN(ROW($P$7:$P$40))+1,""),""),ROW()-ROW(A$43)+1)),"##0")," "),"")</f>
        <v>0</v>
      </c>
      <c r="R48">
        <f t="array" ref="R48">IFERROR(CONCATENATE((INDEX($A$7:$A$40,SMALL(IF($S$7:$S$40&lt;&gt;"",IF($P$7:$P$40&lt;&gt;"",ROW($P$7:$P$40)-MIN(ROW($P$7:$P$40))+1,""),""),ROW()-ROW(A$43)+1))),),"")</f>
        <v>0</v>
      </c>
      <c r="U48">
        <f t="array" ref="U48">IFERROR(CONCATENATE((INDEX($X$7:$X$40,SMALL(IF($X$7:$X$40&lt;&gt;"",IF($U$7:$U$40&lt;&gt;"",ROW($U$7:$U$40)-MIN(ROW($U$7:$U$40))+1,""),""),ROW()-ROW(A$43)+1)))," "),"")</f>
        <v>0</v>
      </c>
      <c r="V48">
        <f t="array" ref="V48">IFERROR(CONCATENATE(TEXT(INDEX($U$7:$U$40,SMALL(IF($X$7:$X$40&lt;&gt;"",IF($U$7:$U$40&lt;&gt;"",ROW($U$7:$U$40)-MIN(ROW($U$7:$U$40))+1,""),""),ROW()-ROW(A$43)+1)),"##0")," "),"")</f>
        <v>0</v>
      </c>
      <c r="W48">
        <f t="array" ref="W48">IFERROR(CONCATENATE((INDEX($A$7:$A$40,SMALL(IF($X$7:$X$40&lt;&gt;"",IF($U$7:$U$40&lt;&gt;"",ROW($U$7:$U$40)-MIN(ROW($U$7:$U$40))+1,""),""),ROW()-ROW(A$43)+1))),),"")</f>
        <v>0</v>
      </c>
      <c r="Z48">
        <f t="array" ref="Z48">IFERROR(CONCATENATE((INDEX($AC$7:$AC$40,SMALL(IF($AC$7:$AC$40&lt;&gt;"",IF($Z$7:$Z$40&lt;&gt;"",ROW($Z$7:$Z$40)-MIN(ROW($Z$7:$Z$40))+1,""),""),ROW()-ROW(A$43)+1))),","),"")</f>
        <v>0</v>
      </c>
      <c r="AA48">
        <f t="array" ref="AA48">IFERROR(CONCATENATE(TEXT(INDEX($Z$7:$Z$40,SMALL(IF($AC$7:$AC$40&lt;&gt;"",IF($Z$7:$Z$40&lt;&gt;"",ROW($Z$7:$Z$40)-MIN(ROW($Z$7:$Z$40))+1,""),""),ROW()-ROW(A$43)+1)),"##0"),","),"")</f>
        <v>0</v>
      </c>
      <c r="AB48">
        <f t="array" ref="AB48">IFERROR(CONCATENATE((INDEX($A$7:$A$40,SMALL(IF($AC$7:$AC$40&lt;&gt;"",IF($Z$7:$Z$40&lt;&gt;"",ROW($Z$7:$Z$40)-MIN(ROW($Z$7:$Z$40))+1,""),""),ROW()-ROW(A$43)+1))),),"")</f>
        <v>0</v>
      </c>
      <c r="AE48">
        <f t="array" ref="AE48">IFERROR(CONCATENATE((INDEX($AH$7:$AH$40,SMALL(IF($AH$7:$AH$40&lt;&gt;"",IF($AE$7:$AE$40&lt;&gt;"",ROW($AE$7:$AE$40)-MIN(ROW($AE$7:$AE$40))+1,""),""),ROW()-ROW(A$43)+1)))," "),"")</f>
        <v>0</v>
      </c>
      <c r="AF48">
        <f t="array" ref="AF48">IFERROR(CONCATENATE(TEXT(INDEX($AE$7:$AE$40,SMALL(IF($AH$7:$AH$40&lt;&gt;"",IF($AE$7:$AE$40&lt;&gt;"",ROW($AE$7:$AE$40)-MIN(ROW($AE$7:$AE$40))+1,""),""),ROW()-ROW(A$43)+1)),"##0")," "),"")</f>
        <v>0</v>
      </c>
      <c r="AG48">
        <f t="array" ref="AG48">IFERROR(CONCATENATE((INDEX($A$7:$A$40,SMALL(IF($AH$7:$AH$40&lt;&gt;"",IF($AE$7:$AE$40&lt;&gt;"",ROW($AE$7:$AE$40)-MIN(ROW($AE$7:$AE$40))+1,""),""),ROW()-ROW(A$43)+1))),),"")</f>
        <v>0</v>
      </c>
      <c r="AJ48">
        <f t="array" ref="AJ48">IFERROR(CONCATENATE((INDEX($AM$7:$AM$40,SMALL(IF($AM$7:$AM$40&lt;&gt;"",IF($AJ$7:$AJ$40&lt;&gt;"",ROW($AJ$7:$AJ$40)-MIN(ROW($AJ$7:$AJ$40))+1,""),""),ROW()-ROW(A$43)+1)))," "),"")</f>
        <v>0</v>
      </c>
      <c r="AK48">
        <f t="array" ref="AK48">IFERROR(CONCATENATE(TEXT(INDEX($AJ$7:$AJ$40,SMALL(IF($AM$7:$AM$40&lt;&gt;"",IF($AJ$7:$AJ$40&lt;&gt;"",ROW($AJ$7:$AJ$40)-MIN(ROW($AJ$7:$AJ$40))+1,""),""),ROW()-ROW(A$43)+1)),"##0")," "),"")</f>
        <v>0</v>
      </c>
      <c r="AL48">
        <f t="array" ref="AL48">IFERROR(CONCATENATE((INDEX($A$7:$A$40,SMALL(IF($AM$7:$AM$40&lt;&gt;"",IF($AJ$7:$AJ$40&lt;&gt;"",ROW($AJ$7:$AJ$40)-MIN(ROW($AJ$7:$AJ$40))+1,""),""),ROW()-ROW(A$43)+1))),),"")</f>
        <v>0</v>
      </c>
    </row>
    <row r="49" spans="11:38">
      <c r="K49">
        <f t="array" ref="K49">IFERROR(CONCATENATE(TEXT(INDEX($K$7:$K$40,SMALL(IF($N$7:$N$40&lt;&gt;"",IF($K$7:$K$40&lt;&gt;"",ROW($K$7:$K$40)-MIN(ROW($K$7:$K$40))+1,""),""),ROW()-ROW(A$43)+1)),"##0"),","),"")</f>
        <v>0</v>
      </c>
      <c r="L49">
        <f t="array" ref="L49">IFERROR(CONCATENATE((INDEX($N$7:$N$40,SMALL(IF($N$7:$N$40&lt;&gt;"",IF($K$7:$K$40&lt;&gt;"",ROW($K$7:$K$40)-MIN(ROW($K$7:$K$40))+1,""),""),ROW()-ROW(A$43)+1))),","),"")</f>
        <v>0</v>
      </c>
      <c r="M49">
        <f t="array" ref="M49">IFERROR(CONCATENATE((INDEX($A$7:$A$40,SMALL(IF($N$7:$N$40&lt;&gt;"",IF($K$7:$K$40&lt;&gt;"",ROW($K$7:$K$40)-MIN(ROW($K$7:$K$40))+1,""),""),ROW()-ROW(A$43)+1))),),"")</f>
        <v>0</v>
      </c>
      <c r="P49">
        <f t="array" ref="P49">IFERROR(CONCATENATE((INDEX($S$7:$S$40,SMALL(IF($S$7:$S$40&lt;&gt;"",IF($P$7:$P$40&lt;&gt;"",ROW($P$7:$P$40)-MIN(ROW($P$7:$P$40))+1,""),""),ROW()-ROW(A$43)+1)))," "),"")</f>
        <v>0</v>
      </c>
      <c r="Q49">
        <f t="array" ref="Q49">IFERROR(CONCATENATE(TEXT(INDEX($P$7:$P$40,SMALL(IF($S$7:$S$40&lt;&gt;"",IF($P$7:$P$40&lt;&gt;"",ROW($P$7:$P$40)-MIN(ROW($P$7:$P$40))+1,""),""),ROW()-ROW(A$43)+1)),"##0")," "),"")</f>
        <v>0</v>
      </c>
      <c r="R49">
        <f t="array" ref="R49">IFERROR(CONCATENATE((INDEX($A$7:$A$40,SMALL(IF($S$7:$S$40&lt;&gt;"",IF($P$7:$P$40&lt;&gt;"",ROW($P$7:$P$40)-MIN(ROW($P$7:$P$40))+1,""),""),ROW()-ROW(A$43)+1))),),"")</f>
        <v>0</v>
      </c>
      <c r="U49">
        <f t="array" ref="U49">IFERROR(CONCATENATE((INDEX($X$7:$X$40,SMALL(IF($X$7:$X$40&lt;&gt;"",IF($U$7:$U$40&lt;&gt;"",ROW($U$7:$U$40)-MIN(ROW($U$7:$U$40))+1,""),""),ROW()-ROW(A$43)+1)))," "),"")</f>
        <v>0</v>
      </c>
      <c r="V49">
        <f t="array" ref="V49">IFERROR(CONCATENATE(TEXT(INDEX($U$7:$U$40,SMALL(IF($X$7:$X$40&lt;&gt;"",IF($U$7:$U$40&lt;&gt;"",ROW($U$7:$U$40)-MIN(ROW($U$7:$U$40))+1,""),""),ROW()-ROW(A$43)+1)),"##0")," "),"")</f>
        <v>0</v>
      </c>
      <c r="W49">
        <f t="array" ref="W49">IFERROR(CONCATENATE((INDEX($A$7:$A$40,SMALL(IF($X$7:$X$40&lt;&gt;"",IF($U$7:$U$40&lt;&gt;"",ROW($U$7:$U$40)-MIN(ROW($U$7:$U$40))+1,""),""),ROW()-ROW(A$43)+1))),),"")</f>
        <v>0</v>
      </c>
      <c r="Z49">
        <f t="array" ref="Z49">IFERROR(CONCATENATE((INDEX($AC$7:$AC$40,SMALL(IF($AC$7:$AC$40&lt;&gt;"",IF($Z$7:$Z$40&lt;&gt;"",ROW($Z$7:$Z$40)-MIN(ROW($Z$7:$Z$40))+1,""),""),ROW()-ROW(A$43)+1))),","),"")</f>
        <v>0</v>
      </c>
      <c r="AA49">
        <f t="array" ref="AA49">IFERROR(CONCATENATE(TEXT(INDEX($Z$7:$Z$40,SMALL(IF($AC$7:$AC$40&lt;&gt;"",IF($Z$7:$Z$40&lt;&gt;"",ROW($Z$7:$Z$40)-MIN(ROW($Z$7:$Z$40))+1,""),""),ROW()-ROW(A$43)+1)),"##0"),","),"")</f>
        <v>0</v>
      </c>
      <c r="AB49">
        <f t="array" ref="AB49">IFERROR(CONCATENATE((INDEX($A$7:$A$40,SMALL(IF($AC$7:$AC$40&lt;&gt;"",IF($Z$7:$Z$40&lt;&gt;"",ROW($Z$7:$Z$40)-MIN(ROW($Z$7:$Z$40))+1,""),""),ROW()-ROW(A$43)+1))),),"")</f>
        <v>0</v>
      </c>
      <c r="AE49">
        <f t="array" ref="AE49">IFERROR(CONCATENATE((INDEX($AH$7:$AH$40,SMALL(IF($AH$7:$AH$40&lt;&gt;"",IF($AE$7:$AE$40&lt;&gt;"",ROW($AE$7:$AE$40)-MIN(ROW($AE$7:$AE$40))+1,""),""),ROW()-ROW(A$43)+1)))," "),"")</f>
        <v>0</v>
      </c>
      <c r="AF49">
        <f t="array" ref="AF49">IFERROR(CONCATENATE(TEXT(INDEX($AE$7:$AE$40,SMALL(IF($AH$7:$AH$40&lt;&gt;"",IF($AE$7:$AE$40&lt;&gt;"",ROW($AE$7:$AE$40)-MIN(ROW($AE$7:$AE$40))+1,""),""),ROW()-ROW(A$43)+1)),"##0")," "),"")</f>
        <v>0</v>
      </c>
      <c r="AG49">
        <f t="array" ref="AG49">IFERROR(CONCATENATE((INDEX($A$7:$A$40,SMALL(IF($AH$7:$AH$40&lt;&gt;"",IF($AE$7:$AE$40&lt;&gt;"",ROW($AE$7:$AE$40)-MIN(ROW($AE$7:$AE$40))+1,""),""),ROW()-ROW(A$43)+1))),),"")</f>
        <v>0</v>
      </c>
      <c r="AJ49">
        <f t="array" ref="AJ49">IFERROR(CONCATENATE((INDEX($AM$7:$AM$40,SMALL(IF($AM$7:$AM$40&lt;&gt;"",IF($AJ$7:$AJ$40&lt;&gt;"",ROW($AJ$7:$AJ$40)-MIN(ROW($AJ$7:$AJ$40))+1,""),""),ROW()-ROW(A$43)+1)))," "),"")</f>
        <v>0</v>
      </c>
      <c r="AK49">
        <f t="array" ref="AK49">IFERROR(CONCATENATE(TEXT(INDEX($AJ$7:$AJ$40,SMALL(IF($AM$7:$AM$40&lt;&gt;"",IF($AJ$7:$AJ$40&lt;&gt;"",ROW($AJ$7:$AJ$40)-MIN(ROW($AJ$7:$AJ$40))+1,""),""),ROW()-ROW(A$43)+1)),"##0")," "),"")</f>
        <v>0</v>
      </c>
      <c r="AL49">
        <f t="array" ref="AL49">IFERROR(CONCATENATE((INDEX($A$7:$A$40,SMALL(IF($AM$7:$AM$40&lt;&gt;"",IF($AJ$7:$AJ$40&lt;&gt;"",ROW($AJ$7:$AJ$40)-MIN(ROW($AJ$7:$AJ$40))+1,""),""),ROW()-ROW(A$43)+1))),),"")</f>
        <v>0</v>
      </c>
    </row>
    <row r="50" spans="11:38">
      <c r="K50">
        <f t="array" ref="K50">IFERROR(CONCATENATE(TEXT(INDEX($K$7:$K$40,SMALL(IF($N$7:$N$40&lt;&gt;"",IF($K$7:$K$40&lt;&gt;"",ROW($K$7:$K$40)-MIN(ROW($K$7:$K$40))+1,""),""),ROW()-ROW(A$43)+1)),"##0"),","),"")</f>
        <v>0</v>
      </c>
      <c r="L50">
        <f t="array" ref="L50">IFERROR(CONCATENATE((INDEX($N$7:$N$40,SMALL(IF($N$7:$N$40&lt;&gt;"",IF($K$7:$K$40&lt;&gt;"",ROW($K$7:$K$40)-MIN(ROW($K$7:$K$40))+1,""),""),ROW()-ROW(A$43)+1))),","),"")</f>
        <v>0</v>
      </c>
      <c r="M50">
        <f t="array" ref="M50">IFERROR(CONCATENATE((INDEX($A$7:$A$40,SMALL(IF($N$7:$N$40&lt;&gt;"",IF($K$7:$K$40&lt;&gt;"",ROW($K$7:$K$40)-MIN(ROW($K$7:$K$40))+1,""),""),ROW()-ROW(A$43)+1))),),"")</f>
        <v>0</v>
      </c>
      <c r="P50">
        <f t="array" ref="P50">IFERROR(CONCATENATE((INDEX($S$7:$S$40,SMALL(IF($S$7:$S$40&lt;&gt;"",IF($P$7:$P$40&lt;&gt;"",ROW($P$7:$P$40)-MIN(ROW($P$7:$P$40))+1,""),""),ROW()-ROW(A$43)+1)))," "),"")</f>
        <v>0</v>
      </c>
      <c r="Q50">
        <f t="array" ref="Q50">IFERROR(CONCATENATE(TEXT(INDEX($P$7:$P$40,SMALL(IF($S$7:$S$40&lt;&gt;"",IF($P$7:$P$40&lt;&gt;"",ROW($P$7:$P$40)-MIN(ROW($P$7:$P$40))+1,""),""),ROW()-ROW(A$43)+1)),"##0")," "),"")</f>
        <v>0</v>
      </c>
      <c r="R50">
        <f t="array" ref="R50">IFERROR(CONCATENATE((INDEX($A$7:$A$40,SMALL(IF($S$7:$S$40&lt;&gt;"",IF($P$7:$P$40&lt;&gt;"",ROW($P$7:$P$40)-MIN(ROW($P$7:$P$40))+1,""),""),ROW()-ROW(A$43)+1))),),"")</f>
        <v>0</v>
      </c>
      <c r="U50">
        <f t="array" ref="U50">IFERROR(CONCATENATE((INDEX($X$7:$X$40,SMALL(IF($X$7:$X$40&lt;&gt;"",IF($U$7:$U$40&lt;&gt;"",ROW($U$7:$U$40)-MIN(ROW($U$7:$U$40))+1,""),""),ROW()-ROW(A$43)+1)))," "),"")</f>
        <v>0</v>
      </c>
      <c r="V50">
        <f t="array" ref="V50">IFERROR(CONCATENATE(TEXT(INDEX($U$7:$U$40,SMALL(IF($X$7:$X$40&lt;&gt;"",IF($U$7:$U$40&lt;&gt;"",ROW($U$7:$U$40)-MIN(ROW($U$7:$U$40))+1,""),""),ROW()-ROW(A$43)+1)),"##0")," "),"")</f>
        <v>0</v>
      </c>
      <c r="W50">
        <f t="array" ref="W50">IFERROR(CONCATENATE((INDEX($A$7:$A$40,SMALL(IF($X$7:$X$40&lt;&gt;"",IF($U$7:$U$40&lt;&gt;"",ROW($U$7:$U$40)-MIN(ROW($U$7:$U$40))+1,""),""),ROW()-ROW(A$43)+1))),),"")</f>
        <v>0</v>
      </c>
      <c r="Z50">
        <f t="array" ref="Z50">IFERROR(CONCATENATE((INDEX($AC$7:$AC$40,SMALL(IF($AC$7:$AC$40&lt;&gt;"",IF($Z$7:$Z$40&lt;&gt;"",ROW($Z$7:$Z$40)-MIN(ROW($Z$7:$Z$40))+1,""),""),ROW()-ROW(A$43)+1))),","),"")</f>
        <v>0</v>
      </c>
      <c r="AA50">
        <f t="array" ref="AA50">IFERROR(CONCATENATE(TEXT(INDEX($Z$7:$Z$40,SMALL(IF($AC$7:$AC$40&lt;&gt;"",IF($Z$7:$Z$40&lt;&gt;"",ROW($Z$7:$Z$40)-MIN(ROW($Z$7:$Z$40))+1,""),""),ROW()-ROW(A$43)+1)),"##0"),","),"")</f>
        <v>0</v>
      </c>
      <c r="AB50">
        <f t="array" ref="AB50">IFERROR(CONCATENATE((INDEX($A$7:$A$40,SMALL(IF($AC$7:$AC$40&lt;&gt;"",IF($Z$7:$Z$40&lt;&gt;"",ROW($Z$7:$Z$40)-MIN(ROW($Z$7:$Z$40))+1,""),""),ROW()-ROW(A$43)+1))),),"")</f>
        <v>0</v>
      </c>
      <c r="AE50">
        <f t="array" ref="AE50">IFERROR(CONCATENATE((INDEX($AH$7:$AH$40,SMALL(IF($AH$7:$AH$40&lt;&gt;"",IF($AE$7:$AE$40&lt;&gt;"",ROW($AE$7:$AE$40)-MIN(ROW($AE$7:$AE$40))+1,""),""),ROW()-ROW(A$43)+1)))," "),"")</f>
        <v>0</v>
      </c>
      <c r="AF50">
        <f t="array" ref="AF50">IFERROR(CONCATENATE(TEXT(INDEX($AE$7:$AE$40,SMALL(IF($AH$7:$AH$40&lt;&gt;"",IF($AE$7:$AE$40&lt;&gt;"",ROW($AE$7:$AE$40)-MIN(ROW($AE$7:$AE$40))+1,""),""),ROW()-ROW(A$43)+1)),"##0")," "),"")</f>
        <v>0</v>
      </c>
      <c r="AG50">
        <f t="array" ref="AG50">IFERROR(CONCATENATE((INDEX($A$7:$A$40,SMALL(IF($AH$7:$AH$40&lt;&gt;"",IF($AE$7:$AE$40&lt;&gt;"",ROW($AE$7:$AE$40)-MIN(ROW($AE$7:$AE$40))+1,""),""),ROW()-ROW(A$43)+1))),),"")</f>
        <v>0</v>
      </c>
      <c r="AJ50">
        <f t="array" ref="AJ50">IFERROR(CONCATENATE((INDEX($AM$7:$AM$40,SMALL(IF($AM$7:$AM$40&lt;&gt;"",IF($AJ$7:$AJ$40&lt;&gt;"",ROW($AJ$7:$AJ$40)-MIN(ROW($AJ$7:$AJ$40))+1,""),""),ROW()-ROW(A$43)+1)))," "),"")</f>
        <v>0</v>
      </c>
      <c r="AK50">
        <f t="array" ref="AK50">IFERROR(CONCATENATE(TEXT(INDEX($AJ$7:$AJ$40,SMALL(IF($AM$7:$AM$40&lt;&gt;"",IF($AJ$7:$AJ$40&lt;&gt;"",ROW($AJ$7:$AJ$40)-MIN(ROW($AJ$7:$AJ$40))+1,""),""),ROW()-ROW(A$43)+1)),"##0")," "),"")</f>
        <v>0</v>
      </c>
      <c r="AL50">
        <f t="array" ref="AL50">IFERROR(CONCATENATE((INDEX($A$7:$A$40,SMALL(IF($AM$7:$AM$40&lt;&gt;"",IF($AJ$7:$AJ$40&lt;&gt;"",ROW($AJ$7:$AJ$40)-MIN(ROW($AJ$7:$AJ$40))+1,""),""),ROW()-ROW(A$43)+1))),),"")</f>
        <v>0</v>
      </c>
    </row>
    <row r="51" spans="11:38">
      <c r="K51">
        <f t="array" ref="K51">IFERROR(CONCATENATE(TEXT(INDEX($K$7:$K$40,SMALL(IF($N$7:$N$40&lt;&gt;"",IF($K$7:$K$40&lt;&gt;"",ROW($K$7:$K$40)-MIN(ROW($K$7:$K$40))+1,""),""),ROW()-ROW(A$43)+1)),"##0"),","),"")</f>
        <v>0</v>
      </c>
      <c r="L51">
        <f t="array" ref="L51">IFERROR(CONCATENATE((INDEX($N$7:$N$40,SMALL(IF($N$7:$N$40&lt;&gt;"",IF($K$7:$K$40&lt;&gt;"",ROW($K$7:$K$40)-MIN(ROW($K$7:$K$40))+1,""),""),ROW()-ROW(A$43)+1))),","),"")</f>
        <v>0</v>
      </c>
      <c r="M51">
        <f t="array" ref="M51">IFERROR(CONCATENATE((INDEX($A$7:$A$40,SMALL(IF($N$7:$N$40&lt;&gt;"",IF($K$7:$K$40&lt;&gt;"",ROW($K$7:$K$40)-MIN(ROW($K$7:$K$40))+1,""),""),ROW()-ROW(A$43)+1))),),"")</f>
        <v>0</v>
      </c>
      <c r="P51">
        <f t="array" ref="P51">IFERROR(CONCATENATE((INDEX($S$7:$S$40,SMALL(IF($S$7:$S$40&lt;&gt;"",IF($P$7:$P$40&lt;&gt;"",ROW($P$7:$P$40)-MIN(ROW($P$7:$P$40))+1,""),""),ROW()-ROW(A$43)+1)))," "),"")</f>
        <v>0</v>
      </c>
      <c r="Q51">
        <f t="array" ref="Q51">IFERROR(CONCATENATE(TEXT(INDEX($P$7:$P$40,SMALL(IF($S$7:$S$40&lt;&gt;"",IF($P$7:$P$40&lt;&gt;"",ROW($P$7:$P$40)-MIN(ROW($P$7:$P$40))+1,""),""),ROW()-ROW(A$43)+1)),"##0")," "),"")</f>
        <v>0</v>
      </c>
      <c r="R51">
        <f t="array" ref="R51">IFERROR(CONCATENATE((INDEX($A$7:$A$40,SMALL(IF($S$7:$S$40&lt;&gt;"",IF($P$7:$P$40&lt;&gt;"",ROW($P$7:$P$40)-MIN(ROW($P$7:$P$40))+1,""),""),ROW()-ROW(A$43)+1))),),"")</f>
        <v>0</v>
      </c>
      <c r="U51">
        <f t="array" ref="U51">IFERROR(CONCATENATE((INDEX($X$7:$X$40,SMALL(IF($X$7:$X$40&lt;&gt;"",IF($U$7:$U$40&lt;&gt;"",ROW($U$7:$U$40)-MIN(ROW($U$7:$U$40))+1,""),""),ROW()-ROW(A$43)+1)))," "),"")</f>
        <v>0</v>
      </c>
      <c r="V51">
        <f t="array" ref="V51">IFERROR(CONCATENATE(TEXT(INDEX($U$7:$U$40,SMALL(IF($X$7:$X$40&lt;&gt;"",IF($U$7:$U$40&lt;&gt;"",ROW($U$7:$U$40)-MIN(ROW($U$7:$U$40))+1,""),""),ROW()-ROW(A$43)+1)),"##0")," "),"")</f>
        <v>0</v>
      </c>
      <c r="W51">
        <f t="array" ref="W51">IFERROR(CONCATENATE((INDEX($A$7:$A$40,SMALL(IF($X$7:$X$40&lt;&gt;"",IF($U$7:$U$40&lt;&gt;"",ROW($U$7:$U$40)-MIN(ROW($U$7:$U$40))+1,""),""),ROW()-ROW(A$43)+1))),),"")</f>
        <v>0</v>
      </c>
      <c r="Z51">
        <f t="array" ref="Z51">IFERROR(CONCATENATE((INDEX($AC$7:$AC$40,SMALL(IF($AC$7:$AC$40&lt;&gt;"",IF($Z$7:$Z$40&lt;&gt;"",ROW($Z$7:$Z$40)-MIN(ROW($Z$7:$Z$40))+1,""),""),ROW()-ROW(A$43)+1))),","),"")</f>
        <v>0</v>
      </c>
      <c r="AA51">
        <f t="array" ref="AA51">IFERROR(CONCATENATE(TEXT(INDEX($Z$7:$Z$40,SMALL(IF($AC$7:$AC$40&lt;&gt;"",IF($Z$7:$Z$40&lt;&gt;"",ROW($Z$7:$Z$40)-MIN(ROW($Z$7:$Z$40))+1,""),""),ROW()-ROW(A$43)+1)),"##0"),","),"")</f>
        <v>0</v>
      </c>
      <c r="AB51">
        <f t="array" ref="AB51">IFERROR(CONCATENATE((INDEX($A$7:$A$40,SMALL(IF($AC$7:$AC$40&lt;&gt;"",IF($Z$7:$Z$40&lt;&gt;"",ROW($Z$7:$Z$40)-MIN(ROW($Z$7:$Z$40))+1,""),""),ROW()-ROW(A$43)+1))),),"")</f>
        <v>0</v>
      </c>
      <c r="AE51">
        <f t="array" ref="AE51">IFERROR(CONCATENATE((INDEX($AH$7:$AH$40,SMALL(IF($AH$7:$AH$40&lt;&gt;"",IF($AE$7:$AE$40&lt;&gt;"",ROW($AE$7:$AE$40)-MIN(ROW($AE$7:$AE$40))+1,""),""),ROW()-ROW(A$43)+1)))," "),"")</f>
        <v>0</v>
      </c>
      <c r="AF51">
        <f t="array" ref="AF51">IFERROR(CONCATENATE(TEXT(INDEX($AE$7:$AE$40,SMALL(IF($AH$7:$AH$40&lt;&gt;"",IF($AE$7:$AE$40&lt;&gt;"",ROW($AE$7:$AE$40)-MIN(ROW($AE$7:$AE$40))+1,""),""),ROW()-ROW(A$43)+1)),"##0")," "),"")</f>
        <v>0</v>
      </c>
      <c r="AG51">
        <f t="array" ref="AG51">IFERROR(CONCATENATE((INDEX($A$7:$A$40,SMALL(IF($AH$7:$AH$40&lt;&gt;"",IF($AE$7:$AE$40&lt;&gt;"",ROW($AE$7:$AE$40)-MIN(ROW($AE$7:$AE$40))+1,""),""),ROW()-ROW(A$43)+1))),),"")</f>
        <v>0</v>
      </c>
      <c r="AJ51">
        <f t="array" ref="AJ51">IFERROR(CONCATENATE((INDEX($AM$7:$AM$40,SMALL(IF($AM$7:$AM$40&lt;&gt;"",IF($AJ$7:$AJ$40&lt;&gt;"",ROW($AJ$7:$AJ$40)-MIN(ROW($AJ$7:$AJ$40))+1,""),""),ROW()-ROW(A$43)+1)))," "),"")</f>
        <v>0</v>
      </c>
      <c r="AK51">
        <f t="array" ref="AK51">IFERROR(CONCATENATE(TEXT(INDEX($AJ$7:$AJ$40,SMALL(IF($AM$7:$AM$40&lt;&gt;"",IF($AJ$7:$AJ$40&lt;&gt;"",ROW($AJ$7:$AJ$40)-MIN(ROW($AJ$7:$AJ$40))+1,""),""),ROW()-ROW(A$43)+1)),"##0")," "),"")</f>
        <v>0</v>
      </c>
      <c r="AL51">
        <f t="array" ref="AL51">IFERROR(CONCATENATE((INDEX($A$7:$A$40,SMALL(IF($AM$7:$AM$40&lt;&gt;"",IF($AJ$7:$AJ$40&lt;&gt;"",ROW($AJ$7:$AJ$40)-MIN(ROW($AJ$7:$AJ$40))+1,""),""),ROW()-ROW(A$43)+1))),),"")</f>
        <v>0</v>
      </c>
    </row>
    <row r="52" spans="11:38">
      <c r="K52">
        <f t="array" ref="K52">IFERROR(CONCATENATE(TEXT(INDEX($K$7:$K$40,SMALL(IF($N$7:$N$40&lt;&gt;"",IF($K$7:$K$40&lt;&gt;"",ROW($K$7:$K$40)-MIN(ROW($K$7:$K$40))+1,""),""),ROW()-ROW(A$43)+1)),"##0"),","),"")</f>
        <v>0</v>
      </c>
      <c r="L52">
        <f t="array" ref="L52">IFERROR(CONCATENATE((INDEX($N$7:$N$40,SMALL(IF($N$7:$N$40&lt;&gt;"",IF($K$7:$K$40&lt;&gt;"",ROW($K$7:$K$40)-MIN(ROW($K$7:$K$40))+1,""),""),ROW()-ROW(A$43)+1))),","),"")</f>
        <v>0</v>
      </c>
      <c r="M52">
        <f t="array" ref="M52">IFERROR(CONCATENATE((INDEX($A$7:$A$40,SMALL(IF($N$7:$N$40&lt;&gt;"",IF($K$7:$K$40&lt;&gt;"",ROW($K$7:$K$40)-MIN(ROW($K$7:$K$40))+1,""),""),ROW()-ROW(A$43)+1))),),"")</f>
        <v>0</v>
      </c>
      <c r="P52">
        <f t="array" ref="P52">IFERROR(CONCATENATE((INDEX($S$7:$S$40,SMALL(IF($S$7:$S$40&lt;&gt;"",IF($P$7:$P$40&lt;&gt;"",ROW($P$7:$P$40)-MIN(ROW($P$7:$P$40))+1,""),""),ROW()-ROW(A$43)+1)))," "),"")</f>
        <v>0</v>
      </c>
      <c r="Q52">
        <f t="array" ref="Q52">IFERROR(CONCATENATE(TEXT(INDEX($P$7:$P$40,SMALL(IF($S$7:$S$40&lt;&gt;"",IF($P$7:$P$40&lt;&gt;"",ROW($P$7:$P$40)-MIN(ROW($P$7:$P$40))+1,""),""),ROW()-ROW(A$43)+1)),"##0")," "),"")</f>
        <v>0</v>
      </c>
      <c r="R52">
        <f t="array" ref="R52">IFERROR(CONCATENATE((INDEX($A$7:$A$40,SMALL(IF($S$7:$S$40&lt;&gt;"",IF($P$7:$P$40&lt;&gt;"",ROW($P$7:$P$40)-MIN(ROW($P$7:$P$40))+1,""),""),ROW()-ROW(A$43)+1))),),"")</f>
        <v>0</v>
      </c>
      <c r="U52">
        <f t="array" ref="U52">IFERROR(CONCATENATE((INDEX($X$7:$X$40,SMALL(IF($X$7:$X$40&lt;&gt;"",IF($U$7:$U$40&lt;&gt;"",ROW($U$7:$U$40)-MIN(ROW($U$7:$U$40))+1,""),""),ROW()-ROW(A$43)+1)))," "),"")</f>
        <v>0</v>
      </c>
      <c r="V52">
        <f t="array" ref="V52">IFERROR(CONCATENATE(TEXT(INDEX($U$7:$U$40,SMALL(IF($X$7:$X$40&lt;&gt;"",IF($U$7:$U$40&lt;&gt;"",ROW($U$7:$U$40)-MIN(ROW($U$7:$U$40))+1,""),""),ROW()-ROW(A$43)+1)),"##0")," "),"")</f>
        <v>0</v>
      </c>
      <c r="W52">
        <f t="array" ref="W52">IFERROR(CONCATENATE((INDEX($A$7:$A$40,SMALL(IF($X$7:$X$40&lt;&gt;"",IF($U$7:$U$40&lt;&gt;"",ROW($U$7:$U$40)-MIN(ROW($U$7:$U$40))+1,""),""),ROW()-ROW(A$43)+1))),),"")</f>
        <v>0</v>
      </c>
      <c r="Z52">
        <f t="array" ref="Z52">IFERROR(CONCATENATE((INDEX($AC$7:$AC$40,SMALL(IF($AC$7:$AC$40&lt;&gt;"",IF($Z$7:$Z$40&lt;&gt;"",ROW($Z$7:$Z$40)-MIN(ROW($Z$7:$Z$40))+1,""),""),ROW()-ROW(A$43)+1))),","),"")</f>
        <v>0</v>
      </c>
      <c r="AA52">
        <f t="array" ref="AA52">IFERROR(CONCATENATE(TEXT(INDEX($Z$7:$Z$40,SMALL(IF($AC$7:$AC$40&lt;&gt;"",IF($Z$7:$Z$40&lt;&gt;"",ROW($Z$7:$Z$40)-MIN(ROW($Z$7:$Z$40))+1,""),""),ROW()-ROW(A$43)+1)),"##0"),","),"")</f>
        <v>0</v>
      </c>
      <c r="AB52">
        <f t="array" ref="AB52">IFERROR(CONCATENATE((INDEX($A$7:$A$40,SMALL(IF($AC$7:$AC$40&lt;&gt;"",IF($Z$7:$Z$40&lt;&gt;"",ROW($Z$7:$Z$40)-MIN(ROW($Z$7:$Z$40))+1,""),""),ROW()-ROW(A$43)+1))),),"")</f>
        <v>0</v>
      </c>
      <c r="AE52">
        <f t="array" ref="AE52">IFERROR(CONCATENATE((INDEX($AH$7:$AH$40,SMALL(IF($AH$7:$AH$40&lt;&gt;"",IF($AE$7:$AE$40&lt;&gt;"",ROW($AE$7:$AE$40)-MIN(ROW($AE$7:$AE$40))+1,""),""),ROW()-ROW(A$43)+1)))," "),"")</f>
        <v>0</v>
      </c>
      <c r="AF52">
        <f t="array" ref="AF52">IFERROR(CONCATENATE(TEXT(INDEX($AE$7:$AE$40,SMALL(IF($AH$7:$AH$40&lt;&gt;"",IF($AE$7:$AE$40&lt;&gt;"",ROW($AE$7:$AE$40)-MIN(ROW($AE$7:$AE$40))+1,""),""),ROW()-ROW(A$43)+1)),"##0")," "),"")</f>
        <v>0</v>
      </c>
      <c r="AG52">
        <f t="array" ref="AG52">IFERROR(CONCATENATE((INDEX($A$7:$A$40,SMALL(IF($AH$7:$AH$40&lt;&gt;"",IF($AE$7:$AE$40&lt;&gt;"",ROW($AE$7:$AE$40)-MIN(ROW($AE$7:$AE$40))+1,""),""),ROW()-ROW(A$43)+1))),),"")</f>
        <v>0</v>
      </c>
      <c r="AJ52">
        <f t="array" ref="AJ52">IFERROR(CONCATENATE((INDEX($AM$7:$AM$40,SMALL(IF($AM$7:$AM$40&lt;&gt;"",IF($AJ$7:$AJ$40&lt;&gt;"",ROW($AJ$7:$AJ$40)-MIN(ROW($AJ$7:$AJ$40))+1,""),""),ROW()-ROW(A$43)+1)))," "),"")</f>
        <v>0</v>
      </c>
      <c r="AK52">
        <f t="array" ref="AK52">IFERROR(CONCATENATE(TEXT(INDEX($AJ$7:$AJ$40,SMALL(IF($AM$7:$AM$40&lt;&gt;"",IF($AJ$7:$AJ$40&lt;&gt;"",ROW($AJ$7:$AJ$40)-MIN(ROW($AJ$7:$AJ$40))+1,""),""),ROW()-ROW(A$43)+1)),"##0")," "),"")</f>
        <v>0</v>
      </c>
      <c r="AL52">
        <f t="array" ref="AL52">IFERROR(CONCATENATE((INDEX($A$7:$A$40,SMALL(IF($AM$7:$AM$40&lt;&gt;"",IF($AJ$7:$AJ$40&lt;&gt;"",ROW($AJ$7:$AJ$40)-MIN(ROW($AJ$7:$AJ$40))+1,""),""),ROW()-ROW(A$43)+1))),),"")</f>
        <v>0</v>
      </c>
    </row>
    <row r="53" spans="11:38">
      <c r="K53">
        <f t="array" ref="K53">IFERROR(CONCATENATE(TEXT(INDEX($K$7:$K$40,SMALL(IF($N$7:$N$40&lt;&gt;"",IF($K$7:$K$40&lt;&gt;"",ROW($K$7:$K$40)-MIN(ROW($K$7:$K$40))+1,""),""),ROW()-ROW(A$43)+1)),"##0"),","),"")</f>
        <v>0</v>
      </c>
      <c r="L53">
        <f t="array" ref="L53">IFERROR(CONCATENATE((INDEX($N$7:$N$40,SMALL(IF($N$7:$N$40&lt;&gt;"",IF($K$7:$K$40&lt;&gt;"",ROW($K$7:$K$40)-MIN(ROW($K$7:$K$40))+1,""),""),ROW()-ROW(A$43)+1))),","),"")</f>
        <v>0</v>
      </c>
      <c r="M53">
        <f t="array" ref="M53">IFERROR(CONCATENATE((INDEX($A$7:$A$40,SMALL(IF($N$7:$N$40&lt;&gt;"",IF($K$7:$K$40&lt;&gt;"",ROW($K$7:$K$40)-MIN(ROW($K$7:$K$40))+1,""),""),ROW()-ROW(A$43)+1))),),"")</f>
        <v>0</v>
      </c>
      <c r="P53">
        <f t="array" ref="P53">IFERROR(CONCATENATE((INDEX($S$7:$S$40,SMALL(IF($S$7:$S$40&lt;&gt;"",IF($P$7:$P$40&lt;&gt;"",ROW($P$7:$P$40)-MIN(ROW($P$7:$P$40))+1,""),""),ROW()-ROW(A$43)+1)))," "),"")</f>
        <v>0</v>
      </c>
      <c r="Q53">
        <f t="array" ref="Q53">IFERROR(CONCATENATE(TEXT(INDEX($P$7:$P$40,SMALL(IF($S$7:$S$40&lt;&gt;"",IF($P$7:$P$40&lt;&gt;"",ROW($P$7:$P$40)-MIN(ROW($P$7:$P$40))+1,""),""),ROW()-ROW(A$43)+1)),"##0")," "),"")</f>
        <v>0</v>
      </c>
      <c r="R53">
        <f t="array" ref="R53">IFERROR(CONCATENATE((INDEX($A$7:$A$40,SMALL(IF($S$7:$S$40&lt;&gt;"",IF($P$7:$P$40&lt;&gt;"",ROW($P$7:$P$40)-MIN(ROW($P$7:$P$40))+1,""),""),ROW()-ROW(A$43)+1))),),"")</f>
        <v>0</v>
      </c>
      <c r="U53">
        <f t="array" ref="U53">IFERROR(CONCATENATE((INDEX($X$7:$X$40,SMALL(IF($X$7:$X$40&lt;&gt;"",IF($U$7:$U$40&lt;&gt;"",ROW($U$7:$U$40)-MIN(ROW($U$7:$U$40))+1,""),""),ROW()-ROW(A$43)+1)))," "),"")</f>
        <v>0</v>
      </c>
      <c r="V53">
        <f t="array" ref="V53">IFERROR(CONCATENATE(TEXT(INDEX($U$7:$U$40,SMALL(IF($X$7:$X$40&lt;&gt;"",IF($U$7:$U$40&lt;&gt;"",ROW($U$7:$U$40)-MIN(ROW($U$7:$U$40))+1,""),""),ROW()-ROW(A$43)+1)),"##0")," "),"")</f>
        <v>0</v>
      </c>
      <c r="W53">
        <f t="array" ref="W53">IFERROR(CONCATENATE((INDEX($A$7:$A$40,SMALL(IF($X$7:$X$40&lt;&gt;"",IF($U$7:$U$40&lt;&gt;"",ROW($U$7:$U$40)-MIN(ROW($U$7:$U$40))+1,""),""),ROW()-ROW(A$43)+1))),),"")</f>
        <v>0</v>
      </c>
      <c r="Z53">
        <f t="array" ref="Z53">IFERROR(CONCATENATE((INDEX($AC$7:$AC$40,SMALL(IF($AC$7:$AC$40&lt;&gt;"",IF($Z$7:$Z$40&lt;&gt;"",ROW($Z$7:$Z$40)-MIN(ROW($Z$7:$Z$40))+1,""),""),ROW()-ROW(A$43)+1))),","),"")</f>
        <v>0</v>
      </c>
      <c r="AA53">
        <f t="array" ref="AA53">IFERROR(CONCATENATE(TEXT(INDEX($Z$7:$Z$40,SMALL(IF($AC$7:$AC$40&lt;&gt;"",IF($Z$7:$Z$40&lt;&gt;"",ROW($Z$7:$Z$40)-MIN(ROW($Z$7:$Z$40))+1,""),""),ROW()-ROW(A$43)+1)),"##0"),","),"")</f>
        <v>0</v>
      </c>
      <c r="AB53">
        <f t="array" ref="AB53">IFERROR(CONCATENATE((INDEX($A$7:$A$40,SMALL(IF($AC$7:$AC$40&lt;&gt;"",IF($Z$7:$Z$40&lt;&gt;"",ROW($Z$7:$Z$40)-MIN(ROW($Z$7:$Z$40))+1,""),""),ROW()-ROW(A$43)+1))),),"")</f>
        <v>0</v>
      </c>
      <c r="AE53">
        <f t="array" ref="AE53">IFERROR(CONCATENATE((INDEX($AH$7:$AH$40,SMALL(IF($AH$7:$AH$40&lt;&gt;"",IF($AE$7:$AE$40&lt;&gt;"",ROW($AE$7:$AE$40)-MIN(ROW($AE$7:$AE$40))+1,""),""),ROW()-ROW(A$43)+1)))," "),"")</f>
        <v>0</v>
      </c>
      <c r="AF53">
        <f t="array" ref="AF53">IFERROR(CONCATENATE(TEXT(INDEX($AE$7:$AE$40,SMALL(IF($AH$7:$AH$40&lt;&gt;"",IF($AE$7:$AE$40&lt;&gt;"",ROW($AE$7:$AE$40)-MIN(ROW($AE$7:$AE$40))+1,""),""),ROW()-ROW(A$43)+1)),"##0")," "),"")</f>
        <v>0</v>
      </c>
      <c r="AG53">
        <f t="array" ref="AG53">IFERROR(CONCATENATE((INDEX($A$7:$A$40,SMALL(IF($AH$7:$AH$40&lt;&gt;"",IF($AE$7:$AE$40&lt;&gt;"",ROW($AE$7:$AE$40)-MIN(ROW($AE$7:$AE$40))+1,""),""),ROW()-ROW(A$43)+1))),),"")</f>
        <v>0</v>
      </c>
      <c r="AJ53">
        <f t="array" ref="AJ53">IFERROR(CONCATENATE((INDEX($AM$7:$AM$40,SMALL(IF($AM$7:$AM$40&lt;&gt;"",IF($AJ$7:$AJ$40&lt;&gt;"",ROW($AJ$7:$AJ$40)-MIN(ROW($AJ$7:$AJ$40))+1,""),""),ROW()-ROW(A$43)+1)))," "),"")</f>
        <v>0</v>
      </c>
      <c r="AK53">
        <f t="array" ref="AK53">IFERROR(CONCATENATE(TEXT(INDEX($AJ$7:$AJ$40,SMALL(IF($AM$7:$AM$40&lt;&gt;"",IF($AJ$7:$AJ$40&lt;&gt;"",ROW($AJ$7:$AJ$40)-MIN(ROW($AJ$7:$AJ$40))+1,""),""),ROW()-ROW(A$43)+1)),"##0")," "),"")</f>
        <v>0</v>
      </c>
      <c r="AL53">
        <f t="array" ref="AL53">IFERROR(CONCATENATE((INDEX($A$7:$A$40,SMALL(IF($AM$7:$AM$40&lt;&gt;"",IF($AJ$7:$AJ$40&lt;&gt;"",ROW($AJ$7:$AJ$40)-MIN(ROW($AJ$7:$AJ$40))+1,""),""),ROW()-ROW(A$43)+1))),),"")</f>
        <v>0</v>
      </c>
    </row>
    <row r="54" spans="11:38">
      <c r="K54">
        <f t="array" ref="K54">IFERROR(CONCATENATE(TEXT(INDEX($K$7:$K$40,SMALL(IF($N$7:$N$40&lt;&gt;"",IF($K$7:$K$40&lt;&gt;"",ROW($K$7:$K$40)-MIN(ROW($K$7:$K$40))+1,""),""),ROW()-ROW(A$43)+1)),"##0"),","),"")</f>
        <v>0</v>
      </c>
      <c r="L54">
        <f t="array" ref="L54">IFERROR(CONCATENATE((INDEX($N$7:$N$40,SMALL(IF($N$7:$N$40&lt;&gt;"",IF($K$7:$K$40&lt;&gt;"",ROW($K$7:$K$40)-MIN(ROW($K$7:$K$40))+1,""),""),ROW()-ROW(A$43)+1))),","),"")</f>
        <v>0</v>
      </c>
      <c r="M54">
        <f t="array" ref="M54">IFERROR(CONCATENATE((INDEX($A$7:$A$40,SMALL(IF($N$7:$N$40&lt;&gt;"",IF($K$7:$K$40&lt;&gt;"",ROW($K$7:$K$40)-MIN(ROW($K$7:$K$40))+1,""),""),ROW()-ROW(A$43)+1))),),"")</f>
        <v>0</v>
      </c>
      <c r="P54">
        <f t="array" ref="P54">IFERROR(CONCATENATE((INDEX($S$7:$S$40,SMALL(IF($S$7:$S$40&lt;&gt;"",IF($P$7:$P$40&lt;&gt;"",ROW($P$7:$P$40)-MIN(ROW($P$7:$P$40))+1,""),""),ROW()-ROW(A$43)+1)))," "),"")</f>
        <v>0</v>
      </c>
      <c r="Q54">
        <f t="array" ref="Q54">IFERROR(CONCATENATE(TEXT(INDEX($P$7:$P$40,SMALL(IF($S$7:$S$40&lt;&gt;"",IF($P$7:$P$40&lt;&gt;"",ROW($P$7:$P$40)-MIN(ROW($P$7:$P$40))+1,""),""),ROW()-ROW(A$43)+1)),"##0")," "),"")</f>
        <v>0</v>
      </c>
      <c r="R54">
        <f t="array" ref="R54">IFERROR(CONCATENATE((INDEX($A$7:$A$40,SMALL(IF($S$7:$S$40&lt;&gt;"",IF($P$7:$P$40&lt;&gt;"",ROW($P$7:$P$40)-MIN(ROW($P$7:$P$40))+1,""),""),ROW()-ROW(A$43)+1))),),"")</f>
        <v>0</v>
      </c>
      <c r="U54">
        <f t="array" ref="U54">IFERROR(CONCATENATE((INDEX($X$7:$X$40,SMALL(IF($X$7:$X$40&lt;&gt;"",IF($U$7:$U$40&lt;&gt;"",ROW($U$7:$U$40)-MIN(ROW($U$7:$U$40))+1,""),""),ROW()-ROW(A$43)+1)))," "),"")</f>
        <v>0</v>
      </c>
      <c r="V54">
        <f t="array" ref="V54">IFERROR(CONCATENATE(TEXT(INDEX($U$7:$U$40,SMALL(IF($X$7:$X$40&lt;&gt;"",IF($U$7:$U$40&lt;&gt;"",ROW($U$7:$U$40)-MIN(ROW($U$7:$U$40))+1,""),""),ROW()-ROW(A$43)+1)),"##0")," "),"")</f>
        <v>0</v>
      </c>
      <c r="W54">
        <f t="array" ref="W54">IFERROR(CONCATENATE((INDEX($A$7:$A$40,SMALL(IF($X$7:$X$40&lt;&gt;"",IF($U$7:$U$40&lt;&gt;"",ROW($U$7:$U$40)-MIN(ROW($U$7:$U$40))+1,""),""),ROW()-ROW(A$43)+1))),),"")</f>
        <v>0</v>
      </c>
      <c r="Z54">
        <f t="array" ref="Z54">IFERROR(CONCATENATE((INDEX($AC$7:$AC$40,SMALL(IF($AC$7:$AC$40&lt;&gt;"",IF($Z$7:$Z$40&lt;&gt;"",ROW($Z$7:$Z$40)-MIN(ROW($Z$7:$Z$40))+1,""),""),ROW()-ROW(A$43)+1))),","),"")</f>
        <v>0</v>
      </c>
      <c r="AA54">
        <f t="array" ref="AA54">IFERROR(CONCATENATE(TEXT(INDEX($Z$7:$Z$40,SMALL(IF($AC$7:$AC$40&lt;&gt;"",IF($Z$7:$Z$40&lt;&gt;"",ROW($Z$7:$Z$40)-MIN(ROW($Z$7:$Z$40))+1,""),""),ROW()-ROW(A$43)+1)),"##0"),","),"")</f>
        <v>0</v>
      </c>
      <c r="AB54">
        <f t="array" ref="AB54">IFERROR(CONCATENATE((INDEX($A$7:$A$40,SMALL(IF($AC$7:$AC$40&lt;&gt;"",IF($Z$7:$Z$40&lt;&gt;"",ROW($Z$7:$Z$40)-MIN(ROW($Z$7:$Z$40))+1,""),""),ROW()-ROW(A$43)+1))),),"")</f>
        <v>0</v>
      </c>
      <c r="AE54">
        <f t="array" ref="AE54">IFERROR(CONCATENATE((INDEX($AH$7:$AH$40,SMALL(IF($AH$7:$AH$40&lt;&gt;"",IF($AE$7:$AE$40&lt;&gt;"",ROW($AE$7:$AE$40)-MIN(ROW($AE$7:$AE$40))+1,""),""),ROW()-ROW(A$43)+1)))," "),"")</f>
        <v>0</v>
      </c>
      <c r="AF54">
        <f t="array" ref="AF54">IFERROR(CONCATENATE(TEXT(INDEX($AE$7:$AE$40,SMALL(IF($AH$7:$AH$40&lt;&gt;"",IF($AE$7:$AE$40&lt;&gt;"",ROW($AE$7:$AE$40)-MIN(ROW($AE$7:$AE$40))+1,""),""),ROW()-ROW(A$43)+1)),"##0")," "),"")</f>
        <v>0</v>
      </c>
      <c r="AG54">
        <f t="array" ref="AG54">IFERROR(CONCATENATE((INDEX($A$7:$A$40,SMALL(IF($AH$7:$AH$40&lt;&gt;"",IF($AE$7:$AE$40&lt;&gt;"",ROW($AE$7:$AE$40)-MIN(ROW($AE$7:$AE$40))+1,""),""),ROW()-ROW(A$43)+1))),),"")</f>
        <v>0</v>
      </c>
      <c r="AJ54">
        <f t="array" ref="AJ54">IFERROR(CONCATENATE((INDEX($AM$7:$AM$40,SMALL(IF($AM$7:$AM$40&lt;&gt;"",IF($AJ$7:$AJ$40&lt;&gt;"",ROW($AJ$7:$AJ$40)-MIN(ROW($AJ$7:$AJ$40))+1,""),""),ROW()-ROW(A$43)+1)))," "),"")</f>
        <v>0</v>
      </c>
      <c r="AK54">
        <f t="array" ref="AK54">IFERROR(CONCATENATE(TEXT(INDEX($AJ$7:$AJ$40,SMALL(IF($AM$7:$AM$40&lt;&gt;"",IF($AJ$7:$AJ$40&lt;&gt;"",ROW($AJ$7:$AJ$40)-MIN(ROW($AJ$7:$AJ$40))+1,""),""),ROW()-ROW(A$43)+1)),"##0")," "),"")</f>
        <v>0</v>
      </c>
      <c r="AL54">
        <f t="array" ref="AL54">IFERROR(CONCATENATE((INDEX($A$7:$A$40,SMALL(IF($AM$7:$AM$40&lt;&gt;"",IF($AJ$7:$AJ$40&lt;&gt;"",ROW($AJ$7:$AJ$40)-MIN(ROW($AJ$7:$AJ$40))+1,""),""),ROW()-ROW(A$43)+1))),),"")</f>
        <v>0</v>
      </c>
    </row>
    <row r="55" spans="11:38">
      <c r="K55">
        <f t="array" ref="K55">IFERROR(CONCATENATE(TEXT(INDEX($K$7:$K$40,SMALL(IF($N$7:$N$40&lt;&gt;"",IF($K$7:$K$40&lt;&gt;"",ROW($K$7:$K$40)-MIN(ROW($K$7:$K$40))+1,""),""),ROW()-ROW(A$43)+1)),"##0"),","),"")</f>
        <v>0</v>
      </c>
      <c r="L55">
        <f t="array" ref="L55">IFERROR(CONCATENATE((INDEX($N$7:$N$40,SMALL(IF($N$7:$N$40&lt;&gt;"",IF($K$7:$K$40&lt;&gt;"",ROW($K$7:$K$40)-MIN(ROW($K$7:$K$40))+1,""),""),ROW()-ROW(A$43)+1))),","),"")</f>
        <v>0</v>
      </c>
      <c r="M55">
        <f t="array" ref="M55">IFERROR(CONCATENATE((INDEX($A$7:$A$40,SMALL(IF($N$7:$N$40&lt;&gt;"",IF($K$7:$K$40&lt;&gt;"",ROW($K$7:$K$40)-MIN(ROW($K$7:$K$40))+1,""),""),ROW()-ROW(A$43)+1))),),"")</f>
        <v>0</v>
      </c>
      <c r="P55">
        <f t="array" ref="P55">IFERROR(CONCATENATE((INDEX($S$7:$S$40,SMALL(IF($S$7:$S$40&lt;&gt;"",IF($P$7:$P$40&lt;&gt;"",ROW($P$7:$P$40)-MIN(ROW($P$7:$P$40))+1,""),""),ROW()-ROW(A$43)+1)))," "),"")</f>
        <v>0</v>
      </c>
      <c r="Q55">
        <f t="array" ref="Q55">IFERROR(CONCATENATE(TEXT(INDEX($P$7:$P$40,SMALL(IF($S$7:$S$40&lt;&gt;"",IF($P$7:$P$40&lt;&gt;"",ROW($P$7:$P$40)-MIN(ROW($P$7:$P$40))+1,""),""),ROW()-ROW(A$43)+1)),"##0")," "),"")</f>
        <v>0</v>
      </c>
      <c r="R55">
        <f t="array" ref="R55">IFERROR(CONCATENATE((INDEX($A$7:$A$40,SMALL(IF($S$7:$S$40&lt;&gt;"",IF($P$7:$P$40&lt;&gt;"",ROW($P$7:$P$40)-MIN(ROW($P$7:$P$40))+1,""),""),ROW()-ROW(A$43)+1))),),"")</f>
        <v>0</v>
      </c>
      <c r="U55">
        <f t="array" ref="U55">IFERROR(CONCATENATE((INDEX($X$7:$X$40,SMALL(IF($X$7:$X$40&lt;&gt;"",IF($U$7:$U$40&lt;&gt;"",ROW($U$7:$U$40)-MIN(ROW($U$7:$U$40))+1,""),""),ROW()-ROW(A$43)+1)))," "),"")</f>
        <v>0</v>
      </c>
      <c r="V55">
        <f t="array" ref="V55">IFERROR(CONCATENATE(TEXT(INDEX($U$7:$U$40,SMALL(IF($X$7:$X$40&lt;&gt;"",IF($U$7:$U$40&lt;&gt;"",ROW($U$7:$U$40)-MIN(ROW($U$7:$U$40))+1,""),""),ROW()-ROW(A$43)+1)),"##0")," "),"")</f>
        <v>0</v>
      </c>
      <c r="W55">
        <f t="array" ref="W55">IFERROR(CONCATENATE((INDEX($A$7:$A$40,SMALL(IF($X$7:$X$40&lt;&gt;"",IF($U$7:$U$40&lt;&gt;"",ROW($U$7:$U$40)-MIN(ROW($U$7:$U$40))+1,""),""),ROW()-ROW(A$43)+1))),),"")</f>
        <v>0</v>
      </c>
      <c r="Z55">
        <f t="array" ref="Z55">IFERROR(CONCATENATE((INDEX($AC$7:$AC$40,SMALL(IF($AC$7:$AC$40&lt;&gt;"",IF($Z$7:$Z$40&lt;&gt;"",ROW($Z$7:$Z$40)-MIN(ROW($Z$7:$Z$40))+1,""),""),ROW()-ROW(A$43)+1))),","),"")</f>
        <v>0</v>
      </c>
      <c r="AA55">
        <f t="array" ref="AA55">IFERROR(CONCATENATE(TEXT(INDEX($Z$7:$Z$40,SMALL(IF($AC$7:$AC$40&lt;&gt;"",IF($Z$7:$Z$40&lt;&gt;"",ROW($Z$7:$Z$40)-MIN(ROW($Z$7:$Z$40))+1,""),""),ROW()-ROW(A$43)+1)),"##0"),","),"")</f>
        <v>0</v>
      </c>
      <c r="AB55">
        <f t="array" ref="AB55">IFERROR(CONCATENATE((INDEX($A$7:$A$40,SMALL(IF($AC$7:$AC$40&lt;&gt;"",IF($Z$7:$Z$40&lt;&gt;"",ROW($Z$7:$Z$40)-MIN(ROW($Z$7:$Z$40))+1,""),""),ROW()-ROW(A$43)+1))),),"")</f>
        <v>0</v>
      </c>
      <c r="AE55">
        <f t="array" ref="AE55">IFERROR(CONCATENATE((INDEX($AH$7:$AH$40,SMALL(IF($AH$7:$AH$40&lt;&gt;"",IF($AE$7:$AE$40&lt;&gt;"",ROW($AE$7:$AE$40)-MIN(ROW($AE$7:$AE$40))+1,""),""),ROW()-ROW(A$43)+1)))," "),"")</f>
        <v>0</v>
      </c>
      <c r="AF55">
        <f t="array" ref="AF55">IFERROR(CONCATENATE(TEXT(INDEX($AE$7:$AE$40,SMALL(IF($AH$7:$AH$40&lt;&gt;"",IF($AE$7:$AE$40&lt;&gt;"",ROW($AE$7:$AE$40)-MIN(ROW($AE$7:$AE$40))+1,""),""),ROW()-ROW(A$43)+1)),"##0")," "),"")</f>
        <v>0</v>
      </c>
      <c r="AG55">
        <f t="array" ref="AG55">IFERROR(CONCATENATE((INDEX($A$7:$A$40,SMALL(IF($AH$7:$AH$40&lt;&gt;"",IF($AE$7:$AE$40&lt;&gt;"",ROW($AE$7:$AE$40)-MIN(ROW($AE$7:$AE$40))+1,""),""),ROW()-ROW(A$43)+1))),),"")</f>
        <v>0</v>
      </c>
      <c r="AJ55">
        <f t="array" ref="AJ55">IFERROR(CONCATENATE((INDEX($AM$7:$AM$40,SMALL(IF($AM$7:$AM$40&lt;&gt;"",IF($AJ$7:$AJ$40&lt;&gt;"",ROW($AJ$7:$AJ$40)-MIN(ROW($AJ$7:$AJ$40))+1,""),""),ROW()-ROW(A$43)+1)))," "),"")</f>
        <v>0</v>
      </c>
      <c r="AK55">
        <f t="array" ref="AK55">IFERROR(CONCATENATE(TEXT(INDEX($AJ$7:$AJ$40,SMALL(IF($AM$7:$AM$40&lt;&gt;"",IF($AJ$7:$AJ$40&lt;&gt;"",ROW($AJ$7:$AJ$40)-MIN(ROW($AJ$7:$AJ$40))+1,""),""),ROW()-ROW(A$43)+1)),"##0")," "),"")</f>
        <v>0</v>
      </c>
      <c r="AL55">
        <f t="array" ref="AL55">IFERROR(CONCATENATE((INDEX($A$7:$A$40,SMALL(IF($AM$7:$AM$40&lt;&gt;"",IF($AJ$7:$AJ$40&lt;&gt;"",ROW($AJ$7:$AJ$40)-MIN(ROW($AJ$7:$AJ$40))+1,""),""),ROW()-ROW(A$43)+1))),),"")</f>
        <v>0</v>
      </c>
    </row>
    <row r="56" spans="11:38">
      <c r="K56">
        <f t="array" ref="K56">IFERROR(CONCATENATE(TEXT(INDEX($K$7:$K$40,SMALL(IF($N$7:$N$40&lt;&gt;"",IF($K$7:$K$40&lt;&gt;"",ROW($K$7:$K$40)-MIN(ROW($K$7:$K$40))+1,""),""),ROW()-ROW(A$43)+1)),"##0"),","),"")</f>
        <v>0</v>
      </c>
      <c r="L56">
        <f t="array" ref="L56">IFERROR(CONCATENATE((INDEX($N$7:$N$40,SMALL(IF($N$7:$N$40&lt;&gt;"",IF($K$7:$K$40&lt;&gt;"",ROW($K$7:$K$40)-MIN(ROW($K$7:$K$40))+1,""),""),ROW()-ROW(A$43)+1))),","),"")</f>
        <v>0</v>
      </c>
      <c r="M56">
        <f t="array" ref="M56">IFERROR(CONCATENATE((INDEX($A$7:$A$40,SMALL(IF($N$7:$N$40&lt;&gt;"",IF($K$7:$K$40&lt;&gt;"",ROW($K$7:$K$40)-MIN(ROW($K$7:$K$40))+1,""),""),ROW()-ROW(A$43)+1))),),"")</f>
        <v>0</v>
      </c>
      <c r="P56">
        <f t="array" ref="P56">IFERROR(CONCATENATE((INDEX($S$7:$S$40,SMALL(IF($S$7:$S$40&lt;&gt;"",IF($P$7:$P$40&lt;&gt;"",ROW($P$7:$P$40)-MIN(ROW($P$7:$P$40))+1,""),""),ROW()-ROW(A$43)+1)))," "),"")</f>
        <v>0</v>
      </c>
      <c r="Q56">
        <f t="array" ref="Q56">IFERROR(CONCATENATE(TEXT(INDEX($P$7:$P$40,SMALL(IF($S$7:$S$40&lt;&gt;"",IF($P$7:$P$40&lt;&gt;"",ROW($P$7:$P$40)-MIN(ROW($P$7:$P$40))+1,""),""),ROW()-ROW(A$43)+1)),"##0")," "),"")</f>
        <v>0</v>
      </c>
      <c r="R56">
        <f t="array" ref="R56">IFERROR(CONCATENATE((INDEX($A$7:$A$40,SMALL(IF($S$7:$S$40&lt;&gt;"",IF($P$7:$P$40&lt;&gt;"",ROW($P$7:$P$40)-MIN(ROW($P$7:$P$40))+1,""),""),ROW()-ROW(A$43)+1))),),"")</f>
        <v>0</v>
      </c>
      <c r="U56">
        <f t="array" ref="U56">IFERROR(CONCATENATE((INDEX($X$7:$X$40,SMALL(IF($X$7:$X$40&lt;&gt;"",IF($U$7:$U$40&lt;&gt;"",ROW($U$7:$U$40)-MIN(ROW($U$7:$U$40))+1,""),""),ROW()-ROW(A$43)+1)))," "),"")</f>
        <v>0</v>
      </c>
      <c r="V56">
        <f t="array" ref="V56">IFERROR(CONCATENATE(TEXT(INDEX($U$7:$U$40,SMALL(IF($X$7:$X$40&lt;&gt;"",IF($U$7:$U$40&lt;&gt;"",ROW($U$7:$U$40)-MIN(ROW($U$7:$U$40))+1,""),""),ROW()-ROW(A$43)+1)),"##0")," "),"")</f>
        <v>0</v>
      </c>
      <c r="W56">
        <f t="array" ref="W56">IFERROR(CONCATENATE((INDEX($A$7:$A$40,SMALL(IF($X$7:$X$40&lt;&gt;"",IF($U$7:$U$40&lt;&gt;"",ROW($U$7:$U$40)-MIN(ROW($U$7:$U$40))+1,""),""),ROW()-ROW(A$43)+1))),),"")</f>
        <v>0</v>
      </c>
      <c r="Z56">
        <f t="array" ref="Z56">IFERROR(CONCATENATE((INDEX($AC$7:$AC$40,SMALL(IF($AC$7:$AC$40&lt;&gt;"",IF($Z$7:$Z$40&lt;&gt;"",ROW($Z$7:$Z$40)-MIN(ROW($Z$7:$Z$40))+1,""),""),ROW()-ROW(A$43)+1))),","),"")</f>
        <v>0</v>
      </c>
      <c r="AA56">
        <f t="array" ref="AA56">IFERROR(CONCATENATE(TEXT(INDEX($Z$7:$Z$40,SMALL(IF($AC$7:$AC$40&lt;&gt;"",IF($Z$7:$Z$40&lt;&gt;"",ROW($Z$7:$Z$40)-MIN(ROW($Z$7:$Z$40))+1,""),""),ROW()-ROW(A$43)+1)),"##0"),","),"")</f>
        <v>0</v>
      </c>
      <c r="AB56">
        <f t="array" ref="AB56">IFERROR(CONCATENATE((INDEX($A$7:$A$40,SMALL(IF($AC$7:$AC$40&lt;&gt;"",IF($Z$7:$Z$40&lt;&gt;"",ROW($Z$7:$Z$40)-MIN(ROW($Z$7:$Z$40))+1,""),""),ROW()-ROW(A$43)+1))),),"")</f>
        <v>0</v>
      </c>
      <c r="AE56">
        <f t="array" ref="AE56">IFERROR(CONCATENATE((INDEX($AH$7:$AH$40,SMALL(IF($AH$7:$AH$40&lt;&gt;"",IF($AE$7:$AE$40&lt;&gt;"",ROW($AE$7:$AE$40)-MIN(ROW($AE$7:$AE$40))+1,""),""),ROW()-ROW(A$43)+1)))," "),"")</f>
        <v>0</v>
      </c>
      <c r="AF56">
        <f t="array" ref="AF56">IFERROR(CONCATENATE(TEXT(INDEX($AE$7:$AE$40,SMALL(IF($AH$7:$AH$40&lt;&gt;"",IF($AE$7:$AE$40&lt;&gt;"",ROW($AE$7:$AE$40)-MIN(ROW($AE$7:$AE$40))+1,""),""),ROW()-ROW(A$43)+1)),"##0")," "),"")</f>
        <v>0</v>
      </c>
      <c r="AG56">
        <f t="array" ref="AG56">IFERROR(CONCATENATE((INDEX($A$7:$A$40,SMALL(IF($AH$7:$AH$40&lt;&gt;"",IF($AE$7:$AE$40&lt;&gt;"",ROW($AE$7:$AE$40)-MIN(ROW($AE$7:$AE$40))+1,""),""),ROW()-ROW(A$43)+1))),),"")</f>
        <v>0</v>
      </c>
      <c r="AJ56">
        <f t="array" ref="AJ56">IFERROR(CONCATENATE((INDEX($AM$7:$AM$40,SMALL(IF($AM$7:$AM$40&lt;&gt;"",IF($AJ$7:$AJ$40&lt;&gt;"",ROW($AJ$7:$AJ$40)-MIN(ROW($AJ$7:$AJ$40))+1,""),""),ROW()-ROW(A$43)+1)))," "),"")</f>
        <v>0</v>
      </c>
      <c r="AK56">
        <f t="array" ref="AK56">IFERROR(CONCATENATE(TEXT(INDEX($AJ$7:$AJ$40,SMALL(IF($AM$7:$AM$40&lt;&gt;"",IF($AJ$7:$AJ$40&lt;&gt;"",ROW($AJ$7:$AJ$40)-MIN(ROW($AJ$7:$AJ$40))+1,""),""),ROW()-ROW(A$43)+1)),"##0")," "),"")</f>
        <v>0</v>
      </c>
      <c r="AL56">
        <f t="array" ref="AL56">IFERROR(CONCATENATE((INDEX($A$7:$A$40,SMALL(IF($AM$7:$AM$40&lt;&gt;"",IF($AJ$7:$AJ$40&lt;&gt;"",ROW($AJ$7:$AJ$40)-MIN(ROW($AJ$7:$AJ$40))+1,""),""),ROW()-ROW(A$43)+1))),),"")</f>
        <v>0</v>
      </c>
    </row>
    <row r="57" spans="11:38">
      <c r="K57">
        <f t="array" ref="K57">IFERROR(CONCATENATE(TEXT(INDEX($K$7:$K$40,SMALL(IF($N$7:$N$40&lt;&gt;"",IF($K$7:$K$40&lt;&gt;"",ROW($K$7:$K$40)-MIN(ROW($K$7:$K$40))+1,""),""),ROW()-ROW(A$43)+1)),"##0"),","),"")</f>
        <v>0</v>
      </c>
      <c r="L57">
        <f t="array" ref="L57">IFERROR(CONCATENATE((INDEX($N$7:$N$40,SMALL(IF($N$7:$N$40&lt;&gt;"",IF($K$7:$K$40&lt;&gt;"",ROW($K$7:$K$40)-MIN(ROW($K$7:$K$40))+1,""),""),ROW()-ROW(A$43)+1))),","),"")</f>
        <v>0</v>
      </c>
      <c r="M57">
        <f t="array" ref="M57">IFERROR(CONCATENATE((INDEX($A$7:$A$40,SMALL(IF($N$7:$N$40&lt;&gt;"",IF($K$7:$K$40&lt;&gt;"",ROW($K$7:$K$40)-MIN(ROW($K$7:$K$40))+1,""),""),ROW()-ROW(A$43)+1))),),"")</f>
        <v>0</v>
      </c>
      <c r="P57">
        <f t="array" ref="P57">IFERROR(CONCATENATE((INDEX($S$7:$S$40,SMALL(IF($S$7:$S$40&lt;&gt;"",IF($P$7:$P$40&lt;&gt;"",ROW($P$7:$P$40)-MIN(ROW($P$7:$P$40))+1,""),""),ROW()-ROW(A$43)+1)))," "),"")</f>
        <v>0</v>
      </c>
      <c r="Q57">
        <f t="array" ref="Q57">IFERROR(CONCATENATE(TEXT(INDEX($P$7:$P$40,SMALL(IF($S$7:$S$40&lt;&gt;"",IF($P$7:$P$40&lt;&gt;"",ROW($P$7:$P$40)-MIN(ROW($P$7:$P$40))+1,""),""),ROW()-ROW(A$43)+1)),"##0")," "),"")</f>
        <v>0</v>
      </c>
      <c r="R57">
        <f t="array" ref="R57">IFERROR(CONCATENATE((INDEX($A$7:$A$40,SMALL(IF($S$7:$S$40&lt;&gt;"",IF($P$7:$P$40&lt;&gt;"",ROW($P$7:$P$40)-MIN(ROW($P$7:$P$40))+1,""),""),ROW()-ROW(A$43)+1))),),"")</f>
        <v>0</v>
      </c>
      <c r="U57">
        <f t="array" ref="U57">IFERROR(CONCATENATE((INDEX($X$7:$X$40,SMALL(IF($X$7:$X$40&lt;&gt;"",IF($U$7:$U$40&lt;&gt;"",ROW($U$7:$U$40)-MIN(ROW($U$7:$U$40))+1,""),""),ROW()-ROW(A$43)+1)))," "),"")</f>
        <v>0</v>
      </c>
      <c r="V57">
        <f t="array" ref="V57">IFERROR(CONCATENATE(TEXT(INDEX($U$7:$U$40,SMALL(IF($X$7:$X$40&lt;&gt;"",IF($U$7:$U$40&lt;&gt;"",ROW($U$7:$U$40)-MIN(ROW($U$7:$U$40))+1,""),""),ROW()-ROW(A$43)+1)),"##0")," "),"")</f>
        <v>0</v>
      </c>
      <c r="W57">
        <f t="array" ref="W57">IFERROR(CONCATENATE((INDEX($A$7:$A$40,SMALL(IF($X$7:$X$40&lt;&gt;"",IF($U$7:$U$40&lt;&gt;"",ROW($U$7:$U$40)-MIN(ROW($U$7:$U$40))+1,""),""),ROW()-ROW(A$43)+1))),),"")</f>
        <v>0</v>
      </c>
      <c r="Z57">
        <f t="array" ref="Z57">IFERROR(CONCATENATE((INDEX($AC$7:$AC$40,SMALL(IF($AC$7:$AC$40&lt;&gt;"",IF($Z$7:$Z$40&lt;&gt;"",ROW($Z$7:$Z$40)-MIN(ROW($Z$7:$Z$40))+1,""),""),ROW()-ROW(A$43)+1))),","),"")</f>
        <v>0</v>
      </c>
      <c r="AA57">
        <f t="array" ref="AA57">IFERROR(CONCATENATE(TEXT(INDEX($Z$7:$Z$40,SMALL(IF($AC$7:$AC$40&lt;&gt;"",IF($Z$7:$Z$40&lt;&gt;"",ROW($Z$7:$Z$40)-MIN(ROW($Z$7:$Z$40))+1,""),""),ROW()-ROW(A$43)+1)),"##0"),","),"")</f>
        <v>0</v>
      </c>
      <c r="AB57">
        <f t="array" ref="AB57">IFERROR(CONCATENATE((INDEX($A$7:$A$40,SMALL(IF($AC$7:$AC$40&lt;&gt;"",IF($Z$7:$Z$40&lt;&gt;"",ROW($Z$7:$Z$40)-MIN(ROW($Z$7:$Z$40))+1,""),""),ROW()-ROW(A$43)+1))),),"")</f>
        <v>0</v>
      </c>
      <c r="AE57">
        <f t="array" ref="AE57">IFERROR(CONCATENATE((INDEX($AH$7:$AH$40,SMALL(IF($AH$7:$AH$40&lt;&gt;"",IF($AE$7:$AE$40&lt;&gt;"",ROW($AE$7:$AE$40)-MIN(ROW($AE$7:$AE$40))+1,""),""),ROW()-ROW(A$43)+1)))," "),"")</f>
        <v>0</v>
      </c>
      <c r="AF57">
        <f t="array" ref="AF57">IFERROR(CONCATENATE(TEXT(INDEX($AE$7:$AE$40,SMALL(IF($AH$7:$AH$40&lt;&gt;"",IF($AE$7:$AE$40&lt;&gt;"",ROW($AE$7:$AE$40)-MIN(ROW($AE$7:$AE$40))+1,""),""),ROW()-ROW(A$43)+1)),"##0")," "),"")</f>
        <v>0</v>
      </c>
      <c r="AG57">
        <f t="array" ref="AG57">IFERROR(CONCATENATE((INDEX($A$7:$A$40,SMALL(IF($AH$7:$AH$40&lt;&gt;"",IF($AE$7:$AE$40&lt;&gt;"",ROW($AE$7:$AE$40)-MIN(ROW($AE$7:$AE$40))+1,""),""),ROW()-ROW(A$43)+1))),),"")</f>
        <v>0</v>
      </c>
      <c r="AJ57">
        <f t="array" ref="AJ57">IFERROR(CONCATENATE((INDEX($AM$7:$AM$40,SMALL(IF($AM$7:$AM$40&lt;&gt;"",IF($AJ$7:$AJ$40&lt;&gt;"",ROW($AJ$7:$AJ$40)-MIN(ROW($AJ$7:$AJ$40))+1,""),""),ROW()-ROW(A$43)+1)))," "),"")</f>
        <v>0</v>
      </c>
      <c r="AK57">
        <f t="array" ref="AK57">IFERROR(CONCATENATE(TEXT(INDEX($AJ$7:$AJ$40,SMALL(IF($AM$7:$AM$40&lt;&gt;"",IF($AJ$7:$AJ$40&lt;&gt;"",ROW($AJ$7:$AJ$40)-MIN(ROW($AJ$7:$AJ$40))+1,""),""),ROW()-ROW(A$43)+1)),"##0")," "),"")</f>
        <v>0</v>
      </c>
      <c r="AL57">
        <f t="array" ref="AL57">IFERROR(CONCATENATE((INDEX($A$7:$A$40,SMALL(IF($AM$7:$AM$40&lt;&gt;"",IF($AJ$7:$AJ$40&lt;&gt;"",ROW($AJ$7:$AJ$40)-MIN(ROW($AJ$7:$AJ$40))+1,""),""),ROW()-ROW(A$43)+1))),),"")</f>
        <v>0</v>
      </c>
    </row>
    <row r="58" spans="11:38">
      <c r="K58">
        <f t="array" ref="K58">IFERROR(CONCATENATE(TEXT(INDEX($K$7:$K$40,SMALL(IF($N$7:$N$40&lt;&gt;"",IF($K$7:$K$40&lt;&gt;"",ROW($K$7:$K$40)-MIN(ROW($K$7:$K$40))+1,""),""),ROW()-ROW(A$43)+1)),"##0"),","),"")</f>
        <v>0</v>
      </c>
      <c r="L58">
        <f t="array" ref="L58">IFERROR(CONCATENATE((INDEX($N$7:$N$40,SMALL(IF($N$7:$N$40&lt;&gt;"",IF($K$7:$K$40&lt;&gt;"",ROW($K$7:$K$40)-MIN(ROW($K$7:$K$40))+1,""),""),ROW()-ROW(A$43)+1))),","),"")</f>
        <v>0</v>
      </c>
      <c r="M58">
        <f t="array" ref="M58">IFERROR(CONCATENATE((INDEX($A$7:$A$40,SMALL(IF($N$7:$N$40&lt;&gt;"",IF($K$7:$K$40&lt;&gt;"",ROW($K$7:$K$40)-MIN(ROW($K$7:$K$40))+1,""),""),ROW()-ROW(A$43)+1))),),"")</f>
        <v>0</v>
      </c>
      <c r="P58">
        <f t="array" ref="P58">IFERROR(CONCATENATE((INDEX($S$7:$S$40,SMALL(IF($S$7:$S$40&lt;&gt;"",IF($P$7:$P$40&lt;&gt;"",ROW($P$7:$P$40)-MIN(ROW($P$7:$P$40))+1,""),""),ROW()-ROW(A$43)+1)))," "),"")</f>
        <v>0</v>
      </c>
      <c r="Q58">
        <f t="array" ref="Q58">IFERROR(CONCATENATE(TEXT(INDEX($P$7:$P$40,SMALL(IF($S$7:$S$40&lt;&gt;"",IF($P$7:$P$40&lt;&gt;"",ROW($P$7:$P$40)-MIN(ROW($P$7:$P$40))+1,""),""),ROW()-ROW(A$43)+1)),"##0")," "),"")</f>
        <v>0</v>
      </c>
      <c r="R58">
        <f t="array" ref="R58">IFERROR(CONCATENATE((INDEX($A$7:$A$40,SMALL(IF($S$7:$S$40&lt;&gt;"",IF($P$7:$P$40&lt;&gt;"",ROW($P$7:$P$40)-MIN(ROW($P$7:$P$40))+1,""),""),ROW()-ROW(A$43)+1))),),"")</f>
        <v>0</v>
      </c>
      <c r="U58">
        <f t="array" ref="U58">IFERROR(CONCATENATE((INDEX($X$7:$X$40,SMALL(IF($X$7:$X$40&lt;&gt;"",IF($U$7:$U$40&lt;&gt;"",ROW($U$7:$U$40)-MIN(ROW($U$7:$U$40))+1,""),""),ROW()-ROW(A$43)+1)))," "),"")</f>
        <v>0</v>
      </c>
      <c r="V58">
        <f t="array" ref="V58">IFERROR(CONCATENATE(TEXT(INDEX($U$7:$U$40,SMALL(IF($X$7:$X$40&lt;&gt;"",IF($U$7:$U$40&lt;&gt;"",ROW($U$7:$U$40)-MIN(ROW($U$7:$U$40))+1,""),""),ROW()-ROW(A$43)+1)),"##0")," "),"")</f>
        <v>0</v>
      </c>
      <c r="W58">
        <f t="array" ref="W58">IFERROR(CONCATENATE((INDEX($A$7:$A$40,SMALL(IF($X$7:$X$40&lt;&gt;"",IF($U$7:$U$40&lt;&gt;"",ROW($U$7:$U$40)-MIN(ROW($U$7:$U$40))+1,""),""),ROW()-ROW(A$43)+1))),),"")</f>
        <v>0</v>
      </c>
      <c r="Z58">
        <f t="array" ref="Z58">IFERROR(CONCATENATE((INDEX($AC$7:$AC$40,SMALL(IF($AC$7:$AC$40&lt;&gt;"",IF($Z$7:$Z$40&lt;&gt;"",ROW($Z$7:$Z$40)-MIN(ROW($Z$7:$Z$40))+1,""),""),ROW()-ROW(A$43)+1))),","),"")</f>
        <v>0</v>
      </c>
      <c r="AA58">
        <f t="array" ref="AA58">IFERROR(CONCATENATE(TEXT(INDEX($Z$7:$Z$40,SMALL(IF($AC$7:$AC$40&lt;&gt;"",IF($Z$7:$Z$40&lt;&gt;"",ROW($Z$7:$Z$40)-MIN(ROW($Z$7:$Z$40))+1,""),""),ROW()-ROW(A$43)+1)),"##0"),","),"")</f>
        <v>0</v>
      </c>
      <c r="AB58">
        <f t="array" ref="AB58">IFERROR(CONCATENATE((INDEX($A$7:$A$40,SMALL(IF($AC$7:$AC$40&lt;&gt;"",IF($Z$7:$Z$40&lt;&gt;"",ROW($Z$7:$Z$40)-MIN(ROW($Z$7:$Z$40))+1,""),""),ROW()-ROW(A$43)+1))),),"")</f>
        <v>0</v>
      </c>
      <c r="AE58">
        <f t="array" ref="AE58">IFERROR(CONCATENATE((INDEX($AH$7:$AH$40,SMALL(IF($AH$7:$AH$40&lt;&gt;"",IF($AE$7:$AE$40&lt;&gt;"",ROW($AE$7:$AE$40)-MIN(ROW($AE$7:$AE$40))+1,""),""),ROW()-ROW(A$43)+1)))," "),"")</f>
        <v>0</v>
      </c>
      <c r="AF58">
        <f t="array" ref="AF58">IFERROR(CONCATENATE(TEXT(INDEX($AE$7:$AE$40,SMALL(IF($AH$7:$AH$40&lt;&gt;"",IF($AE$7:$AE$40&lt;&gt;"",ROW($AE$7:$AE$40)-MIN(ROW($AE$7:$AE$40))+1,""),""),ROW()-ROW(A$43)+1)),"##0")," "),"")</f>
        <v>0</v>
      </c>
      <c r="AG58">
        <f t="array" ref="AG58">IFERROR(CONCATENATE((INDEX($A$7:$A$40,SMALL(IF($AH$7:$AH$40&lt;&gt;"",IF($AE$7:$AE$40&lt;&gt;"",ROW($AE$7:$AE$40)-MIN(ROW($AE$7:$AE$40))+1,""),""),ROW()-ROW(A$43)+1))),),"")</f>
        <v>0</v>
      </c>
      <c r="AJ58">
        <f t="array" ref="AJ58">IFERROR(CONCATENATE((INDEX($AM$7:$AM$40,SMALL(IF($AM$7:$AM$40&lt;&gt;"",IF($AJ$7:$AJ$40&lt;&gt;"",ROW($AJ$7:$AJ$40)-MIN(ROW($AJ$7:$AJ$40))+1,""),""),ROW()-ROW(A$43)+1)))," "),"")</f>
        <v>0</v>
      </c>
      <c r="AK58">
        <f t="array" ref="AK58">IFERROR(CONCATENATE(TEXT(INDEX($AJ$7:$AJ$40,SMALL(IF($AM$7:$AM$40&lt;&gt;"",IF($AJ$7:$AJ$40&lt;&gt;"",ROW($AJ$7:$AJ$40)-MIN(ROW($AJ$7:$AJ$40))+1,""),""),ROW()-ROW(A$43)+1)),"##0")," "),"")</f>
        <v>0</v>
      </c>
      <c r="AL58">
        <f t="array" ref="AL58">IFERROR(CONCATENATE((INDEX($A$7:$A$40,SMALL(IF($AM$7:$AM$40&lt;&gt;"",IF($AJ$7:$AJ$40&lt;&gt;"",ROW($AJ$7:$AJ$40)-MIN(ROW($AJ$7:$AJ$40))+1,""),""),ROW()-ROW(A$43)+1))),),"")</f>
        <v>0</v>
      </c>
    </row>
    <row r="59" spans="11:38">
      <c r="K59">
        <f t="array" ref="K59">IFERROR(CONCATENATE(TEXT(INDEX($K$7:$K$40,SMALL(IF($N$7:$N$40&lt;&gt;"",IF($K$7:$K$40&lt;&gt;"",ROW($K$7:$K$40)-MIN(ROW($K$7:$K$40))+1,""),""),ROW()-ROW(A$43)+1)),"##0"),","),"")</f>
        <v>0</v>
      </c>
      <c r="L59">
        <f t="array" ref="L59">IFERROR(CONCATENATE((INDEX($N$7:$N$40,SMALL(IF($N$7:$N$40&lt;&gt;"",IF($K$7:$K$40&lt;&gt;"",ROW($K$7:$K$40)-MIN(ROW($K$7:$K$40))+1,""),""),ROW()-ROW(A$43)+1))),","),"")</f>
        <v>0</v>
      </c>
      <c r="M59">
        <f t="array" ref="M59">IFERROR(CONCATENATE((INDEX($A$7:$A$40,SMALL(IF($N$7:$N$40&lt;&gt;"",IF($K$7:$K$40&lt;&gt;"",ROW($K$7:$K$40)-MIN(ROW($K$7:$K$40))+1,""),""),ROW()-ROW(A$43)+1))),),"")</f>
        <v>0</v>
      </c>
      <c r="P59">
        <f t="array" ref="P59">IFERROR(CONCATENATE((INDEX($S$7:$S$40,SMALL(IF($S$7:$S$40&lt;&gt;"",IF($P$7:$P$40&lt;&gt;"",ROW($P$7:$P$40)-MIN(ROW($P$7:$P$40))+1,""),""),ROW()-ROW(A$43)+1)))," "),"")</f>
        <v>0</v>
      </c>
      <c r="Q59">
        <f t="array" ref="Q59">IFERROR(CONCATENATE(TEXT(INDEX($P$7:$P$40,SMALL(IF($S$7:$S$40&lt;&gt;"",IF($P$7:$P$40&lt;&gt;"",ROW($P$7:$P$40)-MIN(ROW($P$7:$P$40))+1,""),""),ROW()-ROW(A$43)+1)),"##0")," "),"")</f>
        <v>0</v>
      </c>
      <c r="R59">
        <f t="array" ref="R59">IFERROR(CONCATENATE((INDEX($A$7:$A$40,SMALL(IF($S$7:$S$40&lt;&gt;"",IF($P$7:$P$40&lt;&gt;"",ROW($P$7:$P$40)-MIN(ROW($P$7:$P$40))+1,""),""),ROW()-ROW(A$43)+1))),),"")</f>
        <v>0</v>
      </c>
      <c r="U59">
        <f t="array" ref="U59">IFERROR(CONCATENATE((INDEX($X$7:$X$40,SMALL(IF($X$7:$X$40&lt;&gt;"",IF($U$7:$U$40&lt;&gt;"",ROW($U$7:$U$40)-MIN(ROW($U$7:$U$40))+1,""),""),ROW()-ROW(A$43)+1)))," "),"")</f>
        <v>0</v>
      </c>
      <c r="V59">
        <f t="array" ref="V59">IFERROR(CONCATENATE(TEXT(INDEX($U$7:$U$40,SMALL(IF($X$7:$X$40&lt;&gt;"",IF($U$7:$U$40&lt;&gt;"",ROW($U$7:$U$40)-MIN(ROW($U$7:$U$40))+1,""),""),ROW()-ROW(A$43)+1)),"##0")," "),"")</f>
        <v>0</v>
      </c>
      <c r="W59">
        <f t="array" ref="W59">IFERROR(CONCATENATE((INDEX($A$7:$A$40,SMALL(IF($X$7:$X$40&lt;&gt;"",IF($U$7:$U$40&lt;&gt;"",ROW($U$7:$U$40)-MIN(ROW($U$7:$U$40))+1,""),""),ROW()-ROW(A$43)+1))),),"")</f>
        <v>0</v>
      </c>
      <c r="Z59">
        <f t="array" ref="Z59">IFERROR(CONCATENATE((INDEX($AC$7:$AC$40,SMALL(IF($AC$7:$AC$40&lt;&gt;"",IF($Z$7:$Z$40&lt;&gt;"",ROW($Z$7:$Z$40)-MIN(ROW($Z$7:$Z$40))+1,""),""),ROW()-ROW(A$43)+1))),","),"")</f>
        <v>0</v>
      </c>
      <c r="AA59">
        <f t="array" ref="AA59">IFERROR(CONCATENATE(TEXT(INDEX($Z$7:$Z$40,SMALL(IF($AC$7:$AC$40&lt;&gt;"",IF($Z$7:$Z$40&lt;&gt;"",ROW($Z$7:$Z$40)-MIN(ROW($Z$7:$Z$40))+1,""),""),ROW()-ROW(A$43)+1)),"##0"),","),"")</f>
        <v>0</v>
      </c>
      <c r="AB59">
        <f t="array" ref="AB59">IFERROR(CONCATENATE((INDEX($A$7:$A$40,SMALL(IF($AC$7:$AC$40&lt;&gt;"",IF($Z$7:$Z$40&lt;&gt;"",ROW($Z$7:$Z$40)-MIN(ROW($Z$7:$Z$40))+1,""),""),ROW()-ROW(A$43)+1))),),"")</f>
        <v>0</v>
      </c>
      <c r="AE59">
        <f t="array" ref="AE59">IFERROR(CONCATENATE((INDEX($AH$7:$AH$40,SMALL(IF($AH$7:$AH$40&lt;&gt;"",IF($AE$7:$AE$40&lt;&gt;"",ROW($AE$7:$AE$40)-MIN(ROW($AE$7:$AE$40))+1,""),""),ROW()-ROW(A$43)+1)))," "),"")</f>
        <v>0</v>
      </c>
      <c r="AF59">
        <f t="array" ref="AF59">IFERROR(CONCATENATE(TEXT(INDEX($AE$7:$AE$40,SMALL(IF($AH$7:$AH$40&lt;&gt;"",IF($AE$7:$AE$40&lt;&gt;"",ROW($AE$7:$AE$40)-MIN(ROW($AE$7:$AE$40))+1,""),""),ROW()-ROW(A$43)+1)),"##0")," "),"")</f>
        <v>0</v>
      </c>
      <c r="AG59">
        <f t="array" ref="AG59">IFERROR(CONCATENATE((INDEX($A$7:$A$40,SMALL(IF($AH$7:$AH$40&lt;&gt;"",IF($AE$7:$AE$40&lt;&gt;"",ROW($AE$7:$AE$40)-MIN(ROW($AE$7:$AE$40))+1,""),""),ROW()-ROW(A$43)+1))),),"")</f>
        <v>0</v>
      </c>
      <c r="AJ59">
        <f t="array" ref="AJ59">IFERROR(CONCATENATE((INDEX($AM$7:$AM$40,SMALL(IF($AM$7:$AM$40&lt;&gt;"",IF($AJ$7:$AJ$40&lt;&gt;"",ROW($AJ$7:$AJ$40)-MIN(ROW($AJ$7:$AJ$40))+1,""),""),ROW()-ROW(A$43)+1)))," "),"")</f>
        <v>0</v>
      </c>
      <c r="AK59">
        <f t="array" ref="AK59">IFERROR(CONCATENATE(TEXT(INDEX($AJ$7:$AJ$40,SMALL(IF($AM$7:$AM$40&lt;&gt;"",IF($AJ$7:$AJ$40&lt;&gt;"",ROW($AJ$7:$AJ$40)-MIN(ROW($AJ$7:$AJ$40))+1,""),""),ROW()-ROW(A$43)+1)),"##0")," "),"")</f>
        <v>0</v>
      </c>
      <c r="AL59">
        <f t="array" ref="AL59">IFERROR(CONCATENATE((INDEX($A$7:$A$40,SMALL(IF($AM$7:$AM$40&lt;&gt;"",IF($AJ$7:$AJ$40&lt;&gt;"",ROW($AJ$7:$AJ$40)-MIN(ROW($AJ$7:$AJ$40))+1,""),""),ROW()-ROW(A$43)+1))),),"")</f>
        <v>0</v>
      </c>
    </row>
    <row r="60" spans="11:38">
      <c r="K60">
        <f t="array" ref="K60">IFERROR(CONCATENATE(TEXT(INDEX($K$7:$K$40,SMALL(IF($N$7:$N$40&lt;&gt;"",IF($K$7:$K$40&lt;&gt;"",ROW($K$7:$K$40)-MIN(ROW($K$7:$K$40))+1,""),""),ROW()-ROW(A$43)+1)),"##0"),","),"")</f>
        <v>0</v>
      </c>
      <c r="L60">
        <f t="array" ref="L60">IFERROR(CONCATENATE((INDEX($N$7:$N$40,SMALL(IF($N$7:$N$40&lt;&gt;"",IF($K$7:$K$40&lt;&gt;"",ROW($K$7:$K$40)-MIN(ROW($K$7:$K$40))+1,""),""),ROW()-ROW(A$43)+1))),","),"")</f>
        <v>0</v>
      </c>
      <c r="M60">
        <f t="array" ref="M60">IFERROR(CONCATENATE((INDEX($A$7:$A$40,SMALL(IF($N$7:$N$40&lt;&gt;"",IF($K$7:$K$40&lt;&gt;"",ROW($K$7:$K$40)-MIN(ROW($K$7:$K$40))+1,""),""),ROW()-ROW(A$43)+1))),),"")</f>
        <v>0</v>
      </c>
      <c r="P60">
        <f t="array" ref="P60">IFERROR(CONCATENATE((INDEX($S$7:$S$40,SMALL(IF($S$7:$S$40&lt;&gt;"",IF($P$7:$P$40&lt;&gt;"",ROW($P$7:$P$40)-MIN(ROW($P$7:$P$40))+1,""),""),ROW()-ROW(A$43)+1)))," "),"")</f>
        <v>0</v>
      </c>
      <c r="Q60">
        <f t="array" ref="Q60">IFERROR(CONCATENATE(TEXT(INDEX($P$7:$P$40,SMALL(IF($S$7:$S$40&lt;&gt;"",IF($P$7:$P$40&lt;&gt;"",ROW($P$7:$P$40)-MIN(ROW($P$7:$P$40))+1,""),""),ROW()-ROW(A$43)+1)),"##0")," "),"")</f>
        <v>0</v>
      </c>
      <c r="R60">
        <f t="array" ref="R60">IFERROR(CONCATENATE((INDEX($A$7:$A$40,SMALL(IF($S$7:$S$40&lt;&gt;"",IF($P$7:$P$40&lt;&gt;"",ROW($P$7:$P$40)-MIN(ROW($P$7:$P$40))+1,""),""),ROW()-ROW(A$43)+1))),),"")</f>
        <v>0</v>
      </c>
      <c r="U60">
        <f t="array" ref="U60">IFERROR(CONCATENATE((INDEX($X$7:$X$40,SMALL(IF($X$7:$X$40&lt;&gt;"",IF($U$7:$U$40&lt;&gt;"",ROW($U$7:$U$40)-MIN(ROW($U$7:$U$40))+1,""),""),ROW()-ROW(A$43)+1)))," "),"")</f>
        <v>0</v>
      </c>
      <c r="V60">
        <f t="array" ref="V60">IFERROR(CONCATENATE(TEXT(INDEX($U$7:$U$40,SMALL(IF($X$7:$X$40&lt;&gt;"",IF($U$7:$U$40&lt;&gt;"",ROW($U$7:$U$40)-MIN(ROW($U$7:$U$40))+1,""),""),ROW()-ROW(A$43)+1)),"##0")," "),"")</f>
        <v>0</v>
      </c>
      <c r="W60">
        <f t="array" ref="W60">IFERROR(CONCATENATE((INDEX($A$7:$A$40,SMALL(IF($X$7:$X$40&lt;&gt;"",IF($U$7:$U$40&lt;&gt;"",ROW($U$7:$U$40)-MIN(ROW($U$7:$U$40))+1,""),""),ROW()-ROW(A$43)+1))),),"")</f>
        <v>0</v>
      </c>
      <c r="Z60">
        <f t="array" ref="Z60">IFERROR(CONCATENATE((INDEX($AC$7:$AC$40,SMALL(IF($AC$7:$AC$40&lt;&gt;"",IF($Z$7:$Z$40&lt;&gt;"",ROW($Z$7:$Z$40)-MIN(ROW($Z$7:$Z$40))+1,""),""),ROW()-ROW(A$43)+1))),","),"")</f>
        <v>0</v>
      </c>
      <c r="AA60">
        <f t="array" ref="AA60">IFERROR(CONCATENATE(TEXT(INDEX($Z$7:$Z$40,SMALL(IF($AC$7:$AC$40&lt;&gt;"",IF($Z$7:$Z$40&lt;&gt;"",ROW($Z$7:$Z$40)-MIN(ROW($Z$7:$Z$40))+1,""),""),ROW()-ROW(A$43)+1)),"##0"),","),"")</f>
        <v>0</v>
      </c>
      <c r="AB60">
        <f t="array" ref="AB60">IFERROR(CONCATENATE((INDEX($A$7:$A$40,SMALL(IF($AC$7:$AC$40&lt;&gt;"",IF($Z$7:$Z$40&lt;&gt;"",ROW($Z$7:$Z$40)-MIN(ROW($Z$7:$Z$40))+1,""),""),ROW()-ROW(A$43)+1))),),"")</f>
        <v>0</v>
      </c>
      <c r="AE60">
        <f t="array" ref="AE60">IFERROR(CONCATENATE((INDEX($AH$7:$AH$40,SMALL(IF($AH$7:$AH$40&lt;&gt;"",IF($AE$7:$AE$40&lt;&gt;"",ROW($AE$7:$AE$40)-MIN(ROW($AE$7:$AE$40))+1,""),""),ROW()-ROW(A$43)+1)))," "),"")</f>
        <v>0</v>
      </c>
      <c r="AF60">
        <f t="array" ref="AF60">IFERROR(CONCATENATE(TEXT(INDEX($AE$7:$AE$40,SMALL(IF($AH$7:$AH$40&lt;&gt;"",IF($AE$7:$AE$40&lt;&gt;"",ROW($AE$7:$AE$40)-MIN(ROW($AE$7:$AE$40))+1,""),""),ROW()-ROW(A$43)+1)),"##0")," "),"")</f>
        <v>0</v>
      </c>
      <c r="AG60">
        <f t="array" ref="AG60">IFERROR(CONCATENATE((INDEX($A$7:$A$40,SMALL(IF($AH$7:$AH$40&lt;&gt;"",IF($AE$7:$AE$40&lt;&gt;"",ROW($AE$7:$AE$40)-MIN(ROW($AE$7:$AE$40))+1,""),""),ROW()-ROW(A$43)+1))),),"")</f>
        <v>0</v>
      </c>
      <c r="AJ60">
        <f t="array" ref="AJ60">IFERROR(CONCATENATE((INDEX($AM$7:$AM$40,SMALL(IF($AM$7:$AM$40&lt;&gt;"",IF($AJ$7:$AJ$40&lt;&gt;"",ROW($AJ$7:$AJ$40)-MIN(ROW($AJ$7:$AJ$40))+1,""),""),ROW()-ROW(A$43)+1)))," "),"")</f>
        <v>0</v>
      </c>
      <c r="AK60">
        <f t="array" ref="AK60">IFERROR(CONCATENATE(TEXT(INDEX($AJ$7:$AJ$40,SMALL(IF($AM$7:$AM$40&lt;&gt;"",IF($AJ$7:$AJ$40&lt;&gt;"",ROW($AJ$7:$AJ$40)-MIN(ROW($AJ$7:$AJ$40))+1,""),""),ROW()-ROW(A$43)+1)),"##0")," "),"")</f>
        <v>0</v>
      </c>
      <c r="AL60">
        <f t="array" ref="AL60">IFERROR(CONCATENATE((INDEX($A$7:$A$40,SMALL(IF($AM$7:$AM$40&lt;&gt;"",IF($AJ$7:$AJ$40&lt;&gt;"",ROW($AJ$7:$AJ$40)-MIN(ROW($AJ$7:$AJ$40))+1,""),""),ROW()-ROW(A$43)+1))),),"")</f>
        <v>0</v>
      </c>
    </row>
    <row r="61" spans="11:38">
      <c r="K61">
        <f t="array" ref="K61">IFERROR(CONCATENATE(TEXT(INDEX($K$7:$K$40,SMALL(IF($N$7:$N$40&lt;&gt;"",IF($K$7:$K$40&lt;&gt;"",ROW($K$7:$K$40)-MIN(ROW($K$7:$K$40))+1,""),""),ROW()-ROW(A$43)+1)),"##0"),","),"")</f>
        <v>0</v>
      </c>
      <c r="L61">
        <f t="array" ref="L61">IFERROR(CONCATENATE((INDEX($N$7:$N$40,SMALL(IF($N$7:$N$40&lt;&gt;"",IF($K$7:$K$40&lt;&gt;"",ROW($K$7:$K$40)-MIN(ROW($K$7:$K$40))+1,""),""),ROW()-ROW(A$43)+1))),","),"")</f>
        <v>0</v>
      </c>
      <c r="M61">
        <f t="array" ref="M61">IFERROR(CONCATENATE((INDEX($A$7:$A$40,SMALL(IF($N$7:$N$40&lt;&gt;"",IF($K$7:$K$40&lt;&gt;"",ROW($K$7:$K$40)-MIN(ROW($K$7:$K$40))+1,""),""),ROW()-ROW(A$43)+1))),),"")</f>
        <v>0</v>
      </c>
      <c r="P61">
        <f t="array" ref="P61">IFERROR(CONCATENATE((INDEX($S$7:$S$40,SMALL(IF($S$7:$S$40&lt;&gt;"",IF($P$7:$P$40&lt;&gt;"",ROW($P$7:$P$40)-MIN(ROW($P$7:$P$40))+1,""),""),ROW()-ROW(A$43)+1)))," "),"")</f>
        <v>0</v>
      </c>
      <c r="Q61">
        <f t="array" ref="Q61">IFERROR(CONCATENATE(TEXT(INDEX($P$7:$P$40,SMALL(IF($S$7:$S$40&lt;&gt;"",IF($P$7:$P$40&lt;&gt;"",ROW($P$7:$P$40)-MIN(ROW($P$7:$P$40))+1,""),""),ROW()-ROW(A$43)+1)),"##0")," "),"")</f>
        <v>0</v>
      </c>
      <c r="R61">
        <f t="array" ref="R61">IFERROR(CONCATENATE((INDEX($A$7:$A$40,SMALL(IF($S$7:$S$40&lt;&gt;"",IF($P$7:$P$40&lt;&gt;"",ROW($P$7:$P$40)-MIN(ROW($P$7:$P$40))+1,""),""),ROW()-ROW(A$43)+1))),),"")</f>
        <v>0</v>
      </c>
      <c r="U61">
        <f t="array" ref="U61">IFERROR(CONCATENATE((INDEX($X$7:$X$40,SMALL(IF($X$7:$X$40&lt;&gt;"",IF($U$7:$U$40&lt;&gt;"",ROW($U$7:$U$40)-MIN(ROW($U$7:$U$40))+1,""),""),ROW()-ROW(A$43)+1)))," "),"")</f>
        <v>0</v>
      </c>
      <c r="V61">
        <f t="array" ref="V61">IFERROR(CONCATENATE(TEXT(INDEX($U$7:$U$40,SMALL(IF($X$7:$X$40&lt;&gt;"",IF($U$7:$U$40&lt;&gt;"",ROW($U$7:$U$40)-MIN(ROW($U$7:$U$40))+1,""),""),ROW()-ROW(A$43)+1)),"##0")," "),"")</f>
        <v>0</v>
      </c>
      <c r="W61">
        <f t="array" ref="W61">IFERROR(CONCATENATE((INDEX($A$7:$A$40,SMALL(IF($X$7:$X$40&lt;&gt;"",IF($U$7:$U$40&lt;&gt;"",ROW($U$7:$U$40)-MIN(ROW($U$7:$U$40))+1,""),""),ROW()-ROW(A$43)+1))),),"")</f>
        <v>0</v>
      </c>
      <c r="Z61">
        <f t="array" ref="Z61">IFERROR(CONCATENATE((INDEX($AC$7:$AC$40,SMALL(IF($AC$7:$AC$40&lt;&gt;"",IF($Z$7:$Z$40&lt;&gt;"",ROW($Z$7:$Z$40)-MIN(ROW($Z$7:$Z$40))+1,""),""),ROW()-ROW(A$43)+1))),","),"")</f>
        <v>0</v>
      </c>
      <c r="AA61">
        <f t="array" ref="AA61">IFERROR(CONCATENATE(TEXT(INDEX($Z$7:$Z$40,SMALL(IF($AC$7:$AC$40&lt;&gt;"",IF($Z$7:$Z$40&lt;&gt;"",ROW($Z$7:$Z$40)-MIN(ROW($Z$7:$Z$40))+1,""),""),ROW()-ROW(A$43)+1)),"##0"),","),"")</f>
        <v>0</v>
      </c>
      <c r="AB61">
        <f t="array" ref="AB61">IFERROR(CONCATENATE((INDEX($A$7:$A$40,SMALL(IF($AC$7:$AC$40&lt;&gt;"",IF($Z$7:$Z$40&lt;&gt;"",ROW($Z$7:$Z$40)-MIN(ROW($Z$7:$Z$40))+1,""),""),ROW()-ROW(A$43)+1))),),"")</f>
        <v>0</v>
      </c>
      <c r="AE61">
        <f t="array" ref="AE61">IFERROR(CONCATENATE((INDEX($AH$7:$AH$40,SMALL(IF($AH$7:$AH$40&lt;&gt;"",IF($AE$7:$AE$40&lt;&gt;"",ROW($AE$7:$AE$40)-MIN(ROW($AE$7:$AE$40))+1,""),""),ROW()-ROW(A$43)+1)))," "),"")</f>
        <v>0</v>
      </c>
      <c r="AF61">
        <f t="array" ref="AF61">IFERROR(CONCATENATE(TEXT(INDEX($AE$7:$AE$40,SMALL(IF($AH$7:$AH$40&lt;&gt;"",IF($AE$7:$AE$40&lt;&gt;"",ROW($AE$7:$AE$40)-MIN(ROW($AE$7:$AE$40))+1,""),""),ROW()-ROW(A$43)+1)),"##0")," "),"")</f>
        <v>0</v>
      </c>
      <c r="AG61">
        <f t="array" ref="AG61">IFERROR(CONCATENATE((INDEX($A$7:$A$40,SMALL(IF($AH$7:$AH$40&lt;&gt;"",IF($AE$7:$AE$40&lt;&gt;"",ROW($AE$7:$AE$40)-MIN(ROW($AE$7:$AE$40))+1,""),""),ROW()-ROW(A$43)+1))),),"")</f>
        <v>0</v>
      </c>
      <c r="AJ61">
        <f t="array" ref="AJ61">IFERROR(CONCATENATE((INDEX($AM$7:$AM$40,SMALL(IF($AM$7:$AM$40&lt;&gt;"",IF($AJ$7:$AJ$40&lt;&gt;"",ROW($AJ$7:$AJ$40)-MIN(ROW($AJ$7:$AJ$40))+1,""),""),ROW()-ROW(A$43)+1)))," "),"")</f>
        <v>0</v>
      </c>
      <c r="AK61">
        <f t="array" ref="AK61">IFERROR(CONCATENATE(TEXT(INDEX($AJ$7:$AJ$40,SMALL(IF($AM$7:$AM$40&lt;&gt;"",IF($AJ$7:$AJ$40&lt;&gt;"",ROW($AJ$7:$AJ$40)-MIN(ROW($AJ$7:$AJ$40))+1,""),""),ROW()-ROW(A$43)+1)),"##0")," "),"")</f>
        <v>0</v>
      </c>
      <c r="AL61">
        <f t="array" ref="AL61">IFERROR(CONCATENATE((INDEX($A$7:$A$40,SMALL(IF($AM$7:$AM$40&lt;&gt;"",IF($AJ$7:$AJ$40&lt;&gt;"",ROW($AJ$7:$AJ$40)-MIN(ROW($AJ$7:$AJ$40))+1,""),""),ROW()-ROW(A$43)+1))),),"")</f>
        <v>0</v>
      </c>
    </row>
    <row r="62" spans="11:38">
      <c r="K62">
        <f t="array" ref="K62">IFERROR(CONCATENATE(TEXT(INDEX($K$7:$K$40,SMALL(IF($N$7:$N$40&lt;&gt;"",IF($K$7:$K$40&lt;&gt;"",ROW($K$7:$K$40)-MIN(ROW($K$7:$K$40))+1,""),""),ROW()-ROW(A$43)+1)),"##0"),","),"")</f>
        <v>0</v>
      </c>
      <c r="L62">
        <f t="array" ref="L62">IFERROR(CONCATENATE((INDEX($N$7:$N$40,SMALL(IF($N$7:$N$40&lt;&gt;"",IF($K$7:$K$40&lt;&gt;"",ROW($K$7:$K$40)-MIN(ROW($K$7:$K$40))+1,""),""),ROW()-ROW(A$43)+1))),","),"")</f>
        <v>0</v>
      </c>
      <c r="M62">
        <f t="array" ref="M62">IFERROR(CONCATENATE((INDEX($A$7:$A$40,SMALL(IF($N$7:$N$40&lt;&gt;"",IF($K$7:$K$40&lt;&gt;"",ROW($K$7:$K$40)-MIN(ROW($K$7:$K$40))+1,""),""),ROW()-ROW(A$43)+1))),),"")</f>
        <v>0</v>
      </c>
      <c r="P62">
        <f t="array" ref="P62">IFERROR(CONCATENATE((INDEX($S$7:$S$40,SMALL(IF($S$7:$S$40&lt;&gt;"",IF($P$7:$P$40&lt;&gt;"",ROW($P$7:$P$40)-MIN(ROW($P$7:$P$40))+1,""),""),ROW()-ROW(A$43)+1)))," "),"")</f>
        <v>0</v>
      </c>
      <c r="Q62">
        <f t="array" ref="Q62">IFERROR(CONCATENATE(TEXT(INDEX($P$7:$P$40,SMALL(IF($S$7:$S$40&lt;&gt;"",IF($P$7:$P$40&lt;&gt;"",ROW($P$7:$P$40)-MIN(ROW($P$7:$P$40))+1,""),""),ROW()-ROW(A$43)+1)),"##0")," "),"")</f>
        <v>0</v>
      </c>
      <c r="R62">
        <f t="array" ref="R62">IFERROR(CONCATENATE((INDEX($A$7:$A$40,SMALL(IF($S$7:$S$40&lt;&gt;"",IF($P$7:$P$40&lt;&gt;"",ROW($P$7:$P$40)-MIN(ROW($P$7:$P$40))+1,""),""),ROW()-ROW(A$43)+1))),),"")</f>
        <v>0</v>
      </c>
      <c r="U62">
        <f t="array" ref="U62">IFERROR(CONCATENATE((INDEX($X$7:$X$40,SMALL(IF($X$7:$X$40&lt;&gt;"",IF($U$7:$U$40&lt;&gt;"",ROW($U$7:$U$40)-MIN(ROW($U$7:$U$40))+1,""),""),ROW()-ROW(A$43)+1)))," "),"")</f>
        <v>0</v>
      </c>
      <c r="V62">
        <f t="array" ref="V62">IFERROR(CONCATENATE(TEXT(INDEX($U$7:$U$40,SMALL(IF($X$7:$X$40&lt;&gt;"",IF($U$7:$U$40&lt;&gt;"",ROW($U$7:$U$40)-MIN(ROW($U$7:$U$40))+1,""),""),ROW()-ROW(A$43)+1)),"##0")," "),"")</f>
        <v>0</v>
      </c>
      <c r="W62">
        <f t="array" ref="W62">IFERROR(CONCATENATE((INDEX($A$7:$A$40,SMALL(IF($X$7:$X$40&lt;&gt;"",IF($U$7:$U$40&lt;&gt;"",ROW($U$7:$U$40)-MIN(ROW($U$7:$U$40))+1,""),""),ROW()-ROW(A$43)+1))),),"")</f>
        <v>0</v>
      </c>
      <c r="Z62">
        <f t="array" ref="Z62">IFERROR(CONCATENATE((INDEX($AC$7:$AC$40,SMALL(IF($AC$7:$AC$40&lt;&gt;"",IF($Z$7:$Z$40&lt;&gt;"",ROW($Z$7:$Z$40)-MIN(ROW($Z$7:$Z$40))+1,""),""),ROW()-ROW(A$43)+1))),","),"")</f>
        <v>0</v>
      </c>
      <c r="AA62">
        <f t="array" ref="AA62">IFERROR(CONCATENATE(TEXT(INDEX($Z$7:$Z$40,SMALL(IF($AC$7:$AC$40&lt;&gt;"",IF($Z$7:$Z$40&lt;&gt;"",ROW($Z$7:$Z$40)-MIN(ROW($Z$7:$Z$40))+1,""),""),ROW()-ROW(A$43)+1)),"##0"),","),"")</f>
        <v>0</v>
      </c>
      <c r="AB62">
        <f t="array" ref="AB62">IFERROR(CONCATENATE((INDEX($A$7:$A$40,SMALL(IF($AC$7:$AC$40&lt;&gt;"",IF($Z$7:$Z$40&lt;&gt;"",ROW($Z$7:$Z$40)-MIN(ROW($Z$7:$Z$40))+1,""),""),ROW()-ROW(A$43)+1))),),"")</f>
        <v>0</v>
      </c>
      <c r="AE62">
        <f t="array" ref="AE62">IFERROR(CONCATENATE((INDEX($AH$7:$AH$40,SMALL(IF($AH$7:$AH$40&lt;&gt;"",IF($AE$7:$AE$40&lt;&gt;"",ROW($AE$7:$AE$40)-MIN(ROW($AE$7:$AE$40))+1,""),""),ROW()-ROW(A$43)+1)))," "),"")</f>
        <v>0</v>
      </c>
      <c r="AF62">
        <f t="array" ref="AF62">IFERROR(CONCATENATE(TEXT(INDEX($AE$7:$AE$40,SMALL(IF($AH$7:$AH$40&lt;&gt;"",IF($AE$7:$AE$40&lt;&gt;"",ROW($AE$7:$AE$40)-MIN(ROW($AE$7:$AE$40))+1,""),""),ROW()-ROW(A$43)+1)),"##0")," "),"")</f>
        <v>0</v>
      </c>
      <c r="AG62">
        <f t="array" ref="AG62">IFERROR(CONCATENATE((INDEX($A$7:$A$40,SMALL(IF($AH$7:$AH$40&lt;&gt;"",IF($AE$7:$AE$40&lt;&gt;"",ROW($AE$7:$AE$40)-MIN(ROW($AE$7:$AE$40))+1,""),""),ROW()-ROW(A$43)+1))),),"")</f>
        <v>0</v>
      </c>
      <c r="AJ62">
        <f t="array" ref="AJ62">IFERROR(CONCATENATE((INDEX($AM$7:$AM$40,SMALL(IF($AM$7:$AM$40&lt;&gt;"",IF($AJ$7:$AJ$40&lt;&gt;"",ROW($AJ$7:$AJ$40)-MIN(ROW($AJ$7:$AJ$40))+1,""),""),ROW()-ROW(A$43)+1)))," "),"")</f>
        <v>0</v>
      </c>
      <c r="AK62">
        <f t="array" ref="AK62">IFERROR(CONCATENATE(TEXT(INDEX($AJ$7:$AJ$40,SMALL(IF($AM$7:$AM$40&lt;&gt;"",IF($AJ$7:$AJ$40&lt;&gt;"",ROW($AJ$7:$AJ$40)-MIN(ROW($AJ$7:$AJ$40))+1,""),""),ROW()-ROW(A$43)+1)),"##0")," "),"")</f>
        <v>0</v>
      </c>
      <c r="AL62">
        <f t="array" ref="AL62">IFERROR(CONCATENATE((INDEX($A$7:$A$40,SMALL(IF($AM$7:$AM$40&lt;&gt;"",IF($AJ$7:$AJ$40&lt;&gt;"",ROW($AJ$7:$AJ$40)-MIN(ROW($AJ$7:$AJ$40))+1,""),""),ROW()-ROW(A$43)+1))),),"")</f>
        <v>0</v>
      </c>
    </row>
    <row r="63" spans="11:38">
      <c r="K63">
        <f t="array" ref="K63">IFERROR(CONCATENATE(TEXT(INDEX($K$7:$K$40,SMALL(IF($N$7:$N$40&lt;&gt;"",IF($K$7:$K$40&lt;&gt;"",ROW($K$7:$K$40)-MIN(ROW($K$7:$K$40))+1,""),""),ROW()-ROW(A$43)+1)),"##0"),","),"")</f>
        <v>0</v>
      </c>
      <c r="L63">
        <f t="array" ref="L63">IFERROR(CONCATENATE((INDEX($N$7:$N$40,SMALL(IF($N$7:$N$40&lt;&gt;"",IF($K$7:$K$40&lt;&gt;"",ROW($K$7:$K$40)-MIN(ROW($K$7:$K$40))+1,""),""),ROW()-ROW(A$43)+1))),","),"")</f>
        <v>0</v>
      </c>
      <c r="M63">
        <f t="array" ref="M63">IFERROR(CONCATENATE((INDEX($A$7:$A$40,SMALL(IF($N$7:$N$40&lt;&gt;"",IF($K$7:$K$40&lt;&gt;"",ROW($K$7:$K$40)-MIN(ROW($K$7:$K$40))+1,""),""),ROW()-ROW(A$43)+1))),),"")</f>
        <v>0</v>
      </c>
      <c r="P63">
        <f t="array" ref="P63">IFERROR(CONCATENATE((INDEX($S$7:$S$40,SMALL(IF($S$7:$S$40&lt;&gt;"",IF($P$7:$P$40&lt;&gt;"",ROW($P$7:$P$40)-MIN(ROW($P$7:$P$40))+1,""),""),ROW()-ROW(A$43)+1)))," "),"")</f>
        <v>0</v>
      </c>
      <c r="Q63">
        <f t="array" ref="Q63">IFERROR(CONCATENATE(TEXT(INDEX($P$7:$P$40,SMALL(IF($S$7:$S$40&lt;&gt;"",IF($P$7:$P$40&lt;&gt;"",ROW($P$7:$P$40)-MIN(ROW($P$7:$P$40))+1,""),""),ROW()-ROW(A$43)+1)),"##0")," "),"")</f>
        <v>0</v>
      </c>
      <c r="R63">
        <f t="array" ref="R63">IFERROR(CONCATENATE((INDEX($A$7:$A$40,SMALL(IF($S$7:$S$40&lt;&gt;"",IF($P$7:$P$40&lt;&gt;"",ROW($P$7:$P$40)-MIN(ROW($P$7:$P$40))+1,""),""),ROW()-ROW(A$43)+1))),),"")</f>
        <v>0</v>
      </c>
      <c r="U63">
        <f t="array" ref="U63">IFERROR(CONCATENATE((INDEX($X$7:$X$40,SMALL(IF($X$7:$X$40&lt;&gt;"",IF($U$7:$U$40&lt;&gt;"",ROW($U$7:$U$40)-MIN(ROW($U$7:$U$40))+1,""),""),ROW()-ROW(A$43)+1)))," "),"")</f>
        <v>0</v>
      </c>
      <c r="V63">
        <f t="array" ref="V63">IFERROR(CONCATENATE(TEXT(INDEX($U$7:$U$40,SMALL(IF($X$7:$X$40&lt;&gt;"",IF($U$7:$U$40&lt;&gt;"",ROW($U$7:$U$40)-MIN(ROW($U$7:$U$40))+1,""),""),ROW()-ROW(A$43)+1)),"##0")," "),"")</f>
        <v>0</v>
      </c>
      <c r="W63">
        <f t="array" ref="W63">IFERROR(CONCATENATE((INDEX($A$7:$A$40,SMALL(IF($X$7:$X$40&lt;&gt;"",IF($U$7:$U$40&lt;&gt;"",ROW($U$7:$U$40)-MIN(ROW($U$7:$U$40))+1,""),""),ROW()-ROW(A$43)+1))),),"")</f>
        <v>0</v>
      </c>
      <c r="Z63">
        <f t="array" ref="Z63">IFERROR(CONCATENATE((INDEX($AC$7:$AC$40,SMALL(IF($AC$7:$AC$40&lt;&gt;"",IF($Z$7:$Z$40&lt;&gt;"",ROW($Z$7:$Z$40)-MIN(ROW($Z$7:$Z$40))+1,""),""),ROW()-ROW(A$43)+1))),","),"")</f>
        <v>0</v>
      </c>
      <c r="AA63">
        <f t="array" ref="AA63">IFERROR(CONCATENATE(TEXT(INDEX($Z$7:$Z$40,SMALL(IF($AC$7:$AC$40&lt;&gt;"",IF($Z$7:$Z$40&lt;&gt;"",ROW($Z$7:$Z$40)-MIN(ROW($Z$7:$Z$40))+1,""),""),ROW()-ROW(A$43)+1)),"##0"),","),"")</f>
        <v>0</v>
      </c>
      <c r="AB63">
        <f t="array" ref="AB63">IFERROR(CONCATENATE((INDEX($A$7:$A$40,SMALL(IF($AC$7:$AC$40&lt;&gt;"",IF($Z$7:$Z$40&lt;&gt;"",ROW($Z$7:$Z$40)-MIN(ROW($Z$7:$Z$40))+1,""),""),ROW()-ROW(A$43)+1))),),"")</f>
        <v>0</v>
      </c>
      <c r="AE63">
        <f t="array" ref="AE63">IFERROR(CONCATENATE((INDEX($AH$7:$AH$40,SMALL(IF($AH$7:$AH$40&lt;&gt;"",IF($AE$7:$AE$40&lt;&gt;"",ROW($AE$7:$AE$40)-MIN(ROW($AE$7:$AE$40))+1,""),""),ROW()-ROW(A$43)+1)))," "),"")</f>
        <v>0</v>
      </c>
      <c r="AF63">
        <f t="array" ref="AF63">IFERROR(CONCATENATE(TEXT(INDEX($AE$7:$AE$40,SMALL(IF($AH$7:$AH$40&lt;&gt;"",IF($AE$7:$AE$40&lt;&gt;"",ROW($AE$7:$AE$40)-MIN(ROW($AE$7:$AE$40))+1,""),""),ROW()-ROW(A$43)+1)),"##0")," "),"")</f>
        <v>0</v>
      </c>
      <c r="AG63">
        <f t="array" ref="AG63">IFERROR(CONCATENATE((INDEX($A$7:$A$40,SMALL(IF($AH$7:$AH$40&lt;&gt;"",IF($AE$7:$AE$40&lt;&gt;"",ROW($AE$7:$AE$40)-MIN(ROW($AE$7:$AE$40))+1,""),""),ROW()-ROW(A$43)+1))),),"")</f>
        <v>0</v>
      </c>
      <c r="AJ63">
        <f t="array" ref="AJ63">IFERROR(CONCATENATE((INDEX($AM$7:$AM$40,SMALL(IF($AM$7:$AM$40&lt;&gt;"",IF($AJ$7:$AJ$40&lt;&gt;"",ROW($AJ$7:$AJ$40)-MIN(ROW($AJ$7:$AJ$40))+1,""),""),ROW()-ROW(A$43)+1)))," "),"")</f>
        <v>0</v>
      </c>
      <c r="AK63">
        <f t="array" ref="AK63">IFERROR(CONCATENATE(TEXT(INDEX($AJ$7:$AJ$40,SMALL(IF($AM$7:$AM$40&lt;&gt;"",IF($AJ$7:$AJ$40&lt;&gt;"",ROW($AJ$7:$AJ$40)-MIN(ROW($AJ$7:$AJ$40))+1,""),""),ROW()-ROW(A$43)+1)),"##0")," "),"")</f>
        <v>0</v>
      </c>
      <c r="AL63">
        <f t="array" ref="AL63">IFERROR(CONCATENATE((INDEX($A$7:$A$40,SMALL(IF($AM$7:$AM$40&lt;&gt;"",IF($AJ$7:$AJ$40&lt;&gt;"",ROW($AJ$7:$AJ$40)-MIN(ROW($AJ$7:$AJ$40))+1,""),""),ROW()-ROW(A$43)+1))),),"")</f>
        <v>0</v>
      </c>
    </row>
    <row r="64" spans="11:38">
      <c r="K64">
        <f t="array" ref="K64">IFERROR(CONCATENATE(TEXT(INDEX($K$7:$K$40,SMALL(IF($N$7:$N$40&lt;&gt;"",IF($K$7:$K$40&lt;&gt;"",ROW($K$7:$K$40)-MIN(ROW($K$7:$K$40))+1,""),""),ROW()-ROW(A$43)+1)),"##0"),","),"")</f>
        <v>0</v>
      </c>
      <c r="L64">
        <f t="array" ref="L64">IFERROR(CONCATENATE((INDEX($N$7:$N$40,SMALL(IF($N$7:$N$40&lt;&gt;"",IF($K$7:$K$40&lt;&gt;"",ROW($K$7:$K$40)-MIN(ROW($K$7:$K$40))+1,""),""),ROW()-ROW(A$43)+1))),","),"")</f>
        <v>0</v>
      </c>
      <c r="M64">
        <f t="array" ref="M64">IFERROR(CONCATENATE((INDEX($A$7:$A$40,SMALL(IF($N$7:$N$40&lt;&gt;"",IF($K$7:$K$40&lt;&gt;"",ROW($K$7:$K$40)-MIN(ROW($K$7:$K$40))+1,""),""),ROW()-ROW(A$43)+1))),),"")</f>
        <v>0</v>
      </c>
      <c r="P64">
        <f t="array" ref="P64">IFERROR(CONCATENATE((INDEX($S$7:$S$40,SMALL(IF($S$7:$S$40&lt;&gt;"",IF($P$7:$P$40&lt;&gt;"",ROW($P$7:$P$40)-MIN(ROW($P$7:$P$40))+1,""),""),ROW()-ROW(A$43)+1)))," "),"")</f>
        <v>0</v>
      </c>
      <c r="Q64">
        <f t="array" ref="Q64">IFERROR(CONCATENATE(TEXT(INDEX($P$7:$P$40,SMALL(IF($S$7:$S$40&lt;&gt;"",IF($P$7:$P$40&lt;&gt;"",ROW($P$7:$P$40)-MIN(ROW($P$7:$P$40))+1,""),""),ROW()-ROW(A$43)+1)),"##0")," "),"")</f>
        <v>0</v>
      </c>
      <c r="R64">
        <f t="array" ref="R64">IFERROR(CONCATENATE((INDEX($A$7:$A$40,SMALL(IF($S$7:$S$40&lt;&gt;"",IF($P$7:$P$40&lt;&gt;"",ROW($P$7:$P$40)-MIN(ROW($P$7:$P$40))+1,""),""),ROW()-ROW(A$43)+1))),),"")</f>
        <v>0</v>
      </c>
      <c r="U64">
        <f t="array" ref="U64">IFERROR(CONCATENATE((INDEX($X$7:$X$40,SMALL(IF($X$7:$X$40&lt;&gt;"",IF($U$7:$U$40&lt;&gt;"",ROW($U$7:$U$40)-MIN(ROW($U$7:$U$40))+1,""),""),ROW()-ROW(A$43)+1)))," "),"")</f>
        <v>0</v>
      </c>
      <c r="V64">
        <f t="array" ref="V64">IFERROR(CONCATENATE(TEXT(INDEX($U$7:$U$40,SMALL(IF($X$7:$X$40&lt;&gt;"",IF($U$7:$U$40&lt;&gt;"",ROW($U$7:$U$40)-MIN(ROW($U$7:$U$40))+1,""),""),ROW()-ROW(A$43)+1)),"##0")," "),"")</f>
        <v>0</v>
      </c>
      <c r="W64">
        <f t="array" ref="W64">IFERROR(CONCATENATE((INDEX($A$7:$A$40,SMALL(IF($X$7:$X$40&lt;&gt;"",IF($U$7:$U$40&lt;&gt;"",ROW($U$7:$U$40)-MIN(ROW($U$7:$U$40))+1,""),""),ROW()-ROW(A$43)+1))),),"")</f>
        <v>0</v>
      </c>
      <c r="Z64">
        <f t="array" ref="Z64">IFERROR(CONCATENATE((INDEX($AC$7:$AC$40,SMALL(IF($AC$7:$AC$40&lt;&gt;"",IF($Z$7:$Z$40&lt;&gt;"",ROW($Z$7:$Z$40)-MIN(ROW($Z$7:$Z$40))+1,""),""),ROW()-ROW(A$43)+1))),","),"")</f>
        <v>0</v>
      </c>
      <c r="AA64">
        <f t="array" ref="AA64">IFERROR(CONCATENATE(TEXT(INDEX($Z$7:$Z$40,SMALL(IF($AC$7:$AC$40&lt;&gt;"",IF($Z$7:$Z$40&lt;&gt;"",ROW($Z$7:$Z$40)-MIN(ROW($Z$7:$Z$40))+1,""),""),ROW()-ROW(A$43)+1)),"##0"),","),"")</f>
        <v>0</v>
      </c>
      <c r="AB64">
        <f t="array" ref="AB64">IFERROR(CONCATENATE((INDEX($A$7:$A$40,SMALL(IF($AC$7:$AC$40&lt;&gt;"",IF($Z$7:$Z$40&lt;&gt;"",ROW($Z$7:$Z$40)-MIN(ROW($Z$7:$Z$40))+1,""),""),ROW()-ROW(A$43)+1))),),"")</f>
        <v>0</v>
      </c>
      <c r="AE64">
        <f t="array" ref="AE64">IFERROR(CONCATENATE((INDEX($AH$7:$AH$40,SMALL(IF($AH$7:$AH$40&lt;&gt;"",IF($AE$7:$AE$40&lt;&gt;"",ROW($AE$7:$AE$40)-MIN(ROW($AE$7:$AE$40))+1,""),""),ROW()-ROW(A$43)+1)))," "),"")</f>
        <v>0</v>
      </c>
      <c r="AF64">
        <f t="array" ref="AF64">IFERROR(CONCATENATE(TEXT(INDEX($AE$7:$AE$40,SMALL(IF($AH$7:$AH$40&lt;&gt;"",IF($AE$7:$AE$40&lt;&gt;"",ROW($AE$7:$AE$40)-MIN(ROW($AE$7:$AE$40))+1,""),""),ROW()-ROW(A$43)+1)),"##0")," "),"")</f>
        <v>0</v>
      </c>
      <c r="AG64">
        <f t="array" ref="AG64">IFERROR(CONCATENATE((INDEX($A$7:$A$40,SMALL(IF($AH$7:$AH$40&lt;&gt;"",IF($AE$7:$AE$40&lt;&gt;"",ROW($AE$7:$AE$40)-MIN(ROW($AE$7:$AE$40))+1,""),""),ROW()-ROW(A$43)+1))),),"")</f>
        <v>0</v>
      </c>
      <c r="AJ64">
        <f t="array" ref="AJ64">IFERROR(CONCATENATE((INDEX($AM$7:$AM$40,SMALL(IF($AM$7:$AM$40&lt;&gt;"",IF($AJ$7:$AJ$40&lt;&gt;"",ROW($AJ$7:$AJ$40)-MIN(ROW($AJ$7:$AJ$40))+1,""),""),ROW()-ROW(A$43)+1)))," "),"")</f>
        <v>0</v>
      </c>
      <c r="AK64">
        <f t="array" ref="AK64">IFERROR(CONCATENATE(TEXT(INDEX($AJ$7:$AJ$40,SMALL(IF($AM$7:$AM$40&lt;&gt;"",IF($AJ$7:$AJ$40&lt;&gt;"",ROW($AJ$7:$AJ$40)-MIN(ROW($AJ$7:$AJ$40))+1,""),""),ROW()-ROW(A$43)+1)),"##0")," "),"")</f>
        <v>0</v>
      </c>
      <c r="AL64">
        <f t="array" ref="AL64">IFERROR(CONCATENATE((INDEX($A$7:$A$40,SMALL(IF($AM$7:$AM$40&lt;&gt;"",IF($AJ$7:$AJ$40&lt;&gt;"",ROW($AJ$7:$AJ$40)-MIN(ROW($AJ$7:$AJ$40))+1,""),""),ROW()-ROW(A$43)+1))),),"")</f>
        <v>0</v>
      </c>
    </row>
    <row r="65" spans="11:38">
      <c r="K65">
        <f t="array" ref="K65">IFERROR(CONCATENATE(TEXT(INDEX($K$7:$K$40,SMALL(IF($N$7:$N$40&lt;&gt;"",IF($K$7:$K$40&lt;&gt;"",ROW($K$7:$K$40)-MIN(ROW($K$7:$K$40))+1,""),""),ROW()-ROW(A$43)+1)),"##0"),","),"")</f>
        <v>0</v>
      </c>
      <c r="L65">
        <f t="array" ref="L65">IFERROR(CONCATENATE((INDEX($N$7:$N$40,SMALL(IF($N$7:$N$40&lt;&gt;"",IF($K$7:$K$40&lt;&gt;"",ROW($K$7:$K$40)-MIN(ROW($K$7:$K$40))+1,""),""),ROW()-ROW(A$43)+1))),","),"")</f>
        <v>0</v>
      </c>
      <c r="M65">
        <f t="array" ref="M65">IFERROR(CONCATENATE((INDEX($A$7:$A$40,SMALL(IF($N$7:$N$40&lt;&gt;"",IF($K$7:$K$40&lt;&gt;"",ROW($K$7:$K$40)-MIN(ROW($K$7:$K$40))+1,""),""),ROW()-ROW(A$43)+1))),),"")</f>
        <v>0</v>
      </c>
      <c r="P65">
        <f t="array" ref="P65">IFERROR(CONCATENATE((INDEX($S$7:$S$40,SMALL(IF($S$7:$S$40&lt;&gt;"",IF($P$7:$P$40&lt;&gt;"",ROW($P$7:$P$40)-MIN(ROW($P$7:$P$40))+1,""),""),ROW()-ROW(A$43)+1)))," "),"")</f>
        <v>0</v>
      </c>
      <c r="Q65">
        <f t="array" ref="Q65">IFERROR(CONCATENATE(TEXT(INDEX($P$7:$P$40,SMALL(IF($S$7:$S$40&lt;&gt;"",IF($P$7:$P$40&lt;&gt;"",ROW($P$7:$P$40)-MIN(ROW($P$7:$P$40))+1,""),""),ROW()-ROW(A$43)+1)),"##0")," "),"")</f>
        <v>0</v>
      </c>
      <c r="R65">
        <f t="array" ref="R65">IFERROR(CONCATENATE((INDEX($A$7:$A$40,SMALL(IF($S$7:$S$40&lt;&gt;"",IF($P$7:$P$40&lt;&gt;"",ROW($P$7:$P$40)-MIN(ROW($P$7:$P$40))+1,""),""),ROW()-ROW(A$43)+1))),),"")</f>
        <v>0</v>
      </c>
      <c r="U65">
        <f t="array" ref="U65">IFERROR(CONCATENATE((INDEX($X$7:$X$40,SMALL(IF($X$7:$X$40&lt;&gt;"",IF($U$7:$U$40&lt;&gt;"",ROW($U$7:$U$40)-MIN(ROW($U$7:$U$40))+1,""),""),ROW()-ROW(A$43)+1)))," "),"")</f>
        <v>0</v>
      </c>
      <c r="V65">
        <f t="array" ref="V65">IFERROR(CONCATENATE(TEXT(INDEX($U$7:$U$40,SMALL(IF($X$7:$X$40&lt;&gt;"",IF($U$7:$U$40&lt;&gt;"",ROW($U$7:$U$40)-MIN(ROW($U$7:$U$40))+1,""),""),ROW()-ROW(A$43)+1)),"##0")," "),"")</f>
        <v>0</v>
      </c>
      <c r="W65">
        <f t="array" ref="W65">IFERROR(CONCATENATE((INDEX($A$7:$A$40,SMALL(IF($X$7:$X$40&lt;&gt;"",IF($U$7:$U$40&lt;&gt;"",ROW($U$7:$U$40)-MIN(ROW($U$7:$U$40))+1,""),""),ROW()-ROW(A$43)+1))),),"")</f>
        <v>0</v>
      </c>
      <c r="Z65">
        <f t="array" ref="Z65">IFERROR(CONCATENATE((INDEX($AC$7:$AC$40,SMALL(IF($AC$7:$AC$40&lt;&gt;"",IF($Z$7:$Z$40&lt;&gt;"",ROW($Z$7:$Z$40)-MIN(ROW($Z$7:$Z$40))+1,""),""),ROW()-ROW(A$43)+1))),","),"")</f>
        <v>0</v>
      </c>
      <c r="AA65">
        <f t="array" ref="AA65">IFERROR(CONCATENATE(TEXT(INDEX($Z$7:$Z$40,SMALL(IF($AC$7:$AC$40&lt;&gt;"",IF($Z$7:$Z$40&lt;&gt;"",ROW($Z$7:$Z$40)-MIN(ROW($Z$7:$Z$40))+1,""),""),ROW()-ROW(A$43)+1)),"##0"),","),"")</f>
        <v>0</v>
      </c>
      <c r="AB65">
        <f t="array" ref="AB65">IFERROR(CONCATENATE((INDEX($A$7:$A$40,SMALL(IF($AC$7:$AC$40&lt;&gt;"",IF($Z$7:$Z$40&lt;&gt;"",ROW($Z$7:$Z$40)-MIN(ROW($Z$7:$Z$40))+1,""),""),ROW()-ROW(A$43)+1))),),"")</f>
        <v>0</v>
      </c>
      <c r="AE65">
        <f t="array" ref="AE65">IFERROR(CONCATENATE((INDEX($AH$7:$AH$40,SMALL(IF($AH$7:$AH$40&lt;&gt;"",IF($AE$7:$AE$40&lt;&gt;"",ROW($AE$7:$AE$40)-MIN(ROW($AE$7:$AE$40))+1,""),""),ROW()-ROW(A$43)+1)))," "),"")</f>
        <v>0</v>
      </c>
      <c r="AF65">
        <f t="array" ref="AF65">IFERROR(CONCATENATE(TEXT(INDEX($AE$7:$AE$40,SMALL(IF($AH$7:$AH$40&lt;&gt;"",IF($AE$7:$AE$40&lt;&gt;"",ROW($AE$7:$AE$40)-MIN(ROW($AE$7:$AE$40))+1,""),""),ROW()-ROW(A$43)+1)),"##0")," "),"")</f>
        <v>0</v>
      </c>
      <c r="AG65">
        <f t="array" ref="AG65">IFERROR(CONCATENATE((INDEX($A$7:$A$40,SMALL(IF($AH$7:$AH$40&lt;&gt;"",IF($AE$7:$AE$40&lt;&gt;"",ROW($AE$7:$AE$40)-MIN(ROW($AE$7:$AE$40))+1,""),""),ROW()-ROW(A$43)+1))),),"")</f>
        <v>0</v>
      </c>
      <c r="AJ65">
        <f t="array" ref="AJ65">IFERROR(CONCATENATE((INDEX($AM$7:$AM$40,SMALL(IF($AM$7:$AM$40&lt;&gt;"",IF($AJ$7:$AJ$40&lt;&gt;"",ROW($AJ$7:$AJ$40)-MIN(ROW($AJ$7:$AJ$40))+1,""),""),ROW()-ROW(A$43)+1)))," "),"")</f>
        <v>0</v>
      </c>
      <c r="AK65">
        <f t="array" ref="AK65">IFERROR(CONCATENATE(TEXT(INDEX($AJ$7:$AJ$40,SMALL(IF($AM$7:$AM$40&lt;&gt;"",IF($AJ$7:$AJ$40&lt;&gt;"",ROW($AJ$7:$AJ$40)-MIN(ROW($AJ$7:$AJ$40))+1,""),""),ROW()-ROW(A$43)+1)),"##0")," "),"")</f>
        <v>0</v>
      </c>
      <c r="AL65">
        <f t="array" ref="AL65">IFERROR(CONCATENATE((INDEX($A$7:$A$40,SMALL(IF($AM$7:$AM$40&lt;&gt;"",IF($AJ$7:$AJ$40&lt;&gt;"",ROW($AJ$7:$AJ$40)-MIN(ROW($AJ$7:$AJ$40))+1,""),""),ROW()-ROW(A$43)+1))),),"")</f>
        <v>0</v>
      </c>
    </row>
    <row r="66" spans="11:38">
      <c r="K66">
        <f t="array" ref="K66">IFERROR(CONCATENATE(TEXT(INDEX($K$7:$K$40,SMALL(IF($N$7:$N$40&lt;&gt;"",IF($K$7:$K$40&lt;&gt;"",ROW($K$7:$K$40)-MIN(ROW($K$7:$K$40))+1,""),""),ROW()-ROW(A$43)+1)),"##0"),","),"")</f>
        <v>0</v>
      </c>
      <c r="L66">
        <f t="array" ref="L66">IFERROR(CONCATENATE((INDEX($N$7:$N$40,SMALL(IF($N$7:$N$40&lt;&gt;"",IF($K$7:$K$40&lt;&gt;"",ROW($K$7:$K$40)-MIN(ROW($K$7:$K$40))+1,""),""),ROW()-ROW(A$43)+1))),","),"")</f>
        <v>0</v>
      </c>
      <c r="M66">
        <f t="array" ref="M66">IFERROR(CONCATENATE((INDEX($A$7:$A$40,SMALL(IF($N$7:$N$40&lt;&gt;"",IF($K$7:$K$40&lt;&gt;"",ROW($K$7:$K$40)-MIN(ROW($K$7:$K$40))+1,""),""),ROW()-ROW(A$43)+1))),),"")</f>
        <v>0</v>
      </c>
      <c r="P66">
        <f t="array" ref="P66">IFERROR(CONCATENATE((INDEX($S$7:$S$40,SMALL(IF($S$7:$S$40&lt;&gt;"",IF($P$7:$P$40&lt;&gt;"",ROW($P$7:$P$40)-MIN(ROW($P$7:$P$40))+1,""),""),ROW()-ROW(A$43)+1)))," "),"")</f>
        <v>0</v>
      </c>
      <c r="Q66">
        <f t="array" ref="Q66">IFERROR(CONCATENATE(TEXT(INDEX($P$7:$P$40,SMALL(IF($S$7:$S$40&lt;&gt;"",IF($P$7:$P$40&lt;&gt;"",ROW($P$7:$P$40)-MIN(ROW($P$7:$P$40))+1,""),""),ROW()-ROW(A$43)+1)),"##0")," "),"")</f>
        <v>0</v>
      </c>
      <c r="R66">
        <f t="array" ref="R66">IFERROR(CONCATENATE((INDEX($A$7:$A$40,SMALL(IF($S$7:$S$40&lt;&gt;"",IF($P$7:$P$40&lt;&gt;"",ROW($P$7:$P$40)-MIN(ROW($P$7:$P$40))+1,""),""),ROW()-ROW(A$43)+1))),),"")</f>
        <v>0</v>
      </c>
      <c r="U66">
        <f t="array" ref="U66">IFERROR(CONCATENATE((INDEX($X$7:$X$40,SMALL(IF($X$7:$X$40&lt;&gt;"",IF($U$7:$U$40&lt;&gt;"",ROW($U$7:$U$40)-MIN(ROW($U$7:$U$40))+1,""),""),ROW()-ROW(A$43)+1)))," "),"")</f>
        <v>0</v>
      </c>
      <c r="V66">
        <f t="array" ref="V66">IFERROR(CONCATENATE(TEXT(INDEX($U$7:$U$40,SMALL(IF($X$7:$X$40&lt;&gt;"",IF($U$7:$U$40&lt;&gt;"",ROW($U$7:$U$40)-MIN(ROW($U$7:$U$40))+1,""),""),ROW()-ROW(A$43)+1)),"##0")," "),"")</f>
        <v>0</v>
      </c>
      <c r="W66">
        <f t="array" ref="W66">IFERROR(CONCATENATE((INDEX($A$7:$A$40,SMALL(IF($X$7:$X$40&lt;&gt;"",IF($U$7:$U$40&lt;&gt;"",ROW($U$7:$U$40)-MIN(ROW($U$7:$U$40))+1,""),""),ROW()-ROW(A$43)+1))),),"")</f>
        <v>0</v>
      </c>
      <c r="Z66">
        <f t="array" ref="Z66">IFERROR(CONCATENATE((INDEX($AC$7:$AC$40,SMALL(IF($AC$7:$AC$40&lt;&gt;"",IF($Z$7:$Z$40&lt;&gt;"",ROW($Z$7:$Z$40)-MIN(ROW($Z$7:$Z$40))+1,""),""),ROW()-ROW(A$43)+1))),","),"")</f>
        <v>0</v>
      </c>
      <c r="AA66">
        <f t="array" ref="AA66">IFERROR(CONCATENATE(TEXT(INDEX($Z$7:$Z$40,SMALL(IF($AC$7:$AC$40&lt;&gt;"",IF($Z$7:$Z$40&lt;&gt;"",ROW($Z$7:$Z$40)-MIN(ROW($Z$7:$Z$40))+1,""),""),ROW()-ROW(A$43)+1)),"##0"),","),"")</f>
        <v>0</v>
      </c>
      <c r="AB66">
        <f t="array" ref="AB66">IFERROR(CONCATENATE((INDEX($A$7:$A$40,SMALL(IF($AC$7:$AC$40&lt;&gt;"",IF($Z$7:$Z$40&lt;&gt;"",ROW($Z$7:$Z$40)-MIN(ROW($Z$7:$Z$40))+1,""),""),ROW()-ROW(A$43)+1))),),"")</f>
        <v>0</v>
      </c>
      <c r="AE66">
        <f t="array" ref="AE66">IFERROR(CONCATENATE((INDEX($AH$7:$AH$40,SMALL(IF($AH$7:$AH$40&lt;&gt;"",IF($AE$7:$AE$40&lt;&gt;"",ROW($AE$7:$AE$40)-MIN(ROW($AE$7:$AE$40))+1,""),""),ROW()-ROW(A$43)+1)))," "),"")</f>
        <v>0</v>
      </c>
      <c r="AF66">
        <f t="array" ref="AF66">IFERROR(CONCATENATE(TEXT(INDEX($AE$7:$AE$40,SMALL(IF($AH$7:$AH$40&lt;&gt;"",IF($AE$7:$AE$40&lt;&gt;"",ROW($AE$7:$AE$40)-MIN(ROW($AE$7:$AE$40))+1,""),""),ROW()-ROW(A$43)+1)),"##0")," "),"")</f>
        <v>0</v>
      </c>
      <c r="AG66">
        <f t="array" ref="AG66">IFERROR(CONCATENATE((INDEX($A$7:$A$40,SMALL(IF($AH$7:$AH$40&lt;&gt;"",IF($AE$7:$AE$40&lt;&gt;"",ROW($AE$7:$AE$40)-MIN(ROW($AE$7:$AE$40))+1,""),""),ROW()-ROW(A$43)+1))),),"")</f>
        <v>0</v>
      </c>
      <c r="AJ66">
        <f t="array" ref="AJ66">IFERROR(CONCATENATE((INDEX($AM$7:$AM$40,SMALL(IF($AM$7:$AM$40&lt;&gt;"",IF($AJ$7:$AJ$40&lt;&gt;"",ROW($AJ$7:$AJ$40)-MIN(ROW($AJ$7:$AJ$40))+1,""),""),ROW()-ROW(A$43)+1)))," "),"")</f>
        <v>0</v>
      </c>
      <c r="AK66">
        <f t="array" ref="AK66">IFERROR(CONCATENATE(TEXT(INDEX($AJ$7:$AJ$40,SMALL(IF($AM$7:$AM$40&lt;&gt;"",IF($AJ$7:$AJ$40&lt;&gt;"",ROW($AJ$7:$AJ$40)-MIN(ROW($AJ$7:$AJ$40))+1,""),""),ROW()-ROW(A$43)+1)),"##0")," "),"")</f>
        <v>0</v>
      </c>
      <c r="AL66">
        <f t="array" ref="AL66">IFERROR(CONCATENATE((INDEX($A$7:$A$40,SMALL(IF($AM$7:$AM$40&lt;&gt;"",IF($AJ$7:$AJ$40&lt;&gt;"",ROW($AJ$7:$AJ$40)-MIN(ROW($AJ$7:$AJ$40))+1,""),""),ROW()-ROW(A$43)+1))),),"")</f>
        <v>0</v>
      </c>
    </row>
    <row r="67" spans="11:38">
      <c r="K67">
        <f t="array" ref="K67">IFERROR(CONCATENATE(TEXT(INDEX($K$7:$K$40,SMALL(IF($N$7:$N$40&lt;&gt;"",IF($K$7:$K$40&lt;&gt;"",ROW($K$7:$K$40)-MIN(ROW($K$7:$K$40))+1,""),""),ROW()-ROW(A$43)+1)),"##0"),","),"")</f>
        <v>0</v>
      </c>
      <c r="L67">
        <f t="array" ref="L67">IFERROR(CONCATENATE((INDEX($N$7:$N$40,SMALL(IF($N$7:$N$40&lt;&gt;"",IF($K$7:$K$40&lt;&gt;"",ROW($K$7:$K$40)-MIN(ROW($K$7:$K$40))+1,""),""),ROW()-ROW(A$43)+1))),","),"")</f>
        <v>0</v>
      </c>
      <c r="M67">
        <f t="array" ref="M67">IFERROR(CONCATENATE((INDEX($A$7:$A$40,SMALL(IF($N$7:$N$40&lt;&gt;"",IF($K$7:$K$40&lt;&gt;"",ROW($K$7:$K$40)-MIN(ROW($K$7:$K$40))+1,""),""),ROW()-ROW(A$43)+1))),),"")</f>
        <v>0</v>
      </c>
      <c r="P67">
        <f t="array" ref="P67">IFERROR(CONCATENATE((INDEX($S$7:$S$40,SMALL(IF($S$7:$S$40&lt;&gt;"",IF($P$7:$P$40&lt;&gt;"",ROW($P$7:$P$40)-MIN(ROW($P$7:$P$40))+1,""),""),ROW()-ROW(A$43)+1)))," "),"")</f>
        <v>0</v>
      </c>
      <c r="Q67">
        <f t="array" ref="Q67">IFERROR(CONCATENATE(TEXT(INDEX($P$7:$P$40,SMALL(IF($S$7:$S$40&lt;&gt;"",IF($P$7:$P$40&lt;&gt;"",ROW($P$7:$P$40)-MIN(ROW($P$7:$P$40))+1,""),""),ROW()-ROW(A$43)+1)),"##0")," "),"")</f>
        <v>0</v>
      </c>
      <c r="R67">
        <f t="array" ref="R67">IFERROR(CONCATENATE((INDEX($A$7:$A$40,SMALL(IF($S$7:$S$40&lt;&gt;"",IF($P$7:$P$40&lt;&gt;"",ROW($P$7:$P$40)-MIN(ROW($P$7:$P$40))+1,""),""),ROW()-ROW(A$43)+1))),),"")</f>
        <v>0</v>
      </c>
      <c r="U67">
        <f t="array" ref="U67">IFERROR(CONCATENATE((INDEX($X$7:$X$40,SMALL(IF($X$7:$X$40&lt;&gt;"",IF($U$7:$U$40&lt;&gt;"",ROW($U$7:$U$40)-MIN(ROW($U$7:$U$40))+1,""),""),ROW()-ROW(A$43)+1)))," "),"")</f>
        <v>0</v>
      </c>
      <c r="V67">
        <f t="array" ref="V67">IFERROR(CONCATENATE(TEXT(INDEX($U$7:$U$40,SMALL(IF($X$7:$X$40&lt;&gt;"",IF($U$7:$U$40&lt;&gt;"",ROW($U$7:$U$40)-MIN(ROW($U$7:$U$40))+1,""),""),ROW()-ROW(A$43)+1)),"##0")," "),"")</f>
        <v>0</v>
      </c>
      <c r="W67">
        <f t="array" ref="W67">IFERROR(CONCATENATE((INDEX($A$7:$A$40,SMALL(IF($X$7:$X$40&lt;&gt;"",IF($U$7:$U$40&lt;&gt;"",ROW($U$7:$U$40)-MIN(ROW($U$7:$U$40))+1,""),""),ROW()-ROW(A$43)+1))),),"")</f>
        <v>0</v>
      </c>
      <c r="Z67">
        <f t="array" ref="Z67">IFERROR(CONCATENATE((INDEX($AC$7:$AC$40,SMALL(IF($AC$7:$AC$40&lt;&gt;"",IF($Z$7:$Z$40&lt;&gt;"",ROW($Z$7:$Z$40)-MIN(ROW($Z$7:$Z$40))+1,""),""),ROW()-ROW(A$43)+1))),","),"")</f>
        <v>0</v>
      </c>
      <c r="AA67">
        <f t="array" ref="AA67">IFERROR(CONCATENATE(TEXT(INDEX($Z$7:$Z$40,SMALL(IF($AC$7:$AC$40&lt;&gt;"",IF($Z$7:$Z$40&lt;&gt;"",ROW($Z$7:$Z$40)-MIN(ROW($Z$7:$Z$40))+1,""),""),ROW()-ROW(A$43)+1)),"##0"),","),"")</f>
        <v>0</v>
      </c>
      <c r="AB67">
        <f t="array" ref="AB67">IFERROR(CONCATENATE((INDEX($A$7:$A$40,SMALL(IF($AC$7:$AC$40&lt;&gt;"",IF($Z$7:$Z$40&lt;&gt;"",ROW($Z$7:$Z$40)-MIN(ROW($Z$7:$Z$40))+1,""),""),ROW()-ROW(A$43)+1))),),"")</f>
        <v>0</v>
      </c>
      <c r="AE67">
        <f t="array" ref="AE67">IFERROR(CONCATENATE((INDEX($AH$7:$AH$40,SMALL(IF($AH$7:$AH$40&lt;&gt;"",IF($AE$7:$AE$40&lt;&gt;"",ROW($AE$7:$AE$40)-MIN(ROW($AE$7:$AE$40))+1,""),""),ROW()-ROW(A$43)+1)))," "),"")</f>
        <v>0</v>
      </c>
      <c r="AF67">
        <f t="array" ref="AF67">IFERROR(CONCATENATE(TEXT(INDEX($AE$7:$AE$40,SMALL(IF($AH$7:$AH$40&lt;&gt;"",IF($AE$7:$AE$40&lt;&gt;"",ROW($AE$7:$AE$40)-MIN(ROW($AE$7:$AE$40))+1,""),""),ROW()-ROW(A$43)+1)),"##0")," "),"")</f>
        <v>0</v>
      </c>
      <c r="AG67">
        <f t="array" ref="AG67">IFERROR(CONCATENATE((INDEX($A$7:$A$40,SMALL(IF($AH$7:$AH$40&lt;&gt;"",IF($AE$7:$AE$40&lt;&gt;"",ROW($AE$7:$AE$40)-MIN(ROW($AE$7:$AE$40))+1,""),""),ROW()-ROW(A$43)+1))),),"")</f>
        <v>0</v>
      </c>
      <c r="AJ67">
        <f t="array" ref="AJ67">IFERROR(CONCATENATE((INDEX($AM$7:$AM$40,SMALL(IF($AM$7:$AM$40&lt;&gt;"",IF($AJ$7:$AJ$40&lt;&gt;"",ROW($AJ$7:$AJ$40)-MIN(ROW($AJ$7:$AJ$40))+1,""),""),ROW()-ROW(A$43)+1)))," "),"")</f>
        <v>0</v>
      </c>
      <c r="AK67">
        <f t="array" ref="AK67">IFERROR(CONCATENATE(TEXT(INDEX($AJ$7:$AJ$40,SMALL(IF($AM$7:$AM$40&lt;&gt;"",IF($AJ$7:$AJ$40&lt;&gt;"",ROW($AJ$7:$AJ$40)-MIN(ROW($AJ$7:$AJ$40))+1,""),""),ROW()-ROW(A$43)+1)),"##0")," "),"")</f>
        <v>0</v>
      </c>
      <c r="AL67">
        <f t="array" ref="AL67">IFERROR(CONCATENATE((INDEX($A$7:$A$40,SMALL(IF($AM$7:$AM$40&lt;&gt;"",IF($AJ$7:$AJ$40&lt;&gt;"",ROW($AJ$7:$AJ$40)-MIN(ROW($AJ$7:$AJ$40))+1,""),""),ROW()-ROW(A$43)+1))),),"")</f>
        <v>0</v>
      </c>
    </row>
    <row r="68" spans="11:38">
      <c r="K68">
        <f t="array" ref="K68">IFERROR(CONCATENATE(TEXT(INDEX($K$7:$K$40,SMALL(IF($N$7:$N$40&lt;&gt;"",IF($K$7:$K$40&lt;&gt;"",ROW($K$7:$K$40)-MIN(ROW($K$7:$K$40))+1,""),""),ROW()-ROW(A$43)+1)),"##0"),","),"")</f>
        <v>0</v>
      </c>
      <c r="L68">
        <f t="array" ref="L68">IFERROR(CONCATENATE((INDEX($N$7:$N$40,SMALL(IF($N$7:$N$40&lt;&gt;"",IF($K$7:$K$40&lt;&gt;"",ROW($K$7:$K$40)-MIN(ROW($K$7:$K$40))+1,""),""),ROW()-ROW(A$43)+1))),","),"")</f>
        <v>0</v>
      </c>
      <c r="M68">
        <f t="array" ref="M68">IFERROR(CONCATENATE((INDEX($A$7:$A$40,SMALL(IF($N$7:$N$40&lt;&gt;"",IF($K$7:$K$40&lt;&gt;"",ROW($K$7:$K$40)-MIN(ROW($K$7:$K$40))+1,""),""),ROW()-ROW(A$43)+1))),),"")</f>
        <v>0</v>
      </c>
      <c r="P68">
        <f t="array" ref="P68">IFERROR(CONCATENATE((INDEX($S$7:$S$40,SMALL(IF($S$7:$S$40&lt;&gt;"",IF($P$7:$P$40&lt;&gt;"",ROW($P$7:$P$40)-MIN(ROW($P$7:$P$40))+1,""),""),ROW()-ROW(A$43)+1)))," "),"")</f>
        <v>0</v>
      </c>
      <c r="Q68">
        <f t="array" ref="Q68">IFERROR(CONCATENATE(TEXT(INDEX($P$7:$P$40,SMALL(IF($S$7:$S$40&lt;&gt;"",IF($P$7:$P$40&lt;&gt;"",ROW($P$7:$P$40)-MIN(ROW($P$7:$P$40))+1,""),""),ROW()-ROW(A$43)+1)),"##0")," "),"")</f>
        <v>0</v>
      </c>
      <c r="R68">
        <f t="array" ref="R68">IFERROR(CONCATENATE((INDEX($A$7:$A$40,SMALL(IF($S$7:$S$40&lt;&gt;"",IF($P$7:$P$40&lt;&gt;"",ROW($P$7:$P$40)-MIN(ROW($P$7:$P$40))+1,""),""),ROW()-ROW(A$43)+1))),),"")</f>
        <v>0</v>
      </c>
      <c r="U68">
        <f t="array" ref="U68">IFERROR(CONCATENATE((INDEX($X$7:$X$40,SMALL(IF($X$7:$X$40&lt;&gt;"",IF($U$7:$U$40&lt;&gt;"",ROW($U$7:$U$40)-MIN(ROW($U$7:$U$40))+1,""),""),ROW()-ROW(A$43)+1)))," "),"")</f>
        <v>0</v>
      </c>
      <c r="V68">
        <f t="array" ref="V68">IFERROR(CONCATENATE(TEXT(INDEX($U$7:$U$40,SMALL(IF($X$7:$X$40&lt;&gt;"",IF($U$7:$U$40&lt;&gt;"",ROW($U$7:$U$40)-MIN(ROW($U$7:$U$40))+1,""),""),ROW()-ROW(A$43)+1)),"##0")," "),"")</f>
        <v>0</v>
      </c>
      <c r="W68">
        <f t="array" ref="W68">IFERROR(CONCATENATE((INDEX($A$7:$A$40,SMALL(IF($X$7:$X$40&lt;&gt;"",IF($U$7:$U$40&lt;&gt;"",ROW($U$7:$U$40)-MIN(ROW($U$7:$U$40))+1,""),""),ROW()-ROW(A$43)+1))),),"")</f>
        <v>0</v>
      </c>
      <c r="Z68">
        <f t="array" ref="Z68">IFERROR(CONCATENATE((INDEX($AC$7:$AC$40,SMALL(IF($AC$7:$AC$40&lt;&gt;"",IF($Z$7:$Z$40&lt;&gt;"",ROW($Z$7:$Z$40)-MIN(ROW($Z$7:$Z$40))+1,""),""),ROW()-ROW(A$43)+1))),","),"")</f>
        <v>0</v>
      </c>
      <c r="AA68">
        <f t="array" ref="AA68">IFERROR(CONCATENATE(TEXT(INDEX($Z$7:$Z$40,SMALL(IF($AC$7:$AC$40&lt;&gt;"",IF($Z$7:$Z$40&lt;&gt;"",ROW($Z$7:$Z$40)-MIN(ROW($Z$7:$Z$40))+1,""),""),ROW()-ROW(A$43)+1)),"##0"),","),"")</f>
        <v>0</v>
      </c>
      <c r="AB68">
        <f t="array" ref="AB68">IFERROR(CONCATENATE((INDEX($A$7:$A$40,SMALL(IF($AC$7:$AC$40&lt;&gt;"",IF($Z$7:$Z$40&lt;&gt;"",ROW($Z$7:$Z$40)-MIN(ROW($Z$7:$Z$40))+1,""),""),ROW()-ROW(A$43)+1))),),"")</f>
        <v>0</v>
      </c>
      <c r="AE68">
        <f t="array" ref="AE68">IFERROR(CONCATENATE((INDEX($AH$7:$AH$40,SMALL(IF($AH$7:$AH$40&lt;&gt;"",IF($AE$7:$AE$40&lt;&gt;"",ROW($AE$7:$AE$40)-MIN(ROW($AE$7:$AE$40))+1,""),""),ROW()-ROW(A$43)+1)))," "),"")</f>
        <v>0</v>
      </c>
      <c r="AF68">
        <f t="array" ref="AF68">IFERROR(CONCATENATE(TEXT(INDEX($AE$7:$AE$40,SMALL(IF($AH$7:$AH$40&lt;&gt;"",IF($AE$7:$AE$40&lt;&gt;"",ROW($AE$7:$AE$40)-MIN(ROW($AE$7:$AE$40))+1,""),""),ROW()-ROW(A$43)+1)),"##0")," "),"")</f>
        <v>0</v>
      </c>
      <c r="AG68">
        <f t="array" ref="AG68">IFERROR(CONCATENATE((INDEX($A$7:$A$40,SMALL(IF($AH$7:$AH$40&lt;&gt;"",IF($AE$7:$AE$40&lt;&gt;"",ROW($AE$7:$AE$40)-MIN(ROW($AE$7:$AE$40))+1,""),""),ROW()-ROW(A$43)+1))),),"")</f>
        <v>0</v>
      </c>
      <c r="AJ68">
        <f t="array" ref="AJ68">IFERROR(CONCATENATE((INDEX($AM$7:$AM$40,SMALL(IF($AM$7:$AM$40&lt;&gt;"",IF($AJ$7:$AJ$40&lt;&gt;"",ROW($AJ$7:$AJ$40)-MIN(ROW($AJ$7:$AJ$40))+1,""),""),ROW()-ROW(A$43)+1)))," "),"")</f>
        <v>0</v>
      </c>
      <c r="AK68">
        <f t="array" ref="AK68">IFERROR(CONCATENATE(TEXT(INDEX($AJ$7:$AJ$40,SMALL(IF($AM$7:$AM$40&lt;&gt;"",IF($AJ$7:$AJ$40&lt;&gt;"",ROW($AJ$7:$AJ$40)-MIN(ROW($AJ$7:$AJ$40))+1,""),""),ROW()-ROW(A$43)+1)),"##0")," "),"")</f>
        <v>0</v>
      </c>
      <c r="AL68">
        <f t="array" ref="AL68">IFERROR(CONCATENATE((INDEX($A$7:$A$40,SMALL(IF($AM$7:$AM$40&lt;&gt;"",IF($AJ$7:$AJ$40&lt;&gt;"",ROW($AJ$7:$AJ$40)-MIN(ROW($AJ$7:$AJ$40))+1,""),""),ROW()-ROW(A$43)+1))),),"")</f>
        <v>0</v>
      </c>
    </row>
    <row r="69" spans="11:38">
      <c r="K69">
        <f t="array" ref="K69">IFERROR(CONCATENATE(TEXT(INDEX($K$7:$K$40,SMALL(IF($N$7:$N$40&lt;&gt;"",IF($K$7:$K$40&lt;&gt;"",ROW($K$7:$K$40)-MIN(ROW($K$7:$K$40))+1,""),""),ROW()-ROW(A$43)+1)),"##0"),","),"")</f>
        <v>0</v>
      </c>
      <c r="L69">
        <f t="array" ref="L69">IFERROR(CONCATENATE((INDEX($N$7:$N$40,SMALL(IF($N$7:$N$40&lt;&gt;"",IF($K$7:$K$40&lt;&gt;"",ROW($K$7:$K$40)-MIN(ROW($K$7:$K$40))+1,""),""),ROW()-ROW(A$43)+1))),","),"")</f>
        <v>0</v>
      </c>
      <c r="M69">
        <f t="array" ref="M69">IFERROR(CONCATENATE((INDEX($A$7:$A$40,SMALL(IF($N$7:$N$40&lt;&gt;"",IF($K$7:$K$40&lt;&gt;"",ROW($K$7:$K$40)-MIN(ROW($K$7:$K$40))+1,""),""),ROW()-ROW(A$43)+1))),),"")</f>
        <v>0</v>
      </c>
      <c r="P69">
        <f t="array" ref="P69">IFERROR(CONCATENATE((INDEX($S$7:$S$40,SMALL(IF($S$7:$S$40&lt;&gt;"",IF($P$7:$P$40&lt;&gt;"",ROW($P$7:$P$40)-MIN(ROW($P$7:$P$40))+1,""),""),ROW()-ROW(A$43)+1)))," "),"")</f>
        <v>0</v>
      </c>
      <c r="Q69">
        <f t="array" ref="Q69">IFERROR(CONCATENATE(TEXT(INDEX($P$7:$P$40,SMALL(IF($S$7:$S$40&lt;&gt;"",IF($P$7:$P$40&lt;&gt;"",ROW($P$7:$P$40)-MIN(ROW($P$7:$P$40))+1,""),""),ROW()-ROW(A$43)+1)),"##0")," "),"")</f>
        <v>0</v>
      </c>
      <c r="R69">
        <f t="array" ref="R69">IFERROR(CONCATENATE((INDEX($A$7:$A$40,SMALL(IF($S$7:$S$40&lt;&gt;"",IF($P$7:$P$40&lt;&gt;"",ROW($P$7:$P$40)-MIN(ROW($P$7:$P$40))+1,""),""),ROW()-ROW(A$43)+1))),),"")</f>
        <v>0</v>
      </c>
      <c r="U69">
        <f t="array" ref="U69">IFERROR(CONCATENATE((INDEX($X$7:$X$40,SMALL(IF($X$7:$X$40&lt;&gt;"",IF($U$7:$U$40&lt;&gt;"",ROW($U$7:$U$40)-MIN(ROW($U$7:$U$40))+1,""),""),ROW()-ROW(A$43)+1)))," "),"")</f>
        <v>0</v>
      </c>
      <c r="V69">
        <f t="array" ref="V69">IFERROR(CONCATENATE(TEXT(INDEX($U$7:$U$40,SMALL(IF($X$7:$X$40&lt;&gt;"",IF($U$7:$U$40&lt;&gt;"",ROW($U$7:$U$40)-MIN(ROW($U$7:$U$40))+1,""),""),ROW()-ROW(A$43)+1)),"##0")," "),"")</f>
        <v>0</v>
      </c>
      <c r="W69">
        <f t="array" ref="W69">IFERROR(CONCATENATE((INDEX($A$7:$A$40,SMALL(IF($X$7:$X$40&lt;&gt;"",IF($U$7:$U$40&lt;&gt;"",ROW($U$7:$U$40)-MIN(ROW($U$7:$U$40))+1,""),""),ROW()-ROW(A$43)+1))),),"")</f>
        <v>0</v>
      </c>
      <c r="Z69">
        <f t="array" ref="Z69">IFERROR(CONCATENATE((INDEX($AC$7:$AC$40,SMALL(IF($AC$7:$AC$40&lt;&gt;"",IF($Z$7:$Z$40&lt;&gt;"",ROW($Z$7:$Z$40)-MIN(ROW($Z$7:$Z$40))+1,""),""),ROW()-ROW(A$43)+1))),","),"")</f>
        <v>0</v>
      </c>
      <c r="AA69">
        <f t="array" ref="AA69">IFERROR(CONCATENATE(TEXT(INDEX($Z$7:$Z$40,SMALL(IF($AC$7:$AC$40&lt;&gt;"",IF($Z$7:$Z$40&lt;&gt;"",ROW($Z$7:$Z$40)-MIN(ROW($Z$7:$Z$40))+1,""),""),ROW()-ROW(A$43)+1)),"##0"),","),"")</f>
        <v>0</v>
      </c>
      <c r="AB69">
        <f t="array" ref="AB69">IFERROR(CONCATENATE((INDEX($A$7:$A$40,SMALL(IF($AC$7:$AC$40&lt;&gt;"",IF($Z$7:$Z$40&lt;&gt;"",ROW($Z$7:$Z$40)-MIN(ROW($Z$7:$Z$40))+1,""),""),ROW()-ROW(A$43)+1))),),"")</f>
        <v>0</v>
      </c>
      <c r="AE69">
        <f t="array" ref="AE69">IFERROR(CONCATENATE((INDEX($AH$7:$AH$40,SMALL(IF($AH$7:$AH$40&lt;&gt;"",IF($AE$7:$AE$40&lt;&gt;"",ROW($AE$7:$AE$40)-MIN(ROW($AE$7:$AE$40))+1,""),""),ROW()-ROW(A$43)+1)))," "),"")</f>
        <v>0</v>
      </c>
      <c r="AF69">
        <f t="array" ref="AF69">IFERROR(CONCATENATE(TEXT(INDEX($AE$7:$AE$40,SMALL(IF($AH$7:$AH$40&lt;&gt;"",IF($AE$7:$AE$40&lt;&gt;"",ROW($AE$7:$AE$40)-MIN(ROW($AE$7:$AE$40))+1,""),""),ROW()-ROW(A$43)+1)),"##0")," "),"")</f>
        <v>0</v>
      </c>
      <c r="AG69">
        <f t="array" ref="AG69">IFERROR(CONCATENATE((INDEX($A$7:$A$40,SMALL(IF($AH$7:$AH$40&lt;&gt;"",IF($AE$7:$AE$40&lt;&gt;"",ROW($AE$7:$AE$40)-MIN(ROW($AE$7:$AE$40))+1,""),""),ROW()-ROW(A$43)+1))),),"")</f>
        <v>0</v>
      </c>
      <c r="AJ69">
        <f t="array" ref="AJ69">IFERROR(CONCATENATE((INDEX($AM$7:$AM$40,SMALL(IF($AM$7:$AM$40&lt;&gt;"",IF($AJ$7:$AJ$40&lt;&gt;"",ROW($AJ$7:$AJ$40)-MIN(ROW($AJ$7:$AJ$40))+1,""),""),ROW()-ROW(A$43)+1)))," "),"")</f>
        <v>0</v>
      </c>
      <c r="AK69">
        <f t="array" ref="AK69">IFERROR(CONCATENATE(TEXT(INDEX($AJ$7:$AJ$40,SMALL(IF($AM$7:$AM$40&lt;&gt;"",IF($AJ$7:$AJ$40&lt;&gt;"",ROW($AJ$7:$AJ$40)-MIN(ROW($AJ$7:$AJ$40))+1,""),""),ROW()-ROW(A$43)+1)),"##0")," "),"")</f>
        <v>0</v>
      </c>
      <c r="AL69">
        <f t="array" ref="AL69">IFERROR(CONCATENATE((INDEX($A$7:$A$40,SMALL(IF($AM$7:$AM$40&lt;&gt;"",IF($AJ$7:$AJ$40&lt;&gt;"",ROW($AJ$7:$AJ$40)-MIN(ROW($AJ$7:$AJ$40))+1,""),""),ROW()-ROW(A$43)+1))),),"")</f>
        <v>0</v>
      </c>
    </row>
    <row r="70" spans="11:38">
      <c r="K70">
        <f t="array" ref="K70">IFERROR(CONCATENATE(TEXT(INDEX($K$7:$K$40,SMALL(IF($N$7:$N$40&lt;&gt;"",IF($K$7:$K$40&lt;&gt;"",ROW($K$7:$K$40)-MIN(ROW($K$7:$K$40))+1,""),""),ROW()-ROW(A$43)+1)),"##0"),","),"")</f>
        <v>0</v>
      </c>
      <c r="L70">
        <f t="array" ref="L70">IFERROR(CONCATENATE((INDEX($N$7:$N$40,SMALL(IF($N$7:$N$40&lt;&gt;"",IF($K$7:$K$40&lt;&gt;"",ROW($K$7:$K$40)-MIN(ROW($K$7:$K$40))+1,""),""),ROW()-ROW(A$43)+1))),","),"")</f>
        <v>0</v>
      </c>
      <c r="M70">
        <f t="array" ref="M70">IFERROR(CONCATENATE((INDEX($A$7:$A$40,SMALL(IF($N$7:$N$40&lt;&gt;"",IF($K$7:$K$40&lt;&gt;"",ROW($K$7:$K$40)-MIN(ROW($K$7:$K$40))+1,""),""),ROW()-ROW(A$43)+1))),),"")</f>
        <v>0</v>
      </c>
      <c r="P70">
        <f t="array" ref="P70">IFERROR(CONCATENATE((INDEX($S$7:$S$40,SMALL(IF($S$7:$S$40&lt;&gt;"",IF($P$7:$P$40&lt;&gt;"",ROW($P$7:$P$40)-MIN(ROW($P$7:$P$40))+1,""),""),ROW()-ROW(A$43)+1)))," "),"")</f>
        <v>0</v>
      </c>
      <c r="Q70">
        <f t="array" ref="Q70">IFERROR(CONCATENATE(TEXT(INDEX($P$7:$P$40,SMALL(IF($S$7:$S$40&lt;&gt;"",IF($P$7:$P$40&lt;&gt;"",ROW($P$7:$P$40)-MIN(ROW($P$7:$P$40))+1,""),""),ROW()-ROW(A$43)+1)),"##0")," "),"")</f>
        <v>0</v>
      </c>
      <c r="R70">
        <f t="array" ref="R70">IFERROR(CONCATENATE((INDEX($A$7:$A$40,SMALL(IF($S$7:$S$40&lt;&gt;"",IF($P$7:$P$40&lt;&gt;"",ROW($P$7:$P$40)-MIN(ROW($P$7:$P$40))+1,""),""),ROW()-ROW(A$43)+1))),),"")</f>
        <v>0</v>
      </c>
      <c r="U70">
        <f t="array" ref="U70">IFERROR(CONCATENATE((INDEX($X$7:$X$40,SMALL(IF($X$7:$X$40&lt;&gt;"",IF($U$7:$U$40&lt;&gt;"",ROW($U$7:$U$40)-MIN(ROW($U$7:$U$40))+1,""),""),ROW()-ROW(A$43)+1)))," "),"")</f>
        <v>0</v>
      </c>
      <c r="V70">
        <f t="array" ref="V70">IFERROR(CONCATENATE(TEXT(INDEX($U$7:$U$40,SMALL(IF($X$7:$X$40&lt;&gt;"",IF($U$7:$U$40&lt;&gt;"",ROW($U$7:$U$40)-MIN(ROW($U$7:$U$40))+1,""),""),ROW()-ROW(A$43)+1)),"##0")," "),"")</f>
        <v>0</v>
      </c>
      <c r="W70">
        <f t="array" ref="W70">IFERROR(CONCATENATE((INDEX($A$7:$A$40,SMALL(IF($X$7:$X$40&lt;&gt;"",IF($U$7:$U$40&lt;&gt;"",ROW($U$7:$U$40)-MIN(ROW($U$7:$U$40))+1,""),""),ROW()-ROW(A$43)+1))),),"")</f>
        <v>0</v>
      </c>
      <c r="Z70">
        <f t="array" ref="Z70">IFERROR(CONCATENATE((INDEX($AC$7:$AC$40,SMALL(IF($AC$7:$AC$40&lt;&gt;"",IF($Z$7:$Z$40&lt;&gt;"",ROW($Z$7:$Z$40)-MIN(ROW($Z$7:$Z$40))+1,""),""),ROW()-ROW(A$43)+1))),","),"")</f>
        <v>0</v>
      </c>
      <c r="AA70">
        <f t="array" ref="AA70">IFERROR(CONCATENATE(TEXT(INDEX($Z$7:$Z$40,SMALL(IF($AC$7:$AC$40&lt;&gt;"",IF($Z$7:$Z$40&lt;&gt;"",ROW($Z$7:$Z$40)-MIN(ROW($Z$7:$Z$40))+1,""),""),ROW()-ROW(A$43)+1)),"##0"),","),"")</f>
        <v>0</v>
      </c>
      <c r="AB70">
        <f t="array" ref="AB70">IFERROR(CONCATENATE((INDEX($A$7:$A$40,SMALL(IF($AC$7:$AC$40&lt;&gt;"",IF($Z$7:$Z$40&lt;&gt;"",ROW($Z$7:$Z$40)-MIN(ROW($Z$7:$Z$40))+1,""),""),ROW()-ROW(A$43)+1))),),"")</f>
        <v>0</v>
      </c>
      <c r="AE70">
        <f t="array" ref="AE70">IFERROR(CONCATENATE((INDEX($AH$7:$AH$40,SMALL(IF($AH$7:$AH$40&lt;&gt;"",IF($AE$7:$AE$40&lt;&gt;"",ROW($AE$7:$AE$40)-MIN(ROW($AE$7:$AE$40))+1,""),""),ROW()-ROW(A$43)+1)))," "),"")</f>
        <v>0</v>
      </c>
      <c r="AF70">
        <f t="array" ref="AF70">IFERROR(CONCATENATE(TEXT(INDEX($AE$7:$AE$40,SMALL(IF($AH$7:$AH$40&lt;&gt;"",IF($AE$7:$AE$40&lt;&gt;"",ROW($AE$7:$AE$40)-MIN(ROW($AE$7:$AE$40))+1,""),""),ROW()-ROW(A$43)+1)),"##0")," "),"")</f>
        <v>0</v>
      </c>
      <c r="AG70">
        <f t="array" ref="AG70">IFERROR(CONCATENATE((INDEX($A$7:$A$40,SMALL(IF($AH$7:$AH$40&lt;&gt;"",IF($AE$7:$AE$40&lt;&gt;"",ROW($AE$7:$AE$40)-MIN(ROW($AE$7:$AE$40))+1,""),""),ROW()-ROW(A$43)+1))),),"")</f>
        <v>0</v>
      </c>
      <c r="AJ70">
        <f t="array" ref="AJ70">IFERROR(CONCATENATE((INDEX($AM$7:$AM$40,SMALL(IF($AM$7:$AM$40&lt;&gt;"",IF($AJ$7:$AJ$40&lt;&gt;"",ROW($AJ$7:$AJ$40)-MIN(ROW($AJ$7:$AJ$40))+1,""),""),ROW()-ROW(A$43)+1)))," "),"")</f>
        <v>0</v>
      </c>
      <c r="AK70">
        <f t="array" ref="AK70">IFERROR(CONCATENATE(TEXT(INDEX($AJ$7:$AJ$40,SMALL(IF($AM$7:$AM$40&lt;&gt;"",IF($AJ$7:$AJ$40&lt;&gt;"",ROW($AJ$7:$AJ$40)-MIN(ROW($AJ$7:$AJ$40))+1,""),""),ROW()-ROW(A$43)+1)),"##0")," "),"")</f>
        <v>0</v>
      </c>
      <c r="AL70">
        <f t="array" ref="AL70">IFERROR(CONCATENATE((INDEX($A$7:$A$40,SMALL(IF($AM$7:$AM$40&lt;&gt;"",IF($AJ$7:$AJ$40&lt;&gt;"",ROW($AJ$7:$AJ$40)-MIN(ROW($AJ$7:$AJ$40))+1,""),""),ROW()-ROW(A$43)+1))),),"")</f>
        <v>0</v>
      </c>
    </row>
    <row r="71" spans="11:38">
      <c r="K71">
        <f t="array" ref="K71">IFERROR(CONCATENATE(TEXT(INDEX($K$7:$K$40,SMALL(IF($N$7:$N$40&lt;&gt;"",IF($K$7:$K$40&lt;&gt;"",ROW($K$7:$K$40)-MIN(ROW($K$7:$K$40))+1,""),""),ROW()-ROW(A$43)+1)),"##0"),","),"")</f>
        <v>0</v>
      </c>
      <c r="L71">
        <f t="array" ref="L71">IFERROR(CONCATENATE((INDEX($N$7:$N$40,SMALL(IF($N$7:$N$40&lt;&gt;"",IF($K$7:$K$40&lt;&gt;"",ROW($K$7:$K$40)-MIN(ROW($K$7:$K$40))+1,""),""),ROW()-ROW(A$43)+1))),","),"")</f>
        <v>0</v>
      </c>
      <c r="M71">
        <f t="array" ref="M71">IFERROR(CONCATENATE((INDEX($A$7:$A$40,SMALL(IF($N$7:$N$40&lt;&gt;"",IF($K$7:$K$40&lt;&gt;"",ROW($K$7:$K$40)-MIN(ROW($K$7:$K$40))+1,""),""),ROW()-ROW(A$43)+1))),),"")</f>
        <v>0</v>
      </c>
      <c r="P71">
        <f t="array" ref="P71">IFERROR(CONCATENATE((INDEX($S$7:$S$40,SMALL(IF($S$7:$S$40&lt;&gt;"",IF($P$7:$P$40&lt;&gt;"",ROW($P$7:$P$40)-MIN(ROW($P$7:$P$40))+1,""),""),ROW()-ROW(A$43)+1)))," "),"")</f>
        <v>0</v>
      </c>
      <c r="Q71">
        <f t="array" ref="Q71">IFERROR(CONCATENATE(TEXT(INDEX($P$7:$P$40,SMALL(IF($S$7:$S$40&lt;&gt;"",IF($P$7:$P$40&lt;&gt;"",ROW($P$7:$P$40)-MIN(ROW($P$7:$P$40))+1,""),""),ROW()-ROW(A$43)+1)),"##0")," "),"")</f>
        <v>0</v>
      </c>
      <c r="R71">
        <f t="array" ref="R71">IFERROR(CONCATENATE((INDEX($A$7:$A$40,SMALL(IF($S$7:$S$40&lt;&gt;"",IF($P$7:$P$40&lt;&gt;"",ROW($P$7:$P$40)-MIN(ROW($P$7:$P$40))+1,""),""),ROW()-ROW(A$43)+1))),),"")</f>
        <v>0</v>
      </c>
      <c r="U71">
        <f t="array" ref="U71">IFERROR(CONCATENATE((INDEX($X$7:$X$40,SMALL(IF($X$7:$X$40&lt;&gt;"",IF($U$7:$U$40&lt;&gt;"",ROW($U$7:$U$40)-MIN(ROW($U$7:$U$40))+1,""),""),ROW()-ROW(A$43)+1)))," "),"")</f>
        <v>0</v>
      </c>
      <c r="V71">
        <f t="array" ref="V71">IFERROR(CONCATENATE(TEXT(INDEX($U$7:$U$40,SMALL(IF($X$7:$X$40&lt;&gt;"",IF($U$7:$U$40&lt;&gt;"",ROW($U$7:$U$40)-MIN(ROW($U$7:$U$40))+1,""),""),ROW()-ROW(A$43)+1)),"##0")," "),"")</f>
        <v>0</v>
      </c>
      <c r="W71">
        <f t="array" ref="W71">IFERROR(CONCATENATE((INDEX($A$7:$A$40,SMALL(IF($X$7:$X$40&lt;&gt;"",IF($U$7:$U$40&lt;&gt;"",ROW($U$7:$U$40)-MIN(ROW($U$7:$U$40))+1,""),""),ROW()-ROW(A$43)+1))),),"")</f>
        <v>0</v>
      </c>
      <c r="Z71">
        <f t="array" ref="Z71">IFERROR(CONCATENATE((INDEX($AC$7:$AC$40,SMALL(IF($AC$7:$AC$40&lt;&gt;"",IF($Z$7:$Z$40&lt;&gt;"",ROW($Z$7:$Z$40)-MIN(ROW($Z$7:$Z$40))+1,""),""),ROW()-ROW(A$43)+1))),","),"")</f>
        <v>0</v>
      </c>
      <c r="AA71">
        <f t="array" ref="AA71">IFERROR(CONCATENATE(TEXT(INDEX($Z$7:$Z$40,SMALL(IF($AC$7:$AC$40&lt;&gt;"",IF($Z$7:$Z$40&lt;&gt;"",ROW($Z$7:$Z$40)-MIN(ROW($Z$7:$Z$40))+1,""),""),ROW()-ROW(A$43)+1)),"##0"),","),"")</f>
        <v>0</v>
      </c>
      <c r="AB71">
        <f t="array" ref="AB71">IFERROR(CONCATENATE((INDEX($A$7:$A$40,SMALL(IF($AC$7:$AC$40&lt;&gt;"",IF($Z$7:$Z$40&lt;&gt;"",ROW($Z$7:$Z$40)-MIN(ROW($Z$7:$Z$40))+1,""),""),ROW()-ROW(A$43)+1))),),"")</f>
        <v>0</v>
      </c>
      <c r="AE71">
        <f t="array" ref="AE71">IFERROR(CONCATENATE((INDEX($AH$7:$AH$40,SMALL(IF($AH$7:$AH$40&lt;&gt;"",IF($AE$7:$AE$40&lt;&gt;"",ROW($AE$7:$AE$40)-MIN(ROW($AE$7:$AE$40))+1,""),""),ROW()-ROW(A$43)+1)))," "),"")</f>
        <v>0</v>
      </c>
      <c r="AF71">
        <f t="array" ref="AF71">IFERROR(CONCATENATE(TEXT(INDEX($AE$7:$AE$40,SMALL(IF($AH$7:$AH$40&lt;&gt;"",IF($AE$7:$AE$40&lt;&gt;"",ROW($AE$7:$AE$40)-MIN(ROW($AE$7:$AE$40))+1,""),""),ROW()-ROW(A$43)+1)),"##0")," "),"")</f>
        <v>0</v>
      </c>
      <c r="AG71">
        <f t="array" ref="AG71">IFERROR(CONCATENATE((INDEX($A$7:$A$40,SMALL(IF($AH$7:$AH$40&lt;&gt;"",IF($AE$7:$AE$40&lt;&gt;"",ROW($AE$7:$AE$40)-MIN(ROW($AE$7:$AE$40))+1,""),""),ROW()-ROW(A$43)+1))),),"")</f>
        <v>0</v>
      </c>
      <c r="AJ71">
        <f t="array" ref="AJ71">IFERROR(CONCATENATE((INDEX($AM$7:$AM$40,SMALL(IF($AM$7:$AM$40&lt;&gt;"",IF($AJ$7:$AJ$40&lt;&gt;"",ROW($AJ$7:$AJ$40)-MIN(ROW($AJ$7:$AJ$40))+1,""),""),ROW()-ROW(A$43)+1)))," "),"")</f>
        <v>0</v>
      </c>
      <c r="AK71">
        <f t="array" ref="AK71">IFERROR(CONCATENATE(TEXT(INDEX($AJ$7:$AJ$40,SMALL(IF($AM$7:$AM$40&lt;&gt;"",IF($AJ$7:$AJ$40&lt;&gt;"",ROW($AJ$7:$AJ$40)-MIN(ROW($AJ$7:$AJ$40))+1,""),""),ROW()-ROW(A$43)+1)),"##0")," "),"")</f>
        <v>0</v>
      </c>
      <c r="AL71">
        <f t="array" ref="AL71">IFERROR(CONCATENATE((INDEX($A$7:$A$40,SMALL(IF($AM$7:$AM$40&lt;&gt;"",IF($AJ$7:$AJ$40&lt;&gt;"",ROW($AJ$7:$AJ$40)-MIN(ROW($AJ$7:$AJ$40))+1,""),""),ROW()-ROW(A$43)+1))),),"")</f>
        <v>0</v>
      </c>
    </row>
    <row r="72" spans="11:38">
      <c r="K72">
        <f t="array" ref="K72">IFERROR(CONCATENATE(TEXT(INDEX($K$7:$K$40,SMALL(IF($N$7:$N$40&lt;&gt;"",IF($K$7:$K$40&lt;&gt;"",ROW($K$7:$K$40)-MIN(ROW($K$7:$K$40))+1,""),""),ROW()-ROW(A$43)+1)),"##0"),","),"")</f>
        <v>0</v>
      </c>
      <c r="L72">
        <f t="array" ref="L72">IFERROR(CONCATENATE((INDEX($N$7:$N$40,SMALL(IF($N$7:$N$40&lt;&gt;"",IF($K$7:$K$40&lt;&gt;"",ROW($K$7:$K$40)-MIN(ROW($K$7:$K$40))+1,""),""),ROW()-ROW(A$43)+1))),","),"")</f>
        <v>0</v>
      </c>
      <c r="M72">
        <f t="array" ref="M72">IFERROR(CONCATENATE((INDEX($A$7:$A$40,SMALL(IF($N$7:$N$40&lt;&gt;"",IF($K$7:$K$40&lt;&gt;"",ROW($K$7:$K$40)-MIN(ROW($K$7:$K$40))+1,""),""),ROW()-ROW(A$43)+1))),),"")</f>
        <v>0</v>
      </c>
      <c r="P72">
        <f t="array" ref="P72">IFERROR(CONCATENATE((INDEX($S$7:$S$40,SMALL(IF($S$7:$S$40&lt;&gt;"",IF($P$7:$P$40&lt;&gt;"",ROW($P$7:$P$40)-MIN(ROW($P$7:$P$40))+1,""),""),ROW()-ROW(A$43)+1)))," "),"")</f>
        <v>0</v>
      </c>
      <c r="Q72">
        <f t="array" ref="Q72">IFERROR(CONCATENATE(TEXT(INDEX($P$7:$P$40,SMALL(IF($S$7:$S$40&lt;&gt;"",IF($P$7:$P$40&lt;&gt;"",ROW($P$7:$P$40)-MIN(ROW($P$7:$P$40))+1,""),""),ROW()-ROW(A$43)+1)),"##0")," "),"")</f>
        <v>0</v>
      </c>
      <c r="R72">
        <f t="array" ref="R72">IFERROR(CONCATENATE((INDEX($A$7:$A$40,SMALL(IF($S$7:$S$40&lt;&gt;"",IF($P$7:$P$40&lt;&gt;"",ROW($P$7:$P$40)-MIN(ROW($P$7:$P$40))+1,""),""),ROW()-ROW(A$43)+1))),),"")</f>
        <v>0</v>
      </c>
      <c r="U72">
        <f t="array" ref="U72">IFERROR(CONCATENATE((INDEX($X$7:$X$40,SMALL(IF($X$7:$X$40&lt;&gt;"",IF($U$7:$U$40&lt;&gt;"",ROW($U$7:$U$40)-MIN(ROW($U$7:$U$40))+1,""),""),ROW()-ROW(A$43)+1)))," "),"")</f>
        <v>0</v>
      </c>
      <c r="V72">
        <f t="array" ref="V72">IFERROR(CONCATENATE(TEXT(INDEX($U$7:$U$40,SMALL(IF($X$7:$X$40&lt;&gt;"",IF($U$7:$U$40&lt;&gt;"",ROW($U$7:$U$40)-MIN(ROW($U$7:$U$40))+1,""),""),ROW()-ROW(A$43)+1)),"##0")," "),"")</f>
        <v>0</v>
      </c>
      <c r="W72">
        <f t="array" ref="W72">IFERROR(CONCATENATE((INDEX($A$7:$A$40,SMALL(IF($X$7:$X$40&lt;&gt;"",IF($U$7:$U$40&lt;&gt;"",ROW($U$7:$U$40)-MIN(ROW($U$7:$U$40))+1,""),""),ROW()-ROW(A$43)+1))),),"")</f>
        <v>0</v>
      </c>
      <c r="Z72">
        <f t="array" ref="Z72">IFERROR(CONCATENATE((INDEX($AC$7:$AC$40,SMALL(IF($AC$7:$AC$40&lt;&gt;"",IF($Z$7:$Z$40&lt;&gt;"",ROW($Z$7:$Z$40)-MIN(ROW($Z$7:$Z$40))+1,""),""),ROW()-ROW(A$43)+1))),","),"")</f>
        <v>0</v>
      </c>
      <c r="AA72">
        <f t="array" ref="AA72">IFERROR(CONCATENATE(TEXT(INDEX($Z$7:$Z$40,SMALL(IF($AC$7:$AC$40&lt;&gt;"",IF($Z$7:$Z$40&lt;&gt;"",ROW($Z$7:$Z$40)-MIN(ROW($Z$7:$Z$40))+1,""),""),ROW()-ROW(A$43)+1)),"##0"),","),"")</f>
        <v>0</v>
      </c>
      <c r="AB72">
        <f t="array" ref="AB72">IFERROR(CONCATENATE((INDEX($A$7:$A$40,SMALL(IF($AC$7:$AC$40&lt;&gt;"",IF($Z$7:$Z$40&lt;&gt;"",ROW($Z$7:$Z$40)-MIN(ROW($Z$7:$Z$40))+1,""),""),ROW()-ROW(A$43)+1))),),"")</f>
        <v>0</v>
      </c>
      <c r="AE72">
        <f t="array" ref="AE72">IFERROR(CONCATENATE((INDEX($AH$7:$AH$40,SMALL(IF($AH$7:$AH$40&lt;&gt;"",IF($AE$7:$AE$40&lt;&gt;"",ROW($AE$7:$AE$40)-MIN(ROW($AE$7:$AE$40))+1,""),""),ROW()-ROW(A$43)+1)))," "),"")</f>
        <v>0</v>
      </c>
      <c r="AF72">
        <f t="array" ref="AF72">IFERROR(CONCATENATE(TEXT(INDEX($AE$7:$AE$40,SMALL(IF($AH$7:$AH$40&lt;&gt;"",IF($AE$7:$AE$40&lt;&gt;"",ROW($AE$7:$AE$40)-MIN(ROW($AE$7:$AE$40))+1,""),""),ROW()-ROW(A$43)+1)),"##0")," "),"")</f>
        <v>0</v>
      </c>
      <c r="AG72">
        <f t="array" ref="AG72">IFERROR(CONCATENATE((INDEX($A$7:$A$40,SMALL(IF($AH$7:$AH$40&lt;&gt;"",IF($AE$7:$AE$40&lt;&gt;"",ROW($AE$7:$AE$40)-MIN(ROW($AE$7:$AE$40))+1,""),""),ROW()-ROW(A$43)+1))),),"")</f>
        <v>0</v>
      </c>
      <c r="AJ72">
        <f t="array" ref="AJ72">IFERROR(CONCATENATE((INDEX($AM$7:$AM$40,SMALL(IF($AM$7:$AM$40&lt;&gt;"",IF($AJ$7:$AJ$40&lt;&gt;"",ROW($AJ$7:$AJ$40)-MIN(ROW($AJ$7:$AJ$40))+1,""),""),ROW()-ROW(A$43)+1)))," "),"")</f>
        <v>0</v>
      </c>
      <c r="AK72">
        <f t="array" ref="AK72">IFERROR(CONCATENATE(TEXT(INDEX($AJ$7:$AJ$40,SMALL(IF($AM$7:$AM$40&lt;&gt;"",IF($AJ$7:$AJ$40&lt;&gt;"",ROW($AJ$7:$AJ$40)-MIN(ROW($AJ$7:$AJ$40))+1,""),""),ROW()-ROW(A$43)+1)),"##0")," "),"")</f>
        <v>0</v>
      </c>
      <c r="AL72">
        <f t="array" ref="AL72">IFERROR(CONCATENATE((INDEX($A$7:$A$40,SMALL(IF($AM$7:$AM$40&lt;&gt;"",IF($AJ$7:$AJ$40&lt;&gt;"",ROW($AJ$7:$AJ$40)-MIN(ROW($AJ$7:$AJ$40))+1,""),""),ROW()-ROW(A$43)+1))),),"")</f>
        <v>0</v>
      </c>
    </row>
    <row r="73" spans="11:38">
      <c r="K73">
        <f t="array" ref="K73">IFERROR(CONCATENATE(TEXT(INDEX($K$7:$K$40,SMALL(IF($N$7:$N$40&lt;&gt;"",IF($K$7:$K$40&lt;&gt;"",ROW($K$7:$K$40)-MIN(ROW($K$7:$K$40))+1,""),""),ROW()-ROW(A$43)+1)),"##0"),","),"")</f>
        <v>0</v>
      </c>
      <c r="L73">
        <f t="array" ref="L73">IFERROR(CONCATENATE((INDEX($N$7:$N$40,SMALL(IF($N$7:$N$40&lt;&gt;"",IF($K$7:$K$40&lt;&gt;"",ROW($K$7:$K$40)-MIN(ROW($K$7:$K$40))+1,""),""),ROW()-ROW(A$43)+1))),","),"")</f>
        <v>0</v>
      </c>
      <c r="M73">
        <f t="array" ref="M73">IFERROR(CONCATENATE((INDEX($A$7:$A$40,SMALL(IF($N$7:$N$40&lt;&gt;"",IF($K$7:$K$40&lt;&gt;"",ROW($K$7:$K$40)-MIN(ROW($K$7:$K$40))+1,""),""),ROW()-ROW(A$43)+1))),),"")</f>
        <v>0</v>
      </c>
      <c r="P73">
        <f t="array" ref="P73">IFERROR(CONCATENATE((INDEX($S$7:$S$40,SMALL(IF($S$7:$S$40&lt;&gt;"",IF($P$7:$P$40&lt;&gt;"",ROW($P$7:$P$40)-MIN(ROW($P$7:$P$40))+1,""),""),ROW()-ROW(A$43)+1)))," "),"")</f>
        <v>0</v>
      </c>
      <c r="Q73">
        <f t="array" ref="Q73">IFERROR(CONCATENATE(TEXT(INDEX($P$7:$P$40,SMALL(IF($S$7:$S$40&lt;&gt;"",IF($P$7:$P$40&lt;&gt;"",ROW($P$7:$P$40)-MIN(ROW($P$7:$P$40))+1,""),""),ROW()-ROW(A$43)+1)),"##0")," "),"")</f>
        <v>0</v>
      </c>
      <c r="R73">
        <f t="array" ref="R73">IFERROR(CONCATENATE((INDEX($A$7:$A$40,SMALL(IF($S$7:$S$40&lt;&gt;"",IF($P$7:$P$40&lt;&gt;"",ROW($P$7:$P$40)-MIN(ROW($P$7:$P$40))+1,""),""),ROW()-ROW(A$43)+1))),),"")</f>
        <v>0</v>
      </c>
      <c r="U73">
        <f t="array" ref="U73">IFERROR(CONCATENATE((INDEX($X$7:$X$40,SMALL(IF($X$7:$X$40&lt;&gt;"",IF($U$7:$U$40&lt;&gt;"",ROW($U$7:$U$40)-MIN(ROW($U$7:$U$40))+1,""),""),ROW()-ROW(A$43)+1)))," "),"")</f>
        <v>0</v>
      </c>
      <c r="V73">
        <f t="array" ref="V73">IFERROR(CONCATENATE(TEXT(INDEX($U$7:$U$40,SMALL(IF($X$7:$X$40&lt;&gt;"",IF($U$7:$U$40&lt;&gt;"",ROW($U$7:$U$40)-MIN(ROW($U$7:$U$40))+1,""),""),ROW()-ROW(A$43)+1)),"##0")," "),"")</f>
        <v>0</v>
      </c>
      <c r="W73">
        <f t="array" ref="W73">IFERROR(CONCATENATE((INDEX($A$7:$A$40,SMALL(IF($X$7:$X$40&lt;&gt;"",IF($U$7:$U$40&lt;&gt;"",ROW($U$7:$U$40)-MIN(ROW($U$7:$U$40))+1,""),""),ROW()-ROW(A$43)+1))),),"")</f>
        <v>0</v>
      </c>
      <c r="Z73">
        <f t="array" ref="Z73">IFERROR(CONCATENATE((INDEX($AC$7:$AC$40,SMALL(IF($AC$7:$AC$40&lt;&gt;"",IF($Z$7:$Z$40&lt;&gt;"",ROW($Z$7:$Z$40)-MIN(ROW($Z$7:$Z$40))+1,""),""),ROW()-ROW(A$43)+1))),","),"")</f>
        <v>0</v>
      </c>
      <c r="AA73">
        <f t="array" ref="AA73">IFERROR(CONCATENATE(TEXT(INDEX($Z$7:$Z$40,SMALL(IF($AC$7:$AC$40&lt;&gt;"",IF($Z$7:$Z$40&lt;&gt;"",ROW($Z$7:$Z$40)-MIN(ROW($Z$7:$Z$40))+1,""),""),ROW()-ROW(A$43)+1)),"##0"),","),"")</f>
        <v>0</v>
      </c>
      <c r="AB73">
        <f t="array" ref="AB73">IFERROR(CONCATENATE((INDEX($A$7:$A$40,SMALL(IF($AC$7:$AC$40&lt;&gt;"",IF($Z$7:$Z$40&lt;&gt;"",ROW($Z$7:$Z$40)-MIN(ROW($Z$7:$Z$40))+1,""),""),ROW()-ROW(A$43)+1))),),"")</f>
        <v>0</v>
      </c>
      <c r="AE73">
        <f t="array" ref="AE73">IFERROR(CONCATENATE((INDEX($AH$7:$AH$40,SMALL(IF($AH$7:$AH$40&lt;&gt;"",IF($AE$7:$AE$40&lt;&gt;"",ROW($AE$7:$AE$40)-MIN(ROW($AE$7:$AE$40))+1,""),""),ROW()-ROW(A$43)+1)))," "),"")</f>
        <v>0</v>
      </c>
      <c r="AF73">
        <f t="array" ref="AF73">IFERROR(CONCATENATE(TEXT(INDEX($AE$7:$AE$40,SMALL(IF($AH$7:$AH$40&lt;&gt;"",IF($AE$7:$AE$40&lt;&gt;"",ROW($AE$7:$AE$40)-MIN(ROW($AE$7:$AE$40))+1,""),""),ROW()-ROW(A$43)+1)),"##0")," "),"")</f>
        <v>0</v>
      </c>
      <c r="AG73">
        <f t="array" ref="AG73">IFERROR(CONCATENATE((INDEX($A$7:$A$40,SMALL(IF($AH$7:$AH$40&lt;&gt;"",IF($AE$7:$AE$40&lt;&gt;"",ROW($AE$7:$AE$40)-MIN(ROW($AE$7:$AE$40))+1,""),""),ROW()-ROW(A$43)+1))),),"")</f>
        <v>0</v>
      </c>
      <c r="AJ73">
        <f t="array" ref="AJ73">IFERROR(CONCATENATE((INDEX($AM$7:$AM$40,SMALL(IF($AM$7:$AM$40&lt;&gt;"",IF($AJ$7:$AJ$40&lt;&gt;"",ROW($AJ$7:$AJ$40)-MIN(ROW($AJ$7:$AJ$40))+1,""),""),ROW()-ROW(A$43)+1)))," "),"")</f>
        <v>0</v>
      </c>
      <c r="AK73">
        <f t="array" ref="AK73">IFERROR(CONCATENATE(TEXT(INDEX($AJ$7:$AJ$40,SMALL(IF($AM$7:$AM$40&lt;&gt;"",IF($AJ$7:$AJ$40&lt;&gt;"",ROW($AJ$7:$AJ$40)-MIN(ROW($AJ$7:$AJ$40))+1,""),""),ROW()-ROW(A$43)+1)),"##0")," "),"")</f>
        <v>0</v>
      </c>
      <c r="AL73">
        <f t="array" ref="AL73">IFERROR(CONCATENATE((INDEX($A$7:$A$40,SMALL(IF($AM$7:$AM$40&lt;&gt;"",IF($AJ$7:$AJ$40&lt;&gt;"",ROW($AJ$7:$AJ$40)-MIN(ROW($AJ$7:$AJ$40))+1,""),""),ROW()-ROW(A$43)+1))),),"")</f>
        <v>0</v>
      </c>
    </row>
    <row r="74" spans="11:38">
      <c r="K74">
        <f t="array" ref="K74">IFERROR(CONCATENATE(TEXT(INDEX($K$7:$K$40,SMALL(IF($N$7:$N$40&lt;&gt;"",IF($K$7:$K$40&lt;&gt;"",ROW($K$7:$K$40)-MIN(ROW($K$7:$K$40))+1,""),""),ROW()-ROW(A$43)+1)),"##0"),","),"")</f>
        <v>0</v>
      </c>
      <c r="L74">
        <f t="array" ref="L74">IFERROR(CONCATENATE((INDEX($N$7:$N$40,SMALL(IF($N$7:$N$40&lt;&gt;"",IF($K$7:$K$40&lt;&gt;"",ROW($K$7:$K$40)-MIN(ROW($K$7:$K$40))+1,""),""),ROW()-ROW(A$43)+1))),","),"")</f>
        <v>0</v>
      </c>
      <c r="M74">
        <f t="array" ref="M74">IFERROR(CONCATENATE((INDEX($A$7:$A$40,SMALL(IF($N$7:$N$40&lt;&gt;"",IF($K$7:$K$40&lt;&gt;"",ROW($K$7:$K$40)-MIN(ROW($K$7:$K$40))+1,""),""),ROW()-ROW(A$43)+1))),),"")</f>
        <v>0</v>
      </c>
      <c r="P74">
        <f t="array" ref="P74">IFERROR(CONCATENATE((INDEX($S$7:$S$40,SMALL(IF($S$7:$S$40&lt;&gt;"",IF($P$7:$P$40&lt;&gt;"",ROW($P$7:$P$40)-MIN(ROW($P$7:$P$40))+1,""),""),ROW()-ROW(A$43)+1)))," "),"")</f>
        <v>0</v>
      </c>
      <c r="Q74">
        <f t="array" ref="Q74">IFERROR(CONCATENATE(TEXT(INDEX($P$7:$P$40,SMALL(IF($S$7:$S$40&lt;&gt;"",IF($P$7:$P$40&lt;&gt;"",ROW($P$7:$P$40)-MIN(ROW($P$7:$P$40))+1,""),""),ROW()-ROW(A$43)+1)),"##0")," "),"")</f>
        <v>0</v>
      </c>
      <c r="R74">
        <f t="array" ref="R74">IFERROR(CONCATENATE((INDEX($A$7:$A$40,SMALL(IF($S$7:$S$40&lt;&gt;"",IF($P$7:$P$40&lt;&gt;"",ROW($P$7:$P$40)-MIN(ROW($P$7:$P$40))+1,""),""),ROW()-ROW(A$43)+1))),),"")</f>
        <v>0</v>
      </c>
      <c r="U74">
        <f t="array" ref="U74">IFERROR(CONCATENATE((INDEX($X$7:$X$40,SMALL(IF($X$7:$X$40&lt;&gt;"",IF($U$7:$U$40&lt;&gt;"",ROW($U$7:$U$40)-MIN(ROW($U$7:$U$40))+1,""),""),ROW()-ROW(A$43)+1)))," "),"")</f>
        <v>0</v>
      </c>
      <c r="V74">
        <f t="array" ref="V74">IFERROR(CONCATENATE(TEXT(INDEX($U$7:$U$40,SMALL(IF($X$7:$X$40&lt;&gt;"",IF($U$7:$U$40&lt;&gt;"",ROW($U$7:$U$40)-MIN(ROW($U$7:$U$40))+1,""),""),ROW()-ROW(A$43)+1)),"##0")," "),"")</f>
        <v>0</v>
      </c>
      <c r="W74">
        <f t="array" ref="W74">IFERROR(CONCATENATE((INDEX($A$7:$A$40,SMALL(IF($X$7:$X$40&lt;&gt;"",IF($U$7:$U$40&lt;&gt;"",ROW($U$7:$U$40)-MIN(ROW($U$7:$U$40))+1,""),""),ROW()-ROW(A$43)+1))),),"")</f>
        <v>0</v>
      </c>
      <c r="Z74">
        <f t="array" ref="Z74">IFERROR(CONCATENATE((INDEX($AC$7:$AC$40,SMALL(IF($AC$7:$AC$40&lt;&gt;"",IF($Z$7:$Z$40&lt;&gt;"",ROW($Z$7:$Z$40)-MIN(ROW($Z$7:$Z$40))+1,""),""),ROW()-ROW(A$43)+1))),","),"")</f>
        <v>0</v>
      </c>
      <c r="AA74">
        <f t="array" ref="AA74">IFERROR(CONCATENATE(TEXT(INDEX($Z$7:$Z$40,SMALL(IF($AC$7:$AC$40&lt;&gt;"",IF($Z$7:$Z$40&lt;&gt;"",ROW($Z$7:$Z$40)-MIN(ROW($Z$7:$Z$40))+1,""),""),ROW()-ROW(A$43)+1)),"##0"),","),"")</f>
        <v>0</v>
      </c>
      <c r="AB74">
        <f t="array" ref="AB74">IFERROR(CONCATENATE((INDEX($A$7:$A$40,SMALL(IF($AC$7:$AC$40&lt;&gt;"",IF($Z$7:$Z$40&lt;&gt;"",ROW($Z$7:$Z$40)-MIN(ROW($Z$7:$Z$40))+1,""),""),ROW()-ROW(A$43)+1))),),"")</f>
        <v>0</v>
      </c>
      <c r="AE74">
        <f t="array" ref="AE74">IFERROR(CONCATENATE((INDEX($AH$7:$AH$40,SMALL(IF($AH$7:$AH$40&lt;&gt;"",IF($AE$7:$AE$40&lt;&gt;"",ROW($AE$7:$AE$40)-MIN(ROW($AE$7:$AE$40))+1,""),""),ROW()-ROW(A$43)+1)))," "),"")</f>
        <v>0</v>
      </c>
      <c r="AF74">
        <f t="array" ref="AF74">IFERROR(CONCATENATE(TEXT(INDEX($AE$7:$AE$40,SMALL(IF($AH$7:$AH$40&lt;&gt;"",IF($AE$7:$AE$40&lt;&gt;"",ROW($AE$7:$AE$40)-MIN(ROW($AE$7:$AE$40))+1,""),""),ROW()-ROW(A$43)+1)),"##0")," "),"")</f>
        <v>0</v>
      </c>
      <c r="AG74">
        <f t="array" ref="AG74">IFERROR(CONCATENATE((INDEX($A$7:$A$40,SMALL(IF($AH$7:$AH$40&lt;&gt;"",IF($AE$7:$AE$40&lt;&gt;"",ROW($AE$7:$AE$40)-MIN(ROW($AE$7:$AE$40))+1,""),""),ROW()-ROW(A$43)+1))),),"")</f>
        <v>0</v>
      </c>
      <c r="AJ74">
        <f t="array" ref="AJ74">IFERROR(CONCATENATE((INDEX($AM$7:$AM$40,SMALL(IF($AM$7:$AM$40&lt;&gt;"",IF($AJ$7:$AJ$40&lt;&gt;"",ROW($AJ$7:$AJ$40)-MIN(ROW($AJ$7:$AJ$40))+1,""),""),ROW()-ROW(A$43)+1)))," "),"")</f>
        <v>0</v>
      </c>
      <c r="AK74">
        <f t="array" ref="AK74">IFERROR(CONCATENATE(TEXT(INDEX($AJ$7:$AJ$40,SMALL(IF($AM$7:$AM$40&lt;&gt;"",IF($AJ$7:$AJ$40&lt;&gt;"",ROW($AJ$7:$AJ$40)-MIN(ROW($AJ$7:$AJ$40))+1,""),""),ROW()-ROW(A$43)+1)),"##0")," "),"")</f>
        <v>0</v>
      </c>
      <c r="AL74">
        <f t="array" ref="AL74">IFERROR(CONCATENATE((INDEX($A$7:$A$40,SMALL(IF($AM$7:$AM$40&lt;&gt;"",IF($AJ$7:$AJ$40&lt;&gt;"",ROW($AJ$7:$AJ$40)-MIN(ROW($AJ$7:$AJ$40))+1,""),""),ROW()-ROW(A$43)+1))),),"")</f>
        <v>0</v>
      </c>
    </row>
    <row r="75" spans="11:38">
      <c r="K75">
        <f t="array" ref="K75">IFERROR(CONCATENATE(TEXT(INDEX($K$7:$K$40,SMALL(IF($N$7:$N$40&lt;&gt;"",IF($K$7:$K$40&lt;&gt;"",ROW($K$7:$K$40)-MIN(ROW($K$7:$K$40))+1,""),""),ROW()-ROW(A$43)+1)),"##0"),","),"")</f>
        <v>0</v>
      </c>
      <c r="L75">
        <f t="array" ref="L75">IFERROR(CONCATENATE((INDEX($N$7:$N$40,SMALL(IF($N$7:$N$40&lt;&gt;"",IF($K$7:$K$40&lt;&gt;"",ROW($K$7:$K$40)-MIN(ROW($K$7:$K$40))+1,""),""),ROW()-ROW(A$43)+1))),","),"")</f>
        <v>0</v>
      </c>
      <c r="M75">
        <f t="array" ref="M75">IFERROR(CONCATENATE((INDEX($A$7:$A$40,SMALL(IF($N$7:$N$40&lt;&gt;"",IF($K$7:$K$40&lt;&gt;"",ROW($K$7:$K$40)-MIN(ROW($K$7:$K$40))+1,""),""),ROW()-ROW(A$43)+1))),),"")</f>
        <v>0</v>
      </c>
      <c r="P75">
        <f t="array" ref="P75">IFERROR(CONCATENATE((INDEX($S$7:$S$40,SMALL(IF($S$7:$S$40&lt;&gt;"",IF($P$7:$P$40&lt;&gt;"",ROW($P$7:$P$40)-MIN(ROW($P$7:$P$40))+1,""),""),ROW()-ROW(A$43)+1)))," "),"")</f>
        <v>0</v>
      </c>
      <c r="Q75">
        <f t="array" ref="Q75">IFERROR(CONCATENATE(TEXT(INDEX($P$7:$P$40,SMALL(IF($S$7:$S$40&lt;&gt;"",IF($P$7:$P$40&lt;&gt;"",ROW($P$7:$P$40)-MIN(ROW($P$7:$P$40))+1,""),""),ROW()-ROW(A$43)+1)),"##0")," "),"")</f>
        <v>0</v>
      </c>
      <c r="R75">
        <f t="array" ref="R75">IFERROR(CONCATENATE((INDEX($A$7:$A$40,SMALL(IF($S$7:$S$40&lt;&gt;"",IF($P$7:$P$40&lt;&gt;"",ROW($P$7:$P$40)-MIN(ROW($P$7:$P$40))+1,""),""),ROW()-ROW(A$43)+1))),),"")</f>
        <v>0</v>
      </c>
      <c r="U75">
        <f t="array" ref="U75">IFERROR(CONCATENATE((INDEX($X$7:$X$40,SMALL(IF($X$7:$X$40&lt;&gt;"",IF($U$7:$U$40&lt;&gt;"",ROW($U$7:$U$40)-MIN(ROW($U$7:$U$40))+1,""),""),ROW()-ROW(A$43)+1)))," "),"")</f>
        <v>0</v>
      </c>
      <c r="V75">
        <f t="array" ref="V75">IFERROR(CONCATENATE(TEXT(INDEX($U$7:$U$40,SMALL(IF($X$7:$X$40&lt;&gt;"",IF($U$7:$U$40&lt;&gt;"",ROW($U$7:$U$40)-MIN(ROW($U$7:$U$40))+1,""),""),ROW()-ROW(A$43)+1)),"##0")," "),"")</f>
        <v>0</v>
      </c>
      <c r="W75">
        <f t="array" ref="W75">IFERROR(CONCATENATE((INDEX($A$7:$A$40,SMALL(IF($X$7:$X$40&lt;&gt;"",IF($U$7:$U$40&lt;&gt;"",ROW($U$7:$U$40)-MIN(ROW($U$7:$U$40))+1,""),""),ROW()-ROW(A$43)+1))),),"")</f>
        <v>0</v>
      </c>
      <c r="Z75">
        <f t="array" ref="Z75">IFERROR(CONCATENATE((INDEX($AC$7:$AC$40,SMALL(IF($AC$7:$AC$40&lt;&gt;"",IF($Z$7:$Z$40&lt;&gt;"",ROW($Z$7:$Z$40)-MIN(ROW($Z$7:$Z$40))+1,""),""),ROW()-ROW(A$43)+1))),","),"")</f>
        <v>0</v>
      </c>
      <c r="AA75">
        <f t="array" ref="AA75">IFERROR(CONCATENATE(TEXT(INDEX($Z$7:$Z$40,SMALL(IF($AC$7:$AC$40&lt;&gt;"",IF($Z$7:$Z$40&lt;&gt;"",ROW($Z$7:$Z$40)-MIN(ROW($Z$7:$Z$40))+1,""),""),ROW()-ROW(A$43)+1)),"##0"),","),"")</f>
        <v>0</v>
      </c>
      <c r="AB75">
        <f t="array" ref="AB75">IFERROR(CONCATENATE((INDEX($A$7:$A$40,SMALL(IF($AC$7:$AC$40&lt;&gt;"",IF($Z$7:$Z$40&lt;&gt;"",ROW($Z$7:$Z$40)-MIN(ROW($Z$7:$Z$40))+1,""),""),ROW()-ROW(A$43)+1))),),"")</f>
        <v>0</v>
      </c>
      <c r="AE75">
        <f t="array" ref="AE75">IFERROR(CONCATENATE((INDEX($AH$7:$AH$40,SMALL(IF($AH$7:$AH$40&lt;&gt;"",IF($AE$7:$AE$40&lt;&gt;"",ROW($AE$7:$AE$40)-MIN(ROW($AE$7:$AE$40))+1,""),""),ROW()-ROW(A$43)+1)))," "),"")</f>
        <v>0</v>
      </c>
      <c r="AF75">
        <f t="array" ref="AF75">IFERROR(CONCATENATE(TEXT(INDEX($AE$7:$AE$40,SMALL(IF($AH$7:$AH$40&lt;&gt;"",IF($AE$7:$AE$40&lt;&gt;"",ROW($AE$7:$AE$40)-MIN(ROW($AE$7:$AE$40))+1,""),""),ROW()-ROW(A$43)+1)),"##0")," "),"")</f>
        <v>0</v>
      </c>
      <c r="AG75">
        <f t="array" ref="AG75">IFERROR(CONCATENATE((INDEX($A$7:$A$40,SMALL(IF($AH$7:$AH$40&lt;&gt;"",IF($AE$7:$AE$40&lt;&gt;"",ROW($AE$7:$AE$40)-MIN(ROW($AE$7:$AE$40))+1,""),""),ROW()-ROW(A$43)+1))),),"")</f>
        <v>0</v>
      </c>
      <c r="AJ75">
        <f t="array" ref="AJ75">IFERROR(CONCATENATE((INDEX($AM$7:$AM$40,SMALL(IF($AM$7:$AM$40&lt;&gt;"",IF($AJ$7:$AJ$40&lt;&gt;"",ROW($AJ$7:$AJ$40)-MIN(ROW($AJ$7:$AJ$40))+1,""),""),ROW()-ROW(A$43)+1)))," "),"")</f>
        <v>0</v>
      </c>
      <c r="AK75">
        <f t="array" ref="AK75">IFERROR(CONCATENATE(TEXT(INDEX($AJ$7:$AJ$40,SMALL(IF($AM$7:$AM$40&lt;&gt;"",IF($AJ$7:$AJ$40&lt;&gt;"",ROW($AJ$7:$AJ$40)-MIN(ROW($AJ$7:$AJ$40))+1,""),""),ROW()-ROW(A$43)+1)),"##0")," "),"")</f>
        <v>0</v>
      </c>
      <c r="AL75">
        <f t="array" ref="AL75">IFERROR(CONCATENATE((INDEX($A$7:$A$40,SMALL(IF($AM$7:$AM$40&lt;&gt;"",IF($AJ$7:$AJ$40&lt;&gt;"",ROW($AJ$7:$AJ$40)-MIN(ROW($AJ$7:$AJ$40))+1,""),""),ROW()-ROW(A$43)+1))),),"")</f>
        <v>0</v>
      </c>
    </row>
    <row r="76" spans="11:38">
      <c r="K76">
        <f t="array" ref="K76">IFERROR(CONCATENATE(TEXT(INDEX($K$7:$K$40,SMALL(IF($N$7:$N$40&lt;&gt;"",IF($K$7:$K$40&lt;&gt;"",ROW($K$7:$K$40)-MIN(ROW($K$7:$K$40))+1,""),""),ROW()-ROW(A$43)+1)),"##0"),","),"")</f>
        <v>0</v>
      </c>
      <c r="L76">
        <f t="array" ref="L76">IFERROR(CONCATENATE((INDEX($N$7:$N$40,SMALL(IF($N$7:$N$40&lt;&gt;"",IF($K$7:$K$40&lt;&gt;"",ROW($K$7:$K$40)-MIN(ROW($K$7:$K$40))+1,""),""),ROW()-ROW(A$43)+1))),","),"")</f>
        <v>0</v>
      </c>
      <c r="M76">
        <f t="array" ref="M76">IFERROR(CONCATENATE((INDEX($A$7:$A$40,SMALL(IF($N$7:$N$40&lt;&gt;"",IF($K$7:$K$40&lt;&gt;"",ROW($K$7:$K$40)-MIN(ROW($K$7:$K$40))+1,""),""),ROW()-ROW(A$43)+1))),),"")</f>
        <v>0</v>
      </c>
      <c r="P76">
        <f t="array" ref="P76">IFERROR(CONCATENATE((INDEX($S$7:$S$40,SMALL(IF($S$7:$S$40&lt;&gt;"",IF($P$7:$P$40&lt;&gt;"",ROW($P$7:$P$40)-MIN(ROW($P$7:$P$40))+1,""),""),ROW()-ROW(A$43)+1)))," "),"")</f>
        <v>0</v>
      </c>
      <c r="Q76">
        <f t="array" ref="Q76">IFERROR(CONCATENATE(TEXT(INDEX($P$7:$P$40,SMALL(IF($S$7:$S$40&lt;&gt;"",IF($P$7:$P$40&lt;&gt;"",ROW($P$7:$P$40)-MIN(ROW($P$7:$P$40))+1,""),""),ROW()-ROW(A$43)+1)),"##0")," "),"")</f>
        <v>0</v>
      </c>
      <c r="R76">
        <f t="array" ref="R76">IFERROR(CONCATENATE((INDEX($A$7:$A$40,SMALL(IF($S$7:$S$40&lt;&gt;"",IF($P$7:$P$40&lt;&gt;"",ROW($P$7:$P$40)-MIN(ROW($P$7:$P$40))+1,""),""),ROW()-ROW(A$43)+1))),),"")</f>
        <v>0</v>
      </c>
      <c r="U76">
        <f t="array" ref="U76">IFERROR(CONCATENATE((INDEX($X$7:$X$40,SMALL(IF($X$7:$X$40&lt;&gt;"",IF($U$7:$U$40&lt;&gt;"",ROW($U$7:$U$40)-MIN(ROW($U$7:$U$40))+1,""),""),ROW()-ROW(A$43)+1)))," "),"")</f>
        <v>0</v>
      </c>
      <c r="V76">
        <f t="array" ref="V76">IFERROR(CONCATENATE(TEXT(INDEX($U$7:$U$40,SMALL(IF($X$7:$X$40&lt;&gt;"",IF($U$7:$U$40&lt;&gt;"",ROW($U$7:$U$40)-MIN(ROW($U$7:$U$40))+1,""),""),ROW()-ROW(A$43)+1)),"##0")," "),"")</f>
        <v>0</v>
      </c>
      <c r="W76">
        <f t="array" ref="W76">IFERROR(CONCATENATE((INDEX($A$7:$A$40,SMALL(IF($X$7:$X$40&lt;&gt;"",IF($U$7:$U$40&lt;&gt;"",ROW($U$7:$U$40)-MIN(ROW($U$7:$U$40))+1,""),""),ROW()-ROW(A$43)+1))),),"")</f>
        <v>0</v>
      </c>
      <c r="Z76">
        <f t="array" ref="Z76">IFERROR(CONCATENATE((INDEX($AC$7:$AC$40,SMALL(IF($AC$7:$AC$40&lt;&gt;"",IF($Z$7:$Z$40&lt;&gt;"",ROW($Z$7:$Z$40)-MIN(ROW($Z$7:$Z$40))+1,""),""),ROW()-ROW(A$43)+1))),","),"")</f>
        <v>0</v>
      </c>
      <c r="AA76">
        <f t="array" ref="AA76">IFERROR(CONCATENATE(TEXT(INDEX($Z$7:$Z$40,SMALL(IF($AC$7:$AC$40&lt;&gt;"",IF($Z$7:$Z$40&lt;&gt;"",ROW($Z$7:$Z$40)-MIN(ROW($Z$7:$Z$40))+1,""),""),ROW()-ROW(A$43)+1)),"##0"),","),"")</f>
        <v>0</v>
      </c>
      <c r="AB76">
        <f t="array" ref="AB76">IFERROR(CONCATENATE((INDEX($A$7:$A$40,SMALL(IF($AC$7:$AC$40&lt;&gt;"",IF($Z$7:$Z$40&lt;&gt;"",ROW($Z$7:$Z$40)-MIN(ROW($Z$7:$Z$40))+1,""),""),ROW()-ROW(A$43)+1))),),"")</f>
        <v>0</v>
      </c>
      <c r="AE76">
        <f t="array" ref="AE76">IFERROR(CONCATENATE((INDEX($AH$7:$AH$40,SMALL(IF($AH$7:$AH$40&lt;&gt;"",IF($AE$7:$AE$40&lt;&gt;"",ROW($AE$7:$AE$40)-MIN(ROW($AE$7:$AE$40))+1,""),""),ROW()-ROW(A$43)+1)))," "),"")</f>
        <v>0</v>
      </c>
      <c r="AF76">
        <f t="array" ref="AF76">IFERROR(CONCATENATE(TEXT(INDEX($AE$7:$AE$40,SMALL(IF($AH$7:$AH$40&lt;&gt;"",IF($AE$7:$AE$40&lt;&gt;"",ROW($AE$7:$AE$40)-MIN(ROW($AE$7:$AE$40))+1,""),""),ROW()-ROW(A$43)+1)),"##0")," "),"")</f>
        <v>0</v>
      </c>
      <c r="AG76">
        <f t="array" ref="AG76">IFERROR(CONCATENATE((INDEX($A$7:$A$40,SMALL(IF($AH$7:$AH$40&lt;&gt;"",IF($AE$7:$AE$40&lt;&gt;"",ROW($AE$7:$AE$40)-MIN(ROW($AE$7:$AE$40))+1,""),""),ROW()-ROW(A$43)+1))),),"")</f>
        <v>0</v>
      </c>
      <c r="AJ76">
        <f t="array" ref="AJ76">IFERROR(CONCATENATE((INDEX($AM$7:$AM$40,SMALL(IF($AM$7:$AM$40&lt;&gt;"",IF($AJ$7:$AJ$40&lt;&gt;"",ROW($AJ$7:$AJ$40)-MIN(ROW($AJ$7:$AJ$40))+1,""),""),ROW()-ROW(A$43)+1)))," "),"")</f>
        <v>0</v>
      </c>
      <c r="AK76">
        <f t="array" ref="AK76">IFERROR(CONCATENATE(TEXT(INDEX($AJ$7:$AJ$40,SMALL(IF($AM$7:$AM$40&lt;&gt;"",IF($AJ$7:$AJ$40&lt;&gt;"",ROW($AJ$7:$AJ$40)-MIN(ROW($AJ$7:$AJ$40))+1,""),""),ROW()-ROW(A$43)+1)),"##0")," "),"")</f>
        <v>0</v>
      </c>
      <c r="AL76">
        <f t="array" ref="AL76">IFERROR(CONCATENATE((INDEX($A$7:$A$40,SMALL(IF($AM$7:$AM$40&lt;&gt;"",IF($AJ$7:$AJ$40&lt;&gt;"",ROW($AJ$7:$AJ$40)-MIN(ROW($AJ$7:$AJ$40))+1,""),""),ROW()-ROW(A$43)+1))),),"")</f>
        <v>0</v>
      </c>
    </row>
  </sheetData>
  <mergeCells count="7">
    <mergeCell ref="A5:I5"/>
    <mergeCell ref="J5:N5"/>
    <mergeCell ref="O5:S5"/>
    <mergeCell ref="T5:X5"/>
    <mergeCell ref="Y5:AC5"/>
    <mergeCell ref="AD5:AH5"/>
    <mergeCell ref="AI5:AM5"/>
  </mergeCells>
  <conditionalFormatting sqref="AA13">
    <cfRule type="cellIs" dxfId="4" priority="336" operator="lessThanOrEqual">
      <formula>H13</formula>
    </cfRule>
  </conditionalFormatting>
  <conditionalFormatting sqref="AA14">
    <cfRule type="cellIs" dxfId="4" priority="341" operator="lessThanOrEqual">
      <formula>H14</formula>
    </cfRule>
  </conditionalFormatting>
  <conditionalFormatting sqref="AA18">
    <cfRule type="cellIs" dxfId="4" priority="346" operator="lessThanOrEqual">
      <formula>H18</formula>
    </cfRule>
  </conditionalFormatting>
  <conditionalFormatting sqref="AA20">
    <cfRule type="cellIs" dxfId="4" priority="351" operator="lessThanOrEqual">
      <formula>H20</formula>
    </cfRule>
  </conditionalFormatting>
  <conditionalFormatting sqref="AA21">
    <cfRule type="cellIs" dxfId="4" priority="356" operator="lessThanOrEqual">
      <formula>H21</formula>
    </cfRule>
  </conditionalFormatting>
  <conditionalFormatting sqref="AA22">
    <cfRule type="cellIs" dxfId="4" priority="361" operator="lessThanOrEqual">
      <formula>H22</formula>
    </cfRule>
  </conditionalFormatting>
  <conditionalFormatting sqref="AA23">
    <cfRule type="cellIs" dxfId="4" priority="366" operator="lessThanOrEqual">
      <formula>H23</formula>
    </cfRule>
  </conditionalFormatting>
  <conditionalFormatting sqref="AA25">
    <cfRule type="cellIs" dxfId="4" priority="371" operator="lessThanOrEqual">
      <formula>H25</formula>
    </cfRule>
  </conditionalFormatting>
  <conditionalFormatting sqref="AA27">
    <cfRule type="cellIs" dxfId="4" priority="376" operator="lessThanOrEqual">
      <formula>H27</formula>
    </cfRule>
  </conditionalFormatting>
  <conditionalFormatting sqref="AA28">
    <cfRule type="cellIs" dxfId="4" priority="381" operator="lessThanOrEqual">
      <formula>H28</formula>
    </cfRule>
  </conditionalFormatting>
  <conditionalFormatting sqref="AB13">
    <cfRule type="cellIs" dxfId="4" priority="335" operator="lessThanOrEqual">
      <formula>I13</formula>
    </cfRule>
  </conditionalFormatting>
  <conditionalFormatting sqref="AB14">
    <cfRule type="cellIs" dxfId="4" priority="340" operator="lessThanOrEqual">
      <formula>I14</formula>
    </cfRule>
  </conditionalFormatting>
  <conditionalFormatting sqref="AB18">
    <cfRule type="cellIs" dxfId="4" priority="345" operator="lessThanOrEqual">
      <formula>I18</formula>
    </cfRule>
  </conditionalFormatting>
  <conditionalFormatting sqref="AB20">
    <cfRule type="cellIs" dxfId="4" priority="350" operator="lessThanOrEqual">
      <formula>I20</formula>
    </cfRule>
  </conditionalFormatting>
  <conditionalFormatting sqref="AB21">
    <cfRule type="cellIs" dxfId="4" priority="355" operator="lessThanOrEqual">
      <formula>I21</formula>
    </cfRule>
  </conditionalFormatting>
  <conditionalFormatting sqref="AB22">
    <cfRule type="cellIs" dxfId="4" priority="360" operator="lessThanOrEqual">
      <formula>I22</formula>
    </cfRule>
  </conditionalFormatting>
  <conditionalFormatting sqref="AB23">
    <cfRule type="cellIs" dxfId="4" priority="365" operator="lessThanOrEqual">
      <formula>I23</formula>
    </cfRule>
  </conditionalFormatting>
  <conditionalFormatting sqref="AB25">
    <cfRule type="cellIs" dxfId="4" priority="370" operator="lessThanOrEqual">
      <formula>I25</formula>
    </cfRule>
  </conditionalFormatting>
  <conditionalFormatting sqref="AB27">
    <cfRule type="cellIs" dxfId="4" priority="375" operator="lessThanOrEqual">
      <formula>I27</formula>
    </cfRule>
  </conditionalFormatting>
  <conditionalFormatting sqref="AB28">
    <cfRule type="cellIs" dxfId="4" priority="380" operator="lessThanOrEqual">
      <formula>I28</formula>
    </cfRule>
  </conditionalFormatting>
  <conditionalFormatting sqref="AD16">
    <cfRule type="cellIs" dxfId="1" priority="382" operator="equal">
      <formula>0</formula>
    </cfRule>
    <cfRule type="cellIs" dxfId="2" priority="383" operator="lessThan">
      <formula>G16</formula>
    </cfRule>
  </conditionalFormatting>
  <conditionalFormatting sqref="AD18">
    <cfRule type="cellIs" dxfId="1" priority="387" operator="equal">
      <formula>0</formula>
    </cfRule>
    <cfRule type="cellIs" dxfId="2" priority="388" operator="lessThan">
      <formula>G18</formula>
    </cfRule>
  </conditionalFormatting>
  <conditionalFormatting sqref="AD20">
    <cfRule type="cellIs" dxfId="1" priority="392" operator="equal">
      <formula>0</formula>
    </cfRule>
    <cfRule type="cellIs" dxfId="2" priority="393" operator="lessThan">
      <formula>G20</formula>
    </cfRule>
  </conditionalFormatting>
  <conditionalFormatting sqref="AD27">
    <cfRule type="cellIs" dxfId="1" priority="397" operator="equal">
      <formula>0</formula>
    </cfRule>
    <cfRule type="cellIs" dxfId="2" priority="398" operator="lessThan">
      <formula>G27</formula>
    </cfRule>
  </conditionalFormatting>
  <conditionalFormatting sqref="AD32">
    <cfRule type="cellIs" dxfId="1" priority="402" operator="equal">
      <formula>0</formula>
    </cfRule>
    <cfRule type="cellIs" dxfId="2" priority="403" operator="lessThan">
      <formula>G32</formula>
    </cfRule>
  </conditionalFormatting>
  <conditionalFormatting sqref="AE16">
    <cfRule type="cellIs" dxfId="1" priority="384" operator="greaterThan">
      <formula>AD16</formula>
    </cfRule>
  </conditionalFormatting>
  <conditionalFormatting sqref="AE18">
    <cfRule type="cellIs" dxfId="1" priority="389" operator="greaterThan">
      <formula>AD18</formula>
    </cfRule>
  </conditionalFormatting>
  <conditionalFormatting sqref="AE20">
    <cfRule type="cellIs" dxfId="1" priority="394" operator="greaterThan">
      <formula>AD20</formula>
    </cfRule>
  </conditionalFormatting>
  <conditionalFormatting sqref="AE27">
    <cfRule type="cellIs" dxfId="1" priority="399" operator="greaterThan">
      <formula>AD27</formula>
    </cfRule>
  </conditionalFormatting>
  <conditionalFormatting sqref="AE32">
    <cfRule type="cellIs" dxfId="1" priority="404" operator="greaterThan">
      <formula>AD32</formula>
    </cfRule>
  </conditionalFormatting>
  <conditionalFormatting sqref="AF16">
    <cfRule type="cellIs" dxfId="4" priority="386" operator="lessThanOrEqual">
      <formula>H16</formula>
    </cfRule>
  </conditionalFormatting>
  <conditionalFormatting sqref="AF18">
    <cfRule type="cellIs" dxfId="4" priority="391" operator="lessThanOrEqual">
      <formula>H18</formula>
    </cfRule>
  </conditionalFormatting>
  <conditionalFormatting sqref="AF20">
    <cfRule type="cellIs" dxfId="4" priority="396" operator="lessThanOrEqual">
      <formula>H20</formula>
    </cfRule>
  </conditionalFormatting>
  <conditionalFormatting sqref="AF27">
    <cfRule type="cellIs" dxfId="4" priority="401" operator="lessThanOrEqual">
      <formula>H27</formula>
    </cfRule>
  </conditionalFormatting>
  <conditionalFormatting sqref="AF32">
    <cfRule type="cellIs" dxfId="4" priority="406" operator="lessThanOrEqual">
      <formula>H32</formula>
    </cfRule>
  </conditionalFormatting>
  <conditionalFormatting sqref="AG16">
    <cfRule type="cellIs" dxfId="4" priority="385" operator="lessThanOrEqual">
      <formula>I16</formula>
    </cfRule>
  </conditionalFormatting>
  <conditionalFormatting sqref="AG18">
    <cfRule type="cellIs" dxfId="4" priority="390" operator="lessThanOrEqual">
      <formula>I18</formula>
    </cfRule>
  </conditionalFormatting>
  <conditionalFormatting sqref="AG20">
    <cfRule type="cellIs" dxfId="4" priority="395" operator="lessThanOrEqual">
      <formula>I20</formula>
    </cfRule>
  </conditionalFormatting>
  <conditionalFormatting sqref="AG27">
    <cfRule type="cellIs" dxfId="4" priority="400" operator="lessThanOrEqual">
      <formula>I27</formula>
    </cfRule>
  </conditionalFormatting>
  <conditionalFormatting sqref="AG32">
    <cfRule type="cellIs" dxfId="4" priority="405" operator="lessThanOrEqual">
      <formula>I32</formula>
    </cfRule>
  </conditionalFormatting>
  <conditionalFormatting sqref="AI13">
    <cfRule type="cellIs" dxfId="1" priority="412" operator="equal">
      <formula>0</formula>
    </cfRule>
    <cfRule type="cellIs" dxfId="2" priority="413" operator="lessThan">
      <formula>G13</formula>
    </cfRule>
  </conditionalFormatting>
  <conditionalFormatting sqref="AI15">
    <cfRule type="cellIs" dxfId="1" priority="417" operator="equal">
      <formula>0</formula>
    </cfRule>
    <cfRule type="cellIs" dxfId="2" priority="418" operator="lessThan">
      <formula>G15</formula>
    </cfRule>
  </conditionalFormatting>
  <conditionalFormatting sqref="AI16">
    <cfRule type="cellIs" dxfId="1" priority="422" operator="equal">
      <formula>0</formula>
    </cfRule>
    <cfRule type="cellIs" dxfId="2" priority="423" operator="lessThan">
      <formula>G16</formula>
    </cfRule>
  </conditionalFormatting>
  <conditionalFormatting sqref="AI18">
    <cfRule type="cellIs" dxfId="1" priority="427" operator="equal">
      <formula>0</formula>
    </cfRule>
    <cfRule type="cellIs" dxfId="2" priority="428" operator="lessThan">
      <formula>G18</formula>
    </cfRule>
  </conditionalFormatting>
  <conditionalFormatting sqref="AI26">
    <cfRule type="cellIs" dxfId="1" priority="432" operator="equal">
      <formula>0</formula>
    </cfRule>
    <cfRule type="cellIs" dxfId="2" priority="433" operator="lessThan">
      <formula>G26</formula>
    </cfRule>
  </conditionalFormatting>
  <conditionalFormatting sqref="AI28">
    <cfRule type="cellIs" dxfId="1" priority="437" operator="equal">
      <formula>0</formula>
    </cfRule>
    <cfRule type="cellIs" dxfId="2" priority="438" operator="lessThan">
      <formula>G28</formula>
    </cfRule>
  </conditionalFormatting>
  <conditionalFormatting sqref="AI29">
    <cfRule type="cellIs" dxfId="1" priority="442" operator="equal">
      <formula>0</formula>
    </cfRule>
    <cfRule type="cellIs" dxfId="2" priority="443" operator="lessThan">
      <formula>G29</formula>
    </cfRule>
  </conditionalFormatting>
  <conditionalFormatting sqref="AI33">
    <cfRule type="cellIs" dxfId="1" priority="447" operator="equal">
      <formula>0</formula>
    </cfRule>
    <cfRule type="cellIs" dxfId="2" priority="448" operator="lessThan">
      <formula>G33</formula>
    </cfRule>
  </conditionalFormatting>
  <conditionalFormatting sqref="AI35">
    <cfRule type="cellIs" dxfId="1" priority="452" operator="equal">
      <formula>0</formula>
    </cfRule>
    <cfRule type="cellIs" dxfId="2" priority="453" operator="lessThan">
      <formula>G35</formula>
    </cfRule>
  </conditionalFormatting>
  <conditionalFormatting sqref="AI36">
    <cfRule type="cellIs" dxfId="1" priority="457" operator="equal">
      <formula>0</formula>
    </cfRule>
    <cfRule type="cellIs" dxfId="2" priority="458" operator="lessThan">
      <formula>G36</formula>
    </cfRule>
  </conditionalFormatting>
  <conditionalFormatting sqref="AI37">
    <cfRule type="cellIs" dxfId="1" priority="462" operator="equal">
      <formula>0</formula>
    </cfRule>
    <cfRule type="cellIs" dxfId="2" priority="463" operator="lessThan">
      <formula>G37</formula>
    </cfRule>
  </conditionalFormatting>
  <conditionalFormatting sqref="AI40">
    <cfRule type="cellIs" dxfId="1" priority="467" operator="equal">
      <formula>0</formula>
    </cfRule>
    <cfRule type="cellIs" dxfId="2" priority="468" operator="lessThan">
      <formula>G40</formula>
    </cfRule>
  </conditionalFormatting>
  <conditionalFormatting sqref="AI8">
    <cfRule type="cellIs" dxfId="1" priority="407" operator="equal">
      <formula>0</formula>
    </cfRule>
    <cfRule type="cellIs" dxfId="2" priority="408" operator="lessThan">
      <formula>G8</formula>
    </cfRule>
  </conditionalFormatting>
  <conditionalFormatting sqref="AJ13">
    <cfRule type="cellIs" dxfId="1" priority="414" operator="greaterThan">
      <formula>AI13</formula>
    </cfRule>
  </conditionalFormatting>
  <conditionalFormatting sqref="AJ15">
    <cfRule type="cellIs" dxfId="1" priority="419" operator="greaterThan">
      <formula>AI15</formula>
    </cfRule>
  </conditionalFormatting>
  <conditionalFormatting sqref="AJ16">
    <cfRule type="cellIs" dxfId="1" priority="424" operator="greaterThan">
      <formula>AI16</formula>
    </cfRule>
  </conditionalFormatting>
  <conditionalFormatting sqref="AJ18">
    <cfRule type="cellIs" dxfId="1" priority="429" operator="greaterThan">
      <formula>AI18</formula>
    </cfRule>
  </conditionalFormatting>
  <conditionalFormatting sqref="AJ26">
    <cfRule type="cellIs" dxfId="1" priority="434" operator="greaterThan">
      <formula>AI26</formula>
    </cfRule>
  </conditionalFormatting>
  <conditionalFormatting sqref="AJ28">
    <cfRule type="cellIs" dxfId="1" priority="439" operator="greaterThan">
      <formula>AI28</formula>
    </cfRule>
  </conditionalFormatting>
  <conditionalFormatting sqref="AJ29">
    <cfRule type="cellIs" dxfId="1" priority="444" operator="greaterThan">
      <formula>AI29</formula>
    </cfRule>
  </conditionalFormatting>
  <conditionalFormatting sqref="AJ33">
    <cfRule type="cellIs" dxfId="1" priority="449" operator="greaterThan">
      <formula>AI33</formula>
    </cfRule>
  </conditionalFormatting>
  <conditionalFormatting sqref="AJ35">
    <cfRule type="cellIs" dxfId="1" priority="454" operator="greaterThan">
      <formula>AI35</formula>
    </cfRule>
  </conditionalFormatting>
  <conditionalFormatting sqref="AJ36">
    <cfRule type="cellIs" dxfId="1" priority="459" operator="greaterThan">
      <formula>AI36</formula>
    </cfRule>
  </conditionalFormatting>
  <conditionalFormatting sqref="AJ37">
    <cfRule type="cellIs" dxfId="1" priority="464" operator="greaterThan">
      <formula>AI37</formula>
    </cfRule>
  </conditionalFormatting>
  <conditionalFormatting sqref="AJ40">
    <cfRule type="cellIs" dxfId="1" priority="469" operator="greaterThan">
      <formula>AI40</formula>
    </cfRule>
  </conditionalFormatting>
  <conditionalFormatting sqref="AJ8">
    <cfRule type="cellIs" dxfId="1" priority="409" operator="greaterThan">
      <formula>AI8</formula>
    </cfRule>
  </conditionalFormatting>
  <conditionalFormatting sqref="AK13">
    <cfRule type="cellIs" dxfId="4" priority="416" operator="lessThanOrEqual">
      <formula>H13</formula>
    </cfRule>
  </conditionalFormatting>
  <conditionalFormatting sqref="AK15">
    <cfRule type="cellIs" dxfId="4" priority="421" operator="lessThanOrEqual">
      <formula>H15</formula>
    </cfRule>
  </conditionalFormatting>
  <conditionalFormatting sqref="AK16">
    <cfRule type="cellIs" dxfId="4" priority="426" operator="lessThanOrEqual">
      <formula>H16</formula>
    </cfRule>
  </conditionalFormatting>
  <conditionalFormatting sqref="AK18">
    <cfRule type="cellIs" dxfId="4" priority="431" operator="lessThanOrEqual">
      <formula>H18</formula>
    </cfRule>
  </conditionalFormatting>
  <conditionalFormatting sqref="AK26">
    <cfRule type="cellIs" dxfId="4" priority="436" operator="lessThanOrEqual">
      <formula>H26</formula>
    </cfRule>
  </conditionalFormatting>
  <conditionalFormatting sqref="AK28">
    <cfRule type="cellIs" dxfId="4" priority="441" operator="lessThanOrEqual">
      <formula>H28</formula>
    </cfRule>
  </conditionalFormatting>
  <conditionalFormatting sqref="AK29">
    <cfRule type="cellIs" dxfId="4" priority="446" operator="lessThanOrEqual">
      <formula>H29</formula>
    </cfRule>
  </conditionalFormatting>
  <conditionalFormatting sqref="AK33">
    <cfRule type="cellIs" dxfId="4" priority="451" operator="lessThanOrEqual">
      <formula>H33</formula>
    </cfRule>
  </conditionalFormatting>
  <conditionalFormatting sqref="AK35">
    <cfRule type="cellIs" dxfId="4" priority="456" operator="lessThanOrEqual">
      <formula>H35</formula>
    </cfRule>
  </conditionalFormatting>
  <conditionalFormatting sqref="AK36">
    <cfRule type="cellIs" dxfId="4" priority="461" operator="lessThanOrEqual">
      <formula>H36</formula>
    </cfRule>
  </conditionalFormatting>
  <conditionalFormatting sqref="AK37">
    <cfRule type="cellIs" dxfId="4" priority="466" operator="lessThanOrEqual">
      <formula>H37</formula>
    </cfRule>
  </conditionalFormatting>
  <conditionalFormatting sqref="AK40">
    <cfRule type="cellIs" dxfId="4" priority="471" operator="lessThanOrEqual">
      <formula>H40</formula>
    </cfRule>
  </conditionalFormatting>
  <conditionalFormatting sqref="AK8">
    <cfRule type="cellIs" dxfId="4" priority="411" operator="lessThanOrEqual">
      <formula>H8</formula>
    </cfRule>
  </conditionalFormatting>
  <conditionalFormatting sqref="AL13">
    <cfRule type="cellIs" dxfId="4" priority="415" operator="lessThanOrEqual">
      <formula>I13</formula>
    </cfRule>
  </conditionalFormatting>
  <conditionalFormatting sqref="AL15">
    <cfRule type="cellIs" dxfId="4" priority="420" operator="lessThanOrEqual">
      <formula>I15</formula>
    </cfRule>
  </conditionalFormatting>
  <conditionalFormatting sqref="AL16">
    <cfRule type="cellIs" dxfId="4" priority="425" operator="lessThanOrEqual">
      <formula>I16</formula>
    </cfRule>
  </conditionalFormatting>
  <conditionalFormatting sqref="AL18">
    <cfRule type="cellIs" dxfId="4" priority="430" operator="lessThanOrEqual">
      <formula>I18</formula>
    </cfRule>
  </conditionalFormatting>
  <conditionalFormatting sqref="AL26">
    <cfRule type="cellIs" dxfId="4" priority="435" operator="lessThanOrEqual">
      <formula>I26</formula>
    </cfRule>
  </conditionalFormatting>
  <conditionalFormatting sqref="AL28">
    <cfRule type="cellIs" dxfId="4" priority="440" operator="lessThanOrEqual">
      <formula>I28</formula>
    </cfRule>
  </conditionalFormatting>
  <conditionalFormatting sqref="AL29">
    <cfRule type="cellIs" dxfId="4" priority="445" operator="lessThanOrEqual">
      <formula>I29</formula>
    </cfRule>
  </conditionalFormatting>
  <conditionalFormatting sqref="AL33">
    <cfRule type="cellIs" dxfId="4" priority="450" operator="lessThanOrEqual">
      <formula>I33</formula>
    </cfRule>
  </conditionalFormatting>
  <conditionalFormatting sqref="AL35">
    <cfRule type="cellIs" dxfId="4" priority="455" operator="lessThanOrEqual">
      <formula>I35</formula>
    </cfRule>
  </conditionalFormatting>
  <conditionalFormatting sqref="AL36">
    <cfRule type="cellIs" dxfId="4" priority="460" operator="lessThanOrEqual">
      <formula>I36</formula>
    </cfRule>
  </conditionalFormatting>
  <conditionalFormatting sqref="AL37">
    <cfRule type="cellIs" dxfId="4" priority="465" operator="lessThanOrEqual">
      <formula>I37</formula>
    </cfRule>
  </conditionalFormatting>
  <conditionalFormatting sqref="AL40">
    <cfRule type="cellIs" dxfId="4" priority="470" operator="lessThanOrEqual">
      <formula>I40</formula>
    </cfRule>
  </conditionalFormatting>
  <conditionalFormatting sqref="AL8">
    <cfRule type="cellIs" dxfId="4" priority="410" operator="lessThanOrEqual">
      <formula>I8</formula>
    </cfRule>
  </conditionalFormatting>
  <conditionalFormatting sqref="G10">
    <cfRule type="expression" dxfId="0" priority="13">
      <formula>AND(ISBLANK(F10),ISBLANK(INDIRECT(ADDRESS(ROW(),COLUMN(rs_part_data)+4))),ISBLANK(INDIRECT(ADDRESS(ROW(),COLUMN(digikey_part_data)+4))),ISBLANK(INDIRECT(ADDRESS(ROW(),COLUMN(mouser_part_data)+4))),ISBLANK(INDIRECT(ADDRESS(ROW(),COLUMN(farnell_part_data)+4))),ISBLANK(INDIRECT(ADDRESS(ROW(),COLUMN(tme_part_data)+4))),ISBLANK(INDIRECT(ADDRESS(ROW(),COLUMN(newark_part_data)+4))))</formula>
    </cfRule>
    <cfRule type="expression" dxfId="1" priority="14">
      <formula>IF(SUM(INDIRECT(ADDRESS(ROW(),COLUMN(rs_part_data)+0)),INDIRECT(ADDRESS(ROW(),COLUMN(digikey_part_data)+0)),INDIRECT(ADDRESS(ROW(),COLUMN(mouser_part_data)+0)),INDIRECT(ADDRESS(ROW(),COLUMN(farnell_part_data)+0)),INDIRECT(ADDRESS(ROW(),COLUMN(tme_part_data)+0)),INDIRECT(ADDRESS(ROW(),COLUMN(newark_part_data)+0)))=0,1,0)</formula>
    </cfRule>
    <cfRule type="cellIs" dxfId="2" priority="15" operator="greaterThan">
      <formula>SUM(INDIRECT(ADDRESS(ROW(),COLUMN(rs_part_data)+0)),INDIRECT(ADDRESS(ROW(),COLUMN(digikey_part_data)+0)),INDIRECT(ADDRESS(ROW(),COLUMN(mouser_part_data)+0)),INDIRECT(ADDRESS(ROW(),COLUMN(farnell_part_data)+0)),INDIRECT(ADDRESS(ROW(),COLUMN(tme_part_data)+0)),INDIRECT(ADDRESS(ROW(),COLUMN(newark_part_data)+0)))</formula>
    </cfRule>
    <cfRule type="cellIs" dxfId="3" priority="16" operator="greaterThan">
      <formula>SUM(IF(ISNUMBER(INDIRECT(ADDRESS(ROW(),COLUMN(rs_part_data)+2))),INDIRECT(ADDRESS(ROW(),COLUMN(rs_part_data)+1)),0),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farnell_part_data)+2))),INDIRECT(ADDRESS(ROW(),COLUMN(farnell_part_data)+1)),0),IF(ISNUMBER(INDIRECT(ADDRESS(ROW(),COLUMN(tme_part_data)+2))),INDIRECT(ADDRESS(ROW(),COLUMN(tme_part_data)+1)),0),IF(ISNUMBER(INDIRECT(ADDRESS(ROW(),COLUMN(newark_part_data)+2))),INDIRECT(ADDRESS(ROW(),COLUMN(newark_part_data)+1)),0))</formula>
    </cfRule>
  </conditionalFormatting>
  <conditionalFormatting sqref="G11">
    <cfRule type="expression" dxfId="0" priority="17">
      <formula>AND(ISBLANK(F11),ISBLANK(INDIRECT(ADDRESS(ROW(),COLUMN(rs_part_data)+4))),ISBLANK(INDIRECT(ADDRESS(ROW(),COLUMN(digikey_part_data)+4))),ISBLANK(INDIRECT(ADDRESS(ROW(),COLUMN(mouser_part_data)+4))),ISBLANK(INDIRECT(ADDRESS(ROW(),COLUMN(farnell_part_data)+4))),ISBLANK(INDIRECT(ADDRESS(ROW(),COLUMN(tme_part_data)+4))),ISBLANK(INDIRECT(ADDRESS(ROW(),COLUMN(newark_part_data)+4))))</formula>
    </cfRule>
    <cfRule type="expression" dxfId="1" priority="18">
      <formula>IF(SUM(INDIRECT(ADDRESS(ROW(),COLUMN(rs_part_data)+0)),INDIRECT(ADDRESS(ROW(),COLUMN(digikey_part_data)+0)),INDIRECT(ADDRESS(ROW(),COLUMN(mouser_part_data)+0)),INDIRECT(ADDRESS(ROW(),COLUMN(farnell_part_data)+0)),INDIRECT(ADDRESS(ROW(),COLUMN(tme_part_data)+0)),INDIRECT(ADDRESS(ROW(),COLUMN(newark_part_data)+0)))=0,1,0)</formula>
    </cfRule>
    <cfRule type="cellIs" dxfId="2" priority="19" operator="greaterThan">
      <formula>SUM(INDIRECT(ADDRESS(ROW(),COLUMN(rs_part_data)+0)),INDIRECT(ADDRESS(ROW(),COLUMN(digikey_part_data)+0)),INDIRECT(ADDRESS(ROW(),COLUMN(mouser_part_data)+0)),INDIRECT(ADDRESS(ROW(),COLUMN(farnell_part_data)+0)),INDIRECT(ADDRESS(ROW(),COLUMN(tme_part_data)+0)),INDIRECT(ADDRESS(ROW(),COLUMN(newark_part_data)+0)))</formula>
    </cfRule>
    <cfRule type="cellIs" dxfId="3" priority="20" operator="greaterThan">
      <formula>SUM(IF(ISNUMBER(INDIRECT(ADDRESS(ROW(),COLUMN(rs_part_data)+2))),INDIRECT(ADDRESS(ROW(),COLUMN(rs_part_data)+1)),0),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farnell_part_data)+2))),INDIRECT(ADDRESS(ROW(),COLUMN(farnell_part_data)+1)),0),IF(ISNUMBER(INDIRECT(ADDRESS(ROW(),COLUMN(tme_part_data)+2))),INDIRECT(ADDRESS(ROW(),COLUMN(tme_part_data)+1)),0),IF(ISNUMBER(INDIRECT(ADDRESS(ROW(),COLUMN(newark_part_data)+2))),INDIRECT(ADDRESS(ROW(),COLUMN(newark_part_data)+1)),0))</formula>
    </cfRule>
  </conditionalFormatting>
  <conditionalFormatting sqref="G12">
    <cfRule type="expression" dxfId="0" priority="21">
      <formula>AND(ISBLANK(F12),ISBLANK(INDIRECT(ADDRESS(ROW(),COLUMN(rs_part_data)+4))),ISBLANK(INDIRECT(ADDRESS(ROW(),COLUMN(digikey_part_data)+4))),ISBLANK(INDIRECT(ADDRESS(ROW(),COLUMN(mouser_part_data)+4))),ISBLANK(INDIRECT(ADDRESS(ROW(),COLUMN(farnell_part_data)+4))),ISBLANK(INDIRECT(ADDRESS(ROW(),COLUMN(tme_part_data)+4))),ISBLANK(INDIRECT(ADDRESS(ROW(),COLUMN(newark_part_data)+4))))</formula>
    </cfRule>
    <cfRule type="expression" dxfId="1" priority="22">
      <formula>IF(SUM(INDIRECT(ADDRESS(ROW(),COLUMN(rs_part_data)+0)),INDIRECT(ADDRESS(ROW(),COLUMN(digikey_part_data)+0)),INDIRECT(ADDRESS(ROW(),COLUMN(mouser_part_data)+0)),INDIRECT(ADDRESS(ROW(),COLUMN(farnell_part_data)+0)),INDIRECT(ADDRESS(ROW(),COLUMN(tme_part_data)+0)),INDIRECT(ADDRESS(ROW(),COLUMN(newark_part_data)+0)))=0,1,0)</formula>
    </cfRule>
    <cfRule type="cellIs" dxfId="2" priority="23" operator="greaterThan">
      <formula>SUM(INDIRECT(ADDRESS(ROW(),COLUMN(rs_part_data)+0)),INDIRECT(ADDRESS(ROW(),COLUMN(digikey_part_data)+0)),INDIRECT(ADDRESS(ROW(),COLUMN(mouser_part_data)+0)),INDIRECT(ADDRESS(ROW(),COLUMN(farnell_part_data)+0)),INDIRECT(ADDRESS(ROW(),COLUMN(tme_part_data)+0)),INDIRECT(ADDRESS(ROW(),COLUMN(newark_part_data)+0)))</formula>
    </cfRule>
    <cfRule type="cellIs" dxfId="3" priority="24" operator="greaterThan">
      <formula>SUM(IF(ISNUMBER(INDIRECT(ADDRESS(ROW(),COLUMN(rs_part_data)+2))),INDIRECT(ADDRESS(ROW(),COLUMN(rs_part_data)+1)),0),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farnell_part_data)+2))),INDIRECT(ADDRESS(ROW(),COLUMN(farnell_part_data)+1)),0),IF(ISNUMBER(INDIRECT(ADDRESS(ROW(),COLUMN(tme_part_data)+2))),INDIRECT(ADDRESS(ROW(),COLUMN(tme_part_data)+1)),0),IF(ISNUMBER(INDIRECT(ADDRESS(ROW(),COLUMN(newark_part_data)+2))),INDIRECT(ADDRESS(ROW(),COLUMN(newark_part_data)+1)),0))</formula>
    </cfRule>
  </conditionalFormatting>
  <conditionalFormatting sqref="G13">
    <cfRule type="expression" dxfId="0" priority="25">
      <formula>AND(ISBLANK(F13),ISBLANK(INDIRECT(ADDRESS(ROW(),COLUMN(rs_part_data)+4))),ISBLANK(INDIRECT(ADDRESS(ROW(),COLUMN(digikey_part_data)+4))),ISBLANK(INDIRECT(ADDRESS(ROW(),COLUMN(mouser_part_data)+4))),ISBLANK(INDIRECT(ADDRESS(ROW(),COLUMN(farnell_part_data)+4))),ISBLANK(INDIRECT(ADDRESS(ROW(),COLUMN(tme_part_data)+4))),ISBLANK(INDIRECT(ADDRESS(ROW(),COLUMN(newark_part_data)+4))))</formula>
    </cfRule>
    <cfRule type="expression" dxfId="1" priority="26">
      <formula>IF(SUM(INDIRECT(ADDRESS(ROW(),COLUMN(rs_part_data)+0)),INDIRECT(ADDRESS(ROW(),COLUMN(digikey_part_data)+0)),INDIRECT(ADDRESS(ROW(),COLUMN(mouser_part_data)+0)),INDIRECT(ADDRESS(ROW(),COLUMN(farnell_part_data)+0)),INDIRECT(ADDRESS(ROW(),COLUMN(tme_part_data)+0)),INDIRECT(ADDRESS(ROW(),COLUMN(newark_part_data)+0)))=0,1,0)</formula>
    </cfRule>
    <cfRule type="cellIs" dxfId="2" priority="27" operator="greaterThan">
      <formula>SUM(INDIRECT(ADDRESS(ROW(),COLUMN(rs_part_data)+0)),INDIRECT(ADDRESS(ROW(),COLUMN(digikey_part_data)+0)),INDIRECT(ADDRESS(ROW(),COLUMN(mouser_part_data)+0)),INDIRECT(ADDRESS(ROW(),COLUMN(farnell_part_data)+0)),INDIRECT(ADDRESS(ROW(),COLUMN(tme_part_data)+0)),INDIRECT(ADDRESS(ROW(),COLUMN(newark_part_data)+0)))</formula>
    </cfRule>
    <cfRule type="cellIs" dxfId="3" priority="28" operator="greaterThan">
      <formula>SUM(IF(ISNUMBER(INDIRECT(ADDRESS(ROW(),COLUMN(rs_part_data)+2))),INDIRECT(ADDRESS(ROW(),COLUMN(rs_part_data)+1)),0),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farnell_part_data)+2))),INDIRECT(ADDRESS(ROW(),COLUMN(farnell_part_data)+1)),0),IF(ISNUMBER(INDIRECT(ADDRESS(ROW(),COLUMN(tme_part_data)+2))),INDIRECT(ADDRESS(ROW(),COLUMN(tme_part_data)+1)),0),IF(ISNUMBER(INDIRECT(ADDRESS(ROW(),COLUMN(newark_part_data)+2))),INDIRECT(ADDRESS(ROW(),COLUMN(newark_part_data)+1)),0))</formula>
    </cfRule>
  </conditionalFormatting>
  <conditionalFormatting sqref="G14">
    <cfRule type="expression" dxfId="0" priority="29">
      <formula>AND(ISBLANK(F14),ISBLANK(INDIRECT(ADDRESS(ROW(),COLUMN(rs_part_data)+4))),ISBLANK(INDIRECT(ADDRESS(ROW(),COLUMN(digikey_part_data)+4))),ISBLANK(INDIRECT(ADDRESS(ROW(),COLUMN(mouser_part_data)+4))),ISBLANK(INDIRECT(ADDRESS(ROW(),COLUMN(farnell_part_data)+4))),ISBLANK(INDIRECT(ADDRESS(ROW(),COLUMN(tme_part_data)+4))),ISBLANK(INDIRECT(ADDRESS(ROW(),COLUMN(newark_part_data)+4))))</formula>
    </cfRule>
    <cfRule type="expression" dxfId="1" priority="30">
      <formula>IF(SUM(INDIRECT(ADDRESS(ROW(),COLUMN(rs_part_data)+0)),INDIRECT(ADDRESS(ROW(),COLUMN(digikey_part_data)+0)),INDIRECT(ADDRESS(ROW(),COLUMN(mouser_part_data)+0)),INDIRECT(ADDRESS(ROW(),COLUMN(farnell_part_data)+0)),INDIRECT(ADDRESS(ROW(),COLUMN(tme_part_data)+0)),INDIRECT(ADDRESS(ROW(),COLUMN(newark_part_data)+0)))=0,1,0)</formula>
    </cfRule>
    <cfRule type="cellIs" dxfId="2" priority="31" operator="greaterThan">
      <formula>SUM(INDIRECT(ADDRESS(ROW(),COLUMN(rs_part_data)+0)),INDIRECT(ADDRESS(ROW(),COLUMN(digikey_part_data)+0)),INDIRECT(ADDRESS(ROW(),COLUMN(mouser_part_data)+0)),INDIRECT(ADDRESS(ROW(),COLUMN(farnell_part_data)+0)),INDIRECT(ADDRESS(ROW(),COLUMN(tme_part_data)+0)),INDIRECT(ADDRESS(ROW(),COLUMN(newark_part_data)+0)))</formula>
    </cfRule>
    <cfRule type="cellIs" dxfId="3" priority="32" operator="greaterThan">
      <formula>SUM(IF(ISNUMBER(INDIRECT(ADDRESS(ROW(),COLUMN(rs_part_data)+2))),INDIRECT(ADDRESS(ROW(),COLUMN(rs_part_data)+1)),0),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farnell_part_data)+2))),INDIRECT(ADDRESS(ROW(),COLUMN(farnell_part_data)+1)),0),IF(ISNUMBER(INDIRECT(ADDRESS(ROW(),COLUMN(tme_part_data)+2))),INDIRECT(ADDRESS(ROW(),COLUMN(tme_part_data)+1)),0),IF(ISNUMBER(INDIRECT(ADDRESS(ROW(),COLUMN(newark_part_data)+2))),INDIRECT(ADDRESS(ROW(),COLUMN(newark_part_data)+1)),0))</formula>
    </cfRule>
  </conditionalFormatting>
  <conditionalFormatting sqref="G15">
    <cfRule type="expression" dxfId="0" priority="33">
      <formula>AND(ISBLANK(F15),ISBLANK(INDIRECT(ADDRESS(ROW(),COLUMN(rs_part_data)+4))),ISBLANK(INDIRECT(ADDRESS(ROW(),COLUMN(digikey_part_data)+4))),ISBLANK(INDIRECT(ADDRESS(ROW(),COLUMN(mouser_part_data)+4))),ISBLANK(INDIRECT(ADDRESS(ROW(),COLUMN(farnell_part_data)+4))),ISBLANK(INDIRECT(ADDRESS(ROW(),COLUMN(tme_part_data)+4))),ISBLANK(INDIRECT(ADDRESS(ROW(),COLUMN(newark_part_data)+4))))</formula>
    </cfRule>
    <cfRule type="expression" dxfId="1" priority="34">
      <formula>IF(SUM(INDIRECT(ADDRESS(ROW(),COLUMN(rs_part_data)+0)),INDIRECT(ADDRESS(ROW(),COLUMN(digikey_part_data)+0)),INDIRECT(ADDRESS(ROW(),COLUMN(mouser_part_data)+0)),INDIRECT(ADDRESS(ROW(),COLUMN(farnell_part_data)+0)),INDIRECT(ADDRESS(ROW(),COLUMN(tme_part_data)+0)),INDIRECT(ADDRESS(ROW(),COLUMN(newark_part_data)+0)))=0,1,0)</formula>
    </cfRule>
    <cfRule type="cellIs" dxfId="2" priority="35" operator="greaterThan">
      <formula>SUM(INDIRECT(ADDRESS(ROW(),COLUMN(rs_part_data)+0)),INDIRECT(ADDRESS(ROW(),COLUMN(digikey_part_data)+0)),INDIRECT(ADDRESS(ROW(),COLUMN(mouser_part_data)+0)),INDIRECT(ADDRESS(ROW(),COLUMN(farnell_part_data)+0)),INDIRECT(ADDRESS(ROW(),COLUMN(tme_part_data)+0)),INDIRECT(ADDRESS(ROW(),COLUMN(newark_part_data)+0)))</formula>
    </cfRule>
    <cfRule type="cellIs" dxfId="3" priority="36" operator="greaterThan">
      <formula>SUM(IF(ISNUMBER(INDIRECT(ADDRESS(ROW(),COLUMN(rs_part_data)+2))),INDIRECT(ADDRESS(ROW(),COLUMN(rs_part_data)+1)),0),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farnell_part_data)+2))),INDIRECT(ADDRESS(ROW(),COLUMN(farnell_part_data)+1)),0),IF(ISNUMBER(INDIRECT(ADDRESS(ROW(),COLUMN(tme_part_data)+2))),INDIRECT(ADDRESS(ROW(),COLUMN(tme_part_data)+1)),0),IF(ISNUMBER(INDIRECT(ADDRESS(ROW(),COLUMN(newark_part_data)+2))),INDIRECT(ADDRESS(ROW(),COLUMN(newark_part_data)+1)),0))</formula>
    </cfRule>
  </conditionalFormatting>
  <conditionalFormatting sqref="G16">
    <cfRule type="expression" dxfId="0" priority="37">
      <formula>AND(ISBLANK(F16),ISBLANK(INDIRECT(ADDRESS(ROW(),COLUMN(rs_part_data)+4))),ISBLANK(INDIRECT(ADDRESS(ROW(),COLUMN(digikey_part_data)+4))),ISBLANK(INDIRECT(ADDRESS(ROW(),COLUMN(mouser_part_data)+4))),ISBLANK(INDIRECT(ADDRESS(ROW(),COLUMN(farnell_part_data)+4))),ISBLANK(INDIRECT(ADDRESS(ROW(),COLUMN(tme_part_data)+4))),ISBLANK(INDIRECT(ADDRESS(ROW(),COLUMN(newark_part_data)+4))))</formula>
    </cfRule>
    <cfRule type="expression" dxfId="1" priority="38">
      <formula>IF(SUM(INDIRECT(ADDRESS(ROW(),COLUMN(rs_part_data)+0)),INDIRECT(ADDRESS(ROW(),COLUMN(digikey_part_data)+0)),INDIRECT(ADDRESS(ROW(),COLUMN(mouser_part_data)+0)),INDIRECT(ADDRESS(ROW(),COLUMN(farnell_part_data)+0)),INDIRECT(ADDRESS(ROW(),COLUMN(tme_part_data)+0)),INDIRECT(ADDRESS(ROW(),COLUMN(newark_part_data)+0)))=0,1,0)</formula>
    </cfRule>
    <cfRule type="cellIs" dxfId="2" priority="39" operator="greaterThan">
      <formula>SUM(INDIRECT(ADDRESS(ROW(),COLUMN(rs_part_data)+0)),INDIRECT(ADDRESS(ROW(),COLUMN(digikey_part_data)+0)),INDIRECT(ADDRESS(ROW(),COLUMN(mouser_part_data)+0)),INDIRECT(ADDRESS(ROW(),COLUMN(farnell_part_data)+0)),INDIRECT(ADDRESS(ROW(),COLUMN(tme_part_data)+0)),INDIRECT(ADDRESS(ROW(),COLUMN(newark_part_data)+0)))</formula>
    </cfRule>
    <cfRule type="cellIs" dxfId="3" priority="40" operator="greaterThan">
      <formula>SUM(IF(ISNUMBER(INDIRECT(ADDRESS(ROW(),COLUMN(rs_part_data)+2))),INDIRECT(ADDRESS(ROW(),COLUMN(rs_part_data)+1)),0),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farnell_part_data)+2))),INDIRECT(ADDRESS(ROW(),COLUMN(farnell_part_data)+1)),0),IF(ISNUMBER(INDIRECT(ADDRESS(ROW(),COLUMN(tme_part_data)+2))),INDIRECT(ADDRESS(ROW(),COLUMN(tme_part_data)+1)),0),IF(ISNUMBER(INDIRECT(ADDRESS(ROW(),COLUMN(newark_part_data)+2))),INDIRECT(ADDRESS(ROW(),COLUMN(newark_part_data)+1)),0))</formula>
    </cfRule>
  </conditionalFormatting>
  <conditionalFormatting sqref="G17">
    <cfRule type="expression" dxfId="0" priority="41">
      <formula>AND(ISBLANK(F17),ISBLANK(INDIRECT(ADDRESS(ROW(),COLUMN(rs_part_data)+4))),ISBLANK(INDIRECT(ADDRESS(ROW(),COLUMN(digikey_part_data)+4))),ISBLANK(INDIRECT(ADDRESS(ROW(),COLUMN(mouser_part_data)+4))),ISBLANK(INDIRECT(ADDRESS(ROW(),COLUMN(farnell_part_data)+4))),ISBLANK(INDIRECT(ADDRESS(ROW(),COLUMN(tme_part_data)+4))),ISBLANK(INDIRECT(ADDRESS(ROW(),COLUMN(newark_part_data)+4))))</formula>
    </cfRule>
    <cfRule type="expression" dxfId="1" priority="42">
      <formula>IF(SUM(INDIRECT(ADDRESS(ROW(),COLUMN(rs_part_data)+0)),INDIRECT(ADDRESS(ROW(),COLUMN(digikey_part_data)+0)),INDIRECT(ADDRESS(ROW(),COLUMN(mouser_part_data)+0)),INDIRECT(ADDRESS(ROW(),COLUMN(farnell_part_data)+0)),INDIRECT(ADDRESS(ROW(),COLUMN(tme_part_data)+0)),INDIRECT(ADDRESS(ROW(),COLUMN(newark_part_data)+0)))=0,1,0)</formula>
    </cfRule>
    <cfRule type="cellIs" dxfId="2" priority="43" operator="greaterThan">
      <formula>SUM(INDIRECT(ADDRESS(ROW(),COLUMN(rs_part_data)+0)),INDIRECT(ADDRESS(ROW(),COLUMN(digikey_part_data)+0)),INDIRECT(ADDRESS(ROW(),COLUMN(mouser_part_data)+0)),INDIRECT(ADDRESS(ROW(),COLUMN(farnell_part_data)+0)),INDIRECT(ADDRESS(ROW(),COLUMN(tme_part_data)+0)),INDIRECT(ADDRESS(ROW(),COLUMN(newark_part_data)+0)))</formula>
    </cfRule>
    <cfRule type="cellIs" dxfId="3" priority="44" operator="greaterThan">
      <formula>SUM(IF(ISNUMBER(INDIRECT(ADDRESS(ROW(),COLUMN(rs_part_data)+2))),INDIRECT(ADDRESS(ROW(),COLUMN(rs_part_data)+1)),0),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farnell_part_data)+2))),INDIRECT(ADDRESS(ROW(),COLUMN(farnell_part_data)+1)),0),IF(ISNUMBER(INDIRECT(ADDRESS(ROW(),COLUMN(tme_part_data)+2))),INDIRECT(ADDRESS(ROW(),COLUMN(tme_part_data)+1)),0),IF(ISNUMBER(INDIRECT(ADDRESS(ROW(),COLUMN(newark_part_data)+2))),INDIRECT(ADDRESS(ROW(),COLUMN(newark_part_data)+1)),0))</formula>
    </cfRule>
  </conditionalFormatting>
  <conditionalFormatting sqref="G18">
    <cfRule type="expression" dxfId="0" priority="45">
      <formula>AND(ISBLANK(F18),ISBLANK(INDIRECT(ADDRESS(ROW(),COLUMN(rs_part_data)+4))),ISBLANK(INDIRECT(ADDRESS(ROW(),COLUMN(digikey_part_data)+4))),ISBLANK(INDIRECT(ADDRESS(ROW(),COLUMN(mouser_part_data)+4))),ISBLANK(INDIRECT(ADDRESS(ROW(),COLUMN(farnell_part_data)+4))),ISBLANK(INDIRECT(ADDRESS(ROW(),COLUMN(tme_part_data)+4))),ISBLANK(INDIRECT(ADDRESS(ROW(),COLUMN(newark_part_data)+4))))</formula>
    </cfRule>
    <cfRule type="expression" dxfId="1" priority="46">
      <formula>IF(SUM(INDIRECT(ADDRESS(ROW(),COLUMN(rs_part_data)+0)),INDIRECT(ADDRESS(ROW(),COLUMN(digikey_part_data)+0)),INDIRECT(ADDRESS(ROW(),COLUMN(mouser_part_data)+0)),INDIRECT(ADDRESS(ROW(),COLUMN(farnell_part_data)+0)),INDIRECT(ADDRESS(ROW(),COLUMN(tme_part_data)+0)),INDIRECT(ADDRESS(ROW(),COLUMN(newark_part_data)+0)))=0,1,0)</formula>
    </cfRule>
    <cfRule type="cellIs" dxfId="2" priority="47" operator="greaterThan">
      <formula>SUM(INDIRECT(ADDRESS(ROW(),COLUMN(rs_part_data)+0)),INDIRECT(ADDRESS(ROW(),COLUMN(digikey_part_data)+0)),INDIRECT(ADDRESS(ROW(),COLUMN(mouser_part_data)+0)),INDIRECT(ADDRESS(ROW(),COLUMN(farnell_part_data)+0)),INDIRECT(ADDRESS(ROW(),COLUMN(tme_part_data)+0)),INDIRECT(ADDRESS(ROW(),COLUMN(newark_part_data)+0)))</formula>
    </cfRule>
    <cfRule type="cellIs" dxfId="3" priority="48" operator="greaterThan">
      <formula>SUM(IF(ISNUMBER(INDIRECT(ADDRESS(ROW(),COLUMN(rs_part_data)+2))),INDIRECT(ADDRESS(ROW(),COLUMN(rs_part_data)+1)),0),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farnell_part_data)+2))),INDIRECT(ADDRESS(ROW(),COLUMN(farnell_part_data)+1)),0),IF(ISNUMBER(INDIRECT(ADDRESS(ROW(),COLUMN(tme_part_data)+2))),INDIRECT(ADDRESS(ROW(),COLUMN(tme_part_data)+1)),0),IF(ISNUMBER(INDIRECT(ADDRESS(ROW(),COLUMN(newark_part_data)+2))),INDIRECT(ADDRESS(ROW(),COLUMN(newark_part_data)+1)),0))</formula>
    </cfRule>
  </conditionalFormatting>
  <conditionalFormatting sqref="G19">
    <cfRule type="expression" dxfId="0" priority="49">
      <formula>AND(ISBLANK(F19),ISBLANK(INDIRECT(ADDRESS(ROW(),COLUMN(rs_part_data)+4))),ISBLANK(INDIRECT(ADDRESS(ROW(),COLUMN(digikey_part_data)+4))),ISBLANK(INDIRECT(ADDRESS(ROW(),COLUMN(mouser_part_data)+4))),ISBLANK(INDIRECT(ADDRESS(ROW(),COLUMN(farnell_part_data)+4))),ISBLANK(INDIRECT(ADDRESS(ROW(),COLUMN(tme_part_data)+4))),ISBLANK(INDIRECT(ADDRESS(ROW(),COLUMN(newark_part_data)+4))))</formula>
    </cfRule>
    <cfRule type="expression" dxfId="1" priority="50">
      <formula>IF(SUM(INDIRECT(ADDRESS(ROW(),COLUMN(rs_part_data)+0)),INDIRECT(ADDRESS(ROW(),COLUMN(digikey_part_data)+0)),INDIRECT(ADDRESS(ROW(),COLUMN(mouser_part_data)+0)),INDIRECT(ADDRESS(ROW(),COLUMN(farnell_part_data)+0)),INDIRECT(ADDRESS(ROW(),COLUMN(tme_part_data)+0)),INDIRECT(ADDRESS(ROW(),COLUMN(newark_part_data)+0)))=0,1,0)</formula>
    </cfRule>
    <cfRule type="cellIs" dxfId="2" priority="51" operator="greaterThan">
      <formula>SUM(INDIRECT(ADDRESS(ROW(),COLUMN(rs_part_data)+0)),INDIRECT(ADDRESS(ROW(),COLUMN(digikey_part_data)+0)),INDIRECT(ADDRESS(ROW(),COLUMN(mouser_part_data)+0)),INDIRECT(ADDRESS(ROW(),COLUMN(farnell_part_data)+0)),INDIRECT(ADDRESS(ROW(),COLUMN(tme_part_data)+0)),INDIRECT(ADDRESS(ROW(),COLUMN(newark_part_data)+0)))</formula>
    </cfRule>
    <cfRule type="cellIs" dxfId="3" priority="52" operator="greaterThan">
      <formula>SUM(IF(ISNUMBER(INDIRECT(ADDRESS(ROW(),COLUMN(rs_part_data)+2))),INDIRECT(ADDRESS(ROW(),COLUMN(rs_part_data)+1)),0),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farnell_part_data)+2))),INDIRECT(ADDRESS(ROW(),COLUMN(farnell_part_data)+1)),0),IF(ISNUMBER(INDIRECT(ADDRESS(ROW(),COLUMN(tme_part_data)+2))),INDIRECT(ADDRESS(ROW(),COLUMN(tme_part_data)+1)),0),IF(ISNUMBER(INDIRECT(ADDRESS(ROW(),COLUMN(newark_part_data)+2))),INDIRECT(ADDRESS(ROW(),COLUMN(newark_part_data)+1)),0))</formula>
    </cfRule>
  </conditionalFormatting>
  <conditionalFormatting sqref="G20">
    <cfRule type="expression" dxfId="0" priority="53">
      <formula>AND(ISBLANK(F20),ISBLANK(INDIRECT(ADDRESS(ROW(),COLUMN(rs_part_data)+4))),ISBLANK(INDIRECT(ADDRESS(ROW(),COLUMN(digikey_part_data)+4))),ISBLANK(INDIRECT(ADDRESS(ROW(),COLUMN(mouser_part_data)+4))),ISBLANK(INDIRECT(ADDRESS(ROW(),COLUMN(farnell_part_data)+4))),ISBLANK(INDIRECT(ADDRESS(ROW(),COLUMN(tme_part_data)+4))),ISBLANK(INDIRECT(ADDRESS(ROW(),COLUMN(newark_part_data)+4))))</formula>
    </cfRule>
    <cfRule type="expression" dxfId="1" priority="54">
      <formula>IF(SUM(INDIRECT(ADDRESS(ROW(),COLUMN(rs_part_data)+0)),INDIRECT(ADDRESS(ROW(),COLUMN(digikey_part_data)+0)),INDIRECT(ADDRESS(ROW(),COLUMN(mouser_part_data)+0)),INDIRECT(ADDRESS(ROW(),COLUMN(farnell_part_data)+0)),INDIRECT(ADDRESS(ROW(),COLUMN(tme_part_data)+0)),INDIRECT(ADDRESS(ROW(),COLUMN(newark_part_data)+0)))=0,1,0)</formula>
    </cfRule>
    <cfRule type="cellIs" dxfId="2" priority="55" operator="greaterThan">
      <formula>SUM(INDIRECT(ADDRESS(ROW(),COLUMN(rs_part_data)+0)),INDIRECT(ADDRESS(ROW(),COLUMN(digikey_part_data)+0)),INDIRECT(ADDRESS(ROW(),COLUMN(mouser_part_data)+0)),INDIRECT(ADDRESS(ROW(),COLUMN(farnell_part_data)+0)),INDIRECT(ADDRESS(ROW(),COLUMN(tme_part_data)+0)),INDIRECT(ADDRESS(ROW(),COLUMN(newark_part_data)+0)))</formula>
    </cfRule>
    <cfRule type="cellIs" dxfId="3" priority="56" operator="greaterThan">
      <formula>SUM(IF(ISNUMBER(INDIRECT(ADDRESS(ROW(),COLUMN(rs_part_data)+2))),INDIRECT(ADDRESS(ROW(),COLUMN(rs_part_data)+1)),0),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farnell_part_data)+2))),INDIRECT(ADDRESS(ROW(),COLUMN(farnell_part_data)+1)),0),IF(ISNUMBER(INDIRECT(ADDRESS(ROW(),COLUMN(tme_part_data)+2))),INDIRECT(ADDRESS(ROW(),COLUMN(tme_part_data)+1)),0),IF(ISNUMBER(INDIRECT(ADDRESS(ROW(),COLUMN(newark_part_data)+2))),INDIRECT(ADDRESS(ROW(),COLUMN(newark_part_data)+1)),0))</formula>
    </cfRule>
  </conditionalFormatting>
  <conditionalFormatting sqref="G21">
    <cfRule type="expression" dxfId="0" priority="57">
      <formula>AND(ISBLANK(F21),ISBLANK(INDIRECT(ADDRESS(ROW(),COLUMN(rs_part_data)+4))),ISBLANK(INDIRECT(ADDRESS(ROW(),COLUMN(digikey_part_data)+4))),ISBLANK(INDIRECT(ADDRESS(ROW(),COLUMN(mouser_part_data)+4))),ISBLANK(INDIRECT(ADDRESS(ROW(),COLUMN(farnell_part_data)+4))),ISBLANK(INDIRECT(ADDRESS(ROW(),COLUMN(tme_part_data)+4))),ISBLANK(INDIRECT(ADDRESS(ROW(),COLUMN(newark_part_data)+4))))</formula>
    </cfRule>
    <cfRule type="expression" dxfId="1" priority="58">
      <formula>IF(SUM(INDIRECT(ADDRESS(ROW(),COLUMN(rs_part_data)+0)),INDIRECT(ADDRESS(ROW(),COLUMN(digikey_part_data)+0)),INDIRECT(ADDRESS(ROW(),COLUMN(mouser_part_data)+0)),INDIRECT(ADDRESS(ROW(),COLUMN(farnell_part_data)+0)),INDIRECT(ADDRESS(ROW(),COLUMN(tme_part_data)+0)),INDIRECT(ADDRESS(ROW(),COLUMN(newark_part_data)+0)))=0,1,0)</formula>
    </cfRule>
    <cfRule type="cellIs" dxfId="2" priority="59" operator="greaterThan">
      <formula>SUM(INDIRECT(ADDRESS(ROW(),COLUMN(rs_part_data)+0)),INDIRECT(ADDRESS(ROW(),COLUMN(digikey_part_data)+0)),INDIRECT(ADDRESS(ROW(),COLUMN(mouser_part_data)+0)),INDIRECT(ADDRESS(ROW(),COLUMN(farnell_part_data)+0)),INDIRECT(ADDRESS(ROW(),COLUMN(tme_part_data)+0)),INDIRECT(ADDRESS(ROW(),COLUMN(newark_part_data)+0)))</formula>
    </cfRule>
    <cfRule type="cellIs" dxfId="3" priority="60" operator="greaterThan">
      <formula>SUM(IF(ISNUMBER(INDIRECT(ADDRESS(ROW(),COLUMN(rs_part_data)+2))),INDIRECT(ADDRESS(ROW(),COLUMN(rs_part_data)+1)),0),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farnell_part_data)+2))),INDIRECT(ADDRESS(ROW(),COLUMN(farnell_part_data)+1)),0),IF(ISNUMBER(INDIRECT(ADDRESS(ROW(),COLUMN(tme_part_data)+2))),INDIRECT(ADDRESS(ROW(),COLUMN(tme_part_data)+1)),0),IF(ISNUMBER(INDIRECT(ADDRESS(ROW(),COLUMN(newark_part_data)+2))),INDIRECT(ADDRESS(ROW(),COLUMN(newark_part_data)+1)),0))</formula>
    </cfRule>
  </conditionalFormatting>
  <conditionalFormatting sqref="G22">
    <cfRule type="expression" dxfId="0" priority="61">
      <formula>AND(ISBLANK(F22),ISBLANK(INDIRECT(ADDRESS(ROW(),COLUMN(rs_part_data)+4))),ISBLANK(INDIRECT(ADDRESS(ROW(),COLUMN(digikey_part_data)+4))),ISBLANK(INDIRECT(ADDRESS(ROW(),COLUMN(mouser_part_data)+4))),ISBLANK(INDIRECT(ADDRESS(ROW(),COLUMN(farnell_part_data)+4))),ISBLANK(INDIRECT(ADDRESS(ROW(),COLUMN(tme_part_data)+4))),ISBLANK(INDIRECT(ADDRESS(ROW(),COLUMN(newark_part_data)+4))))</formula>
    </cfRule>
    <cfRule type="expression" dxfId="1" priority="62">
      <formula>IF(SUM(INDIRECT(ADDRESS(ROW(),COLUMN(rs_part_data)+0)),INDIRECT(ADDRESS(ROW(),COLUMN(digikey_part_data)+0)),INDIRECT(ADDRESS(ROW(),COLUMN(mouser_part_data)+0)),INDIRECT(ADDRESS(ROW(),COLUMN(farnell_part_data)+0)),INDIRECT(ADDRESS(ROW(),COLUMN(tme_part_data)+0)),INDIRECT(ADDRESS(ROW(),COLUMN(newark_part_data)+0)))=0,1,0)</formula>
    </cfRule>
    <cfRule type="cellIs" dxfId="2" priority="63" operator="greaterThan">
      <formula>SUM(INDIRECT(ADDRESS(ROW(),COLUMN(rs_part_data)+0)),INDIRECT(ADDRESS(ROW(),COLUMN(digikey_part_data)+0)),INDIRECT(ADDRESS(ROW(),COLUMN(mouser_part_data)+0)),INDIRECT(ADDRESS(ROW(),COLUMN(farnell_part_data)+0)),INDIRECT(ADDRESS(ROW(),COLUMN(tme_part_data)+0)),INDIRECT(ADDRESS(ROW(),COLUMN(newark_part_data)+0)))</formula>
    </cfRule>
    <cfRule type="cellIs" dxfId="3" priority="64" operator="greaterThan">
      <formula>SUM(IF(ISNUMBER(INDIRECT(ADDRESS(ROW(),COLUMN(rs_part_data)+2))),INDIRECT(ADDRESS(ROW(),COLUMN(rs_part_data)+1)),0),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farnell_part_data)+2))),INDIRECT(ADDRESS(ROW(),COLUMN(farnell_part_data)+1)),0),IF(ISNUMBER(INDIRECT(ADDRESS(ROW(),COLUMN(tme_part_data)+2))),INDIRECT(ADDRESS(ROW(),COLUMN(tme_part_data)+1)),0),IF(ISNUMBER(INDIRECT(ADDRESS(ROW(),COLUMN(newark_part_data)+2))),INDIRECT(ADDRESS(ROW(),COLUMN(newark_part_data)+1)),0))</formula>
    </cfRule>
  </conditionalFormatting>
  <conditionalFormatting sqref="G23">
    <cfRule type="expression" dxfId="0" priority="65">
      <formula>AND(ISBLANK(F23),ISBLANK(INDIRECT(ADDRESS(ROW(),COLUMN(rs_part_data)+4))),ISBLANK(INDIRECT(ADDRESS(ROW(),COLUMN(digikey_part_data)+4))),ISBLANK(INDIRECT(ADDRESS(ROW(),COLUMN(mouser_part_data)+4))),ISBLANK(INDIRECT(ADDRESS(ROW(),COLUMN(farnell_part_data)+4))),ISBLANK(INDIRECT(ADDRESS(ROW(),COLUMN(tme_part_data)+4))),ISBLANK(INDIRECT(ADDRESS(ROW(),COLUMN(newark_part_data)+4))))</formula>
    </cfRule>
    <cfRule type="expression" dxfId="1" priority="66">
      <formula>IF(SUM(INDIRECT(ADDRESS(ROW(),COLUMN(rs_part_data)+0)),INDIRECT(ADDRESS(ROW(),COLUMN(digikey_part_data)+0)),INDIRECT(ADDRESS(ROW(),COLUMN(mouser_part_data)+0)),INDIRECT(ADDRESS(ROW(),COLUMN(farnell_part_data)+0)),INDIRECT(ADDRESS(ROW(),COLUMN(tme_part_data)+0)),INDIRECT(ADDRESS(ROW(),COLUMN(newark_part_data)+0)))=0,1,0)</formula>
    </cfRule>
    <cfRule type="cellIs" dxfId="2" priority="67" operator="greaterThan">
      <formula>SUM(INDIRECT(ADDRESS(ROW(),COLUMN(rs_part_data)+0)),INDIRECT(ADDRESS(ROW(),COLUMN(digikey_part_data)+0)),INDIRECT(ADDRESS(ROW(),COLUMN(mouser_part_data)+0)),INDIRECT(ADDRESS(ROW(),COLUMN(farnell_part_data)+0)),INDIRECT(ADDRESS(ROW(),COLUMN(tme_part_data)+0)),INDIRECT(ADDRESS(ROW(),COLUMN(newark_part_data)+0)))</formula>
    </cfRule>
    <cfRule type="cellIs" dxfId="3" priority="68" operator="greaterThan">
      <formula>SUM(IF(ISNUMBER(INDIRECT(ADDRESS(ROW(),COLUMN(rs_part_data)+2))),INDIRECT(ADDRESS(ROW(),COLUMN(rs_part_data)+1)),0),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farnell_part_data)+2))),INDIRECT(ADDRESS(ROW(),COLUMN(farnell_part_data)+1)),0),IF(ISNUMBER(INDIRECT(ADDRESS(ROW(),COLUMN(tme_part_data)+2))),INDIRECT(ADDRESS(ROW(),COLUMN(tme_part_data)+1)),0),IF(ISNUMBER(INDIRECT(ADDRESS(ROW(),COLUMN(newark_part_data)+2))),INDIRECT(ADDRESS(ROW(),COLUMN(newark_part_data)+1)),0))</formula>
    </cfRule>
  </conditionalFormatting>
  <conditionalFormatting sqref="G24">
    <cfRule type="expression" dxfId="0" priority="69">
      <formula>AND(ISBLANK(F24),ISBLANK(INDIRECT(ADDRESS(ROW(),COLUMN(rs_part_data)+4))),ISBLANK(INDIRECT(ADDRESS(ROW(),COLUMN(digikey_part_data)+4))),ISBLANK(INDIRECT(ADDRESS(ROW(),COLUMN(mouser_part_data)+4))),ISBLANK(INDIRECT(ADDRESS(ROW(),COLUMN(farnell_part_data)+4))),ISBLANK(INDIRECT(ADDRESS(ROW(),COLUMN(tme_part_data)+4))),ISBLANK(INDIRECT(ADDRESS(ROW(),COLUMN(newark_part_data)+4))))</formula>
    </cfRule>
    <cfRule type="expression" dxfId="1" priority="70">
      <formula>IF(SUM(INDIRECT(ADDRESS(ROW(),COLUMN(rs_part_data)+0)),INDIRECT(ADDRESS(ROW(),COLUMN(digikey_part_data)+0)),INDIRECT(ADDRESS(ROW(),COLUMN(mouser_part_data)+0)),INDIRECT(ADDRESS(ROW(),COLUMN(farnell_part_data)+0)),INDIRECT(ADDRESS(ROW(),COLUMN(tme_part_data)+0)),INDIRECT(ADDRESS(ROW(),COLUMN(newark_part_data)+0)))=0,1,0)</formula>
    </cfRule>
    <cfRule type="cellIs" dxfId="2" priority="71" operator="greaterThan">
      <formula>SUM(INDIRECT(ADDRESS(ROW(),COLUMN(rs_part_data)+0)),INDIRECT(ADDRESS(ROW(),COLUMN(digikey_part_data)+0)),INDIRECT(ADDRESS(ROW(),COLUMN(mouser_part_data)+0)),INDIRECT(ADDRESS(ROW(),COLUMN(farnell_part_data)+0)),INDIRECT(ADDRESS(ROW(),COLUMN(tme_part_data)+0)),INDIRECT(ADDRESS(ROW(),COLUMN(newark_part_data)+0)))</formula>
    </cfRule>
    <cfRule type="cellIs" dxfId="3" priority="72" operator="greaterThan">
      <formula>SUM(IF(ISNUMBER(INDIRECT(ADDRESS(ROW(),COLUMN(rs_part_data)+2))),INDIRECT(ADDRESS(ROW(),COLUMN(rs_part_data)+1)),0),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farnell_part_data)+2))),INDIRECT(ADDRESS(ROW(),COLUMN(farnell_part_data)+1)),0),IF(ISNUMBER(INDIRECT(ADDRESS(ROW(),COLUMN(tme_part_data)+2))),INDIRECT(ADDRESS(ROW(),COLUMN(tme_part_data)+1)),0),IF(ISNUMBER(INDIRECT(ADDRESS(ROW(),COLUMN(newark_part_data)+2))),INDIRECT(ADDRESS(ROW(),COLUMN(newark_part_data)+1)),0))</formula>
    </cfRule>
  </conditionalFormatting>
  <conditionalFormatting sqref="G25">
    <cfRule type="expression" dxfId="0" priority="73">
      <formula>AND(ISBLANK(F25),ISBLANK(INDIRECT(ADDRESS(ROW(),COLUMN(rs_part_data)+4))),ISBLANK(INDIRECT(ADDRESS(ROW(),COLUMN(digikey_part_data)+4))),ISBLANK(INDIRECT(ADDRESS(ROW(),COLUMN(mouser_part_data)+4))),ISBLANK(INDIRECT(ADDRESS(ROW(),COLUMN(farnell_part_data)+4))),ISBLANK(INDIRECT(ADDRESS(ROW(),COLUMN(tme_part_data)+4))),ISBLANK(INDIRECT(ADDRESS(ROW(),COLUMN(newark_part_data)+4))))</formula>
    </cfRule>
    <cfRule type="expression" dxfId="1" priority="74">
      <formula>IF(SUM(INDIRECT(ADDRESS(ROW(),COLUMN(rs_part_data)+0)),INDIRECT(ADDRESS(ROW(),COLUMN(digikey_part_data)+0)),INDIRECT(ADDRESS(ROW(),COLUMN(mouser_part_data)+0)),INDIRECT(ADDRESS(ROW(),COLUMN(farnell_part_data)+0)),INDIRECT(ADDRESS(ROW(),COLUMN(tme_part_data)+0)),INDIRECT(ADDRESS(ROW(),COLUMN(newark_part_data)+0)))=0,1,0)</formula>
    </cfRule>
    <cfRule type="cellIs" dxfId="2" priority="75" operator="greaterThan">
      <formula>SUM(INDIRECT(ADDRESS(ROW(),COLUMN(rs_part_data)+0)),INDIRECT(ADDRESS(ROW(),COLUMN(digikey_part_data)+0)),INDIRECT(ADDRESS(ROW(),COLUMN(mouser_part_data)+0)),INDIRECT(ADDRESS(ROW(),COLUMN(farnell_part_data)+0)),INDIRECT(ADDRESS(ROW(),COLUMN(tme_part_data)+0)),INDIRECT(ADDRESS(ROW(),COLUMN(newark_part_data)+0)))</formula>
    </cfRule>
    <cfRule type="cellIs" dxfId="3" priority="76" operator="greaterThan">
      <formula>SUM(IF(ISNUMBER(INDIRECT(ADDRESS(ROW(),COLUMN(rs_part_data)+2))),INDIRECT(ADDRESS(ROW(),COLUMN(rs_part_data)+1)),0),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farnell_part_data)+2))),INDIRECT(ADDRESS(ROW(),COLUMN(farnell_part_data)+1)),0),IF(ISNUMBER(INDIRECT(ADDRESS(ROW(),COLUMN(tme_part_data)+2))),INDIRECT(ADDRESS(ROW(),COLUMN(tme_part_data)+1)),0),IF(ISNUMBER(INDIRECT(ADDRESS(ROW(),COLUMN(newark_part_data)+2))),INDIRECT(ADDRESS(ROW(),COLUMN(newark_part_data)+1)),0))</formula>
    </cfRule>
  </conditionalFormatting>
  <conditionalFormatting sqref="G26">
    <cfRule type="expression" dxfId="0" priority="77">
      <formula>AND(ISBLANK(F26),ISBLANK(INDIRECT(ADDRESS(ROW(),COLUMN(rs_part_data)+4))),ISBLANK(INDIRECT(ADDRESS(ROW(),COLUMN(digikey_part_data)+4))),ISBLANK(INDIRECT(ADDRESS(ROW(),COLUMN(mouser_part_data)+4))),ISBLANK(INDIRECT(ADDRESS(ROW(),COLUMN(farnell_part_data)+4))),ISBLANK(INDIRECT(ADDRESS(ROW(),COLUMN(tme_part_data)+4))),ISBLANK(INDIRECT(ADDRESS(ROW(),COLUMN(newark_part_data)+4))))</formula>
    </cfRule>
    <cfRule type="expression" dxfId="1" priority="78">
      <formula>IF(SUM(INDIRECT(ADDRESS(ROW(),COLUMN(rs_part_data)+0)),INDIRECT(ADDRESS(ROW(),COLUMN(digikey_part_data)+0)),INDIRECT(ADDRESS(ROW(),COLUMN(mouser_part_data)+0)),INDIRECT(ADDRESS(ROW(),COLUMN(farnell_part_data)+0)),INDIRECT(ADDRESS(ROW(),COLUMN(tme_part_data)+0)),INDIRECT(ADDRESS(ROW(),COLUMN(newark_part_data)+0)))=0,1,0)</formula>
    </cfRule>
    <cfRule type="cellIs" dxfId="2" priority="79" operator="greaterThan">
      <formula>SUM(INDIRECT(ADDRESS(ROW(),COLUMN(rs_part_data)+0)),INDIRECT(ADDRESS(ROW(),COLUMN(digikey_part_data)+0)),INDIRECT(ADDRESS(ROW(),COLUMN(mouser_part_data)+0)),INDIRECT(ADDRESS(ROW(),COLUMN(farnell_part_data)+0)),INDIRECT(ADDRESS(ROW(),COLUMN(tme_part_data)+0)),INDIRECT(ADDRESS(ROW(),COLUMN(newark_part_data)+0)))</formula>
    </cfRule>
    <cfRule type="cellIs" dxfId="3" priority="80" operator="greaterThan">
      <formula>SUM(IF(ISNUMBER(INDIRECT(ADDRESS(ROW(),COLUMN(rs_part_data)+2))),INDIRECT(ADDRESS(ROW(),COLUMN(rs_part_data)+1)),0),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farnell_part_data)+2))),INDIRECT(ADDRESS(ROW(),COLUMN(farnell_part_data)+1)),0),IF(ISNUMBER(INDIRECT(ADDRESS(ROW(),COLUMN(tme_part_data)+2))),INDIRECT(ADDRESS(ROW(),COLUMN(tme_part_data)+1)),0),IF(ISNUMBER(INDIRECT(ADDRESS(ROW(),COLUMN(newark_part_data)+2))),INDIRECT(ADDRESS(ROW(),COLUMN(newark_part_data)+1)),0))</formula>
    </cfRule>
  </conditionalFormatting>
  <conditionalFormatting sqref="G27">
    <cfRule type="expression" dxfId="0" priority="81">
      <formula>AND(ISBLANK(F27),ISBLANK(INDIRECT(ADDRESS(ROW(),COLUMN(rs_part_data)+4))),ISBLANK(INDIRECT(ADDRESS(ROW(),COLUMN(digikey_part_data)+4))),ISBLANK(INDIRECT(ADDRESS(ROW(),COLUMN(mouser_part_data)+4))),ISBLANK(INDIRECT(ADDRESS(ROW(),COLUMN(farnell_part_data)+4))),ISBLANK(INDIRECT(ADDRESS(ROW(),COLUMN(tme_part_data)+4))),ISBLANK(INDIRECT(ADDRESS(ROW(),COLUMN(newark_part_data)+4))))</formula>
    </cfRule>
    <cfRule type="expression" dxfId="1" priority="82">
      <formula>IF(SUM(INDIRECT(ADDRESS(ROW(),COLUMN(rs_part_data)+0)),INDIRECT(ADDRESS(ROW(),COLUMN(digikey_part_data)+0)),INDIRECT(ADDRESS(ROW(),COLUMN(mouser_part_data)+0)),INDIRECT(ADDRESS(ROW(),COLUMN(farnell_part_data)+0)),INDIRECT(ADDRESS(ROW(),COLUMN(tme_part_data)+0)),INDIRECT(ADDRESS(ROW(),COLUMN(newark_part_data)+0)))=0,1,0)</formula>
    </cfRule>
    <cfRule type="cellIs" dxfId="2" priority="83" operator="greaterThan">
      <formula>SUM(INDIRECT(ADDRESS(ROW(),COLUMN(rs_part_data)+0)),INDIRECT(ADDRESS(ROW(),COLUMN(digikey_part_data)+0)),INDIRECT(ADDRESS(ROW(),COLUMN(mouser_part_data)+0)),INDIRECT(ADDRESS(ROW(),COLUMN(farnell_part_data)+0)),INDIRECT(ADDRESS(ROW(),COLUMN(tme_part_data)+0)),INDIRECT(ADDRESS(ROW(),COLUMN(newark_part_data)+0)))</formula>
    </cfRule>
    <cfRule type="cellIs" dxfId="3" priority="84" operator="greaterThan">
      <formula>SUM(IF(ISNUMBER(INDIRECT(ADDRESS(ROW(),COLUMN(rs_part_data)+2))),INDIRECT(ADDRESS(ROW(),COLUMN(rs_part_data)+1)),0),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farnell_part_data)+2))),INDIRECT(ADDRESS(ROW(),COLUMN(farnell_part_data)+1)),0),IF(ISNUMBER(INDIRECT(ADDRESS(ROW(),COLUMN(tme_part_data)+2))),INDIRECT(ADDRESS(ROW(),COLUMN(tme_part_data)+1)),0),IF(ISNUMBER(INDIRECT(ADDRESS(ROW(),COLUMN(newark_part_data)+2))),INDIRECT(ADDRESS(ROW(),COLUMN(newark_part_data)+1)),0))</formula>
    </cfRule>
  </conditionalFormatting>
  <conditionalFormatting sqref="G28">
    <cfRule type="expression" dxfId="0" priority="85">
      <formula>AND(ISBLANK(F28),ISBLANK(INDIRECT(ADDRESS(ROW(),COLUMN(rs_part_data)+4))),ISBLANK(INDIRECT(ADDRESS(ROW(),COLUMN(digikey_part_data)+4))),ISBLANK(INDIRECT(ADDRESS(ROW(),COLUMN(mouser_part_data)+4))),ISBLANK(INDIRECT(ADDRESS(ROW(),COLUMN(farnell_part_data)+4))),ISBLANK(INDIRECT(ADDRESS(ROW(),COLUMN(tme_part_data)+4))),ISBLANK(INDIRECT(ADDRESS(ROW(),COLUMN(newark_part_data)+4))))</formula>
    </cfRule>
    <cfRule type="expression" dxfId="1" priority="86">
      <formula>IF(SUM(INDIRECT(ADDRESS(ROW(),COLUMN(rs_part_data)+0)),INDIRECT(ADDRESS(ROW(),COLUMN(digikey_part_data)+0)),INDIRECT(ADDRESS(ROW(),COLUMN(mouser_part_data)+0)),INDIRECT(ADDRESS(ROW(),COLUMN(farnell_part_data)+0)),INDIRECT(ADDRESS(ROW(),COLUMN(tme_part_data)+0)),INDIRECT(ADDRESS(ROW(),COLUMN(newark_part_data)+0)))=0,1,0)</formula>
    </cfRule>
    <cfRule type="cellIs" dxfId="2" priority="87" operator="greaterThan">
      <formula>SUM(INDIRECT(ADDRESS(ROW(),COLUMN(rs_part_data)+0)),INDIRECT(ADDRESS(ROW(),COLUMN(digikey_part_data)+0)),INDIRECT(ADDRESS(ROW(),COLUMN(mouser_part_data)+0)),INDIRECT(ADDRESS(ROW(),COLUMN(farnell_part_data)+0)),INDIRECT(ADDRESS(ROW(),COLUMN(tme_part_data)+0)),INDIRECT(ADDRESS(ROW(),COLUMN(newark_part_data)+0)))</formula>
    </cfRule>
    <cfRule type="cellIs" dxfId="3" priority="88" operator="greaterThan">
      <formula>SUM(IF(ISNUMBER(INDIRECT(ADDRESS(ROW(),COLUMN(rs_part_data)+2))),INDIRECT(ADDRESS(ROW(),COLUMN(rs_part_data)+1)),0),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farnell_part_data)+2))),INDIRECT(ADDRESS(ROW(),COLUMN(farnell_part_data)+1)),0),IF(ISNUMBER(INDIRECT(ADDRESS(ROW(),COLUMN(tme_part_data)+2))),INDIRECT(ADDRESS(ROW(),COLUMN(tme_part_data)+1)),0),IF(ISNUMBER(INDIRECT(ADDRESS(ROW(),COLUMN(newark_part_data)+2))),INDIRECT(ADDRESS(ROW(),COLUMN(newark_part_data)+1)),0))</formula>
    </cfRule>
  </conditionalFormatting>
  <conditionalFormatting sqref="G29">
    <cfRule type="expression" dxfId="0" priority="89">
      <formula>AND(ISBLANK(F29),ISBLANK(INDIRECT(ADDRESS(ROW(),COLUMN(rs_part_data)+4))),ISBLANK(INDIRECT(ADDRESS(ROW(),COLUMN(digikey_part_data)+4))),ISBLANK(INDIRECT(ADDRESS(ROW(),COLUMN(mouser_part_data)+4))),ISBLANK(INDIRECT(ADDRESS(ROW(),COLUMN(farnell_part_data)+4))),ISBLANK(INDIRECT(ADDRESS(ROW(),COLUMN(tme_part_data)+4))),ISBLANK(INDIRECT(ADDRESS(ROW(),COLUMN(newark_part_data)+4))))</formula>
    </cfRule>
    <cfRule type="expression" dxfId="1" priority="90">
      <formula>IF(SUM(INDIRECT(ADDRESS(ROW(),COLUMN(rs_part_data)+0)),INDIRECT(ADDRESS(ROW(),COLUMN(digikey_part_data)+0)),INDIRECT(ADDRESS(ROW(),COLUMN(mouser_part_data)+0)),INDIRECT(ADDRESS(ROW(),COLUMN(farnell_part_data)+0)),INDIRECT(ADDRESS(ROW(),COLUMN(tme_part_data)+0)),INDIRECT(ADDRESS(ROW(),COLUMN(newark_part_data)+0)))=0,1,0)</formula>
    </cfRule>
    <cfRule type="cellIs" dxfId="2" priority="91" operator="greaterThan">
      <formula>SUM(INDIRECT(ADDRESS(ROW(),COLUMN(rs_part_data)+0)),INDIRECT(ADDRESS(ROW(),COLUMN(digikey_part_data)+0)),INDIRECT(ADDRESS(ROW(),COLUMN(mouser_part_data)+0)),INDIRECT(ADDRESS(ROW(),COLUMN(farnell_part_data)+0)),INDIRECT(ADDRESS(ROW(),COLUMN(tme_part_data)+0)),INDIRECT(ADDRESS(ROW(),COLUMN(newark_part_data)+0)))</formula>
    </cfRule>
    <cfRule type="cellIs" dxfId="3" priority="92" operator="greaterThan">
      <formula>SUM(IF(ISNUMBER(INDIRECT(ADDRESS(ROW(),COLUMN(rs_part_data)+2))),INDIRECT(ADDRESS(ROW(),COLUMN(rs_part_data)+1)),0),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farnell_part_data)+2))),INDIRECT(ADDRESS(ROW(),COLUMN(farnell_part_data)+1)),0),IF(ISNUMBER(INDIRECT(ADDRESS(ROW(),COLUMN(tme_part_data)+2))),INDIRECT(ADDRESS(ROW(),COLUMN(tme_part_data)+1)),0),IF(ISNUMBER(INDIRECT(ADDRESS(ROW(),COLUMN(newark_part_data)+2))),INDIRECT(ADDRESS(ROW(),COLUMN(newark_part_data)+1)),0))</formula>
    </cfRule>
  </conditionalFormatting>
  <conditionalFormatting sqref="G30">
    <cfRule type="expression" dxfId="0" priority="93">
      <formula>AND(ISBLANK(F30),ISBLANK(INDIRECT(ADDRESS(ROW(),COLUMN(rs_part_data)+4))),ISBLANK(INDIRECT(ADDRESS(ROW(),COLUMN(digikey_part_data)+4))),ISBLANK(INDIRECT(ADDRESS(ROW(),COLUMN(mouser_part_data)+4))),ISBLANK(INDIRECT(ADDRESS(ROW(),COLUMN(farnell_part_data)+4))),ISBLANK(INDIRECT(ADDRESS(ROW(),COLUMN(tme_part_data)+4))),ISBLANK(INDIRECT(ADDRESS(ROW(),COLUMN(newark_part_data)+4))))</formula>
    </cfRule>
    <cfRule type="expression" dxfId="1" priority="94">
      <formula>IF(SUM(INDIRECT(ADDRESS(ROW(),COLUMN(rs_part_data)+0)),INDIRECT(ADDRESS(ROW(),COLUMN(digikey_part_data)+0)),INDIRECT(ADDRESS(ROW(),COLUMN(mouser_part_data)+0)),INDIRECT(ADDRESS(ROW(),COLUMN(farnell_part_data)+0)),INDIRECT(ADDRESS(ROW(),COLUMN(tme_part_data)+0)),INDIRECT(ADDRESS(ROW(),COLUMN(newark_part_data)+0)))=0,1,0)</formula>
    </cfRule>
    <cfRule type="cellIs" dxfId="2" priority="95" operator="greaterThan">
      <formula>SUM(INDIRECT(ADDRESS(ROW(),COLUMN(rs_part_data)+0)),INDIRECT(ADDRESS(ROW(),COLUMN(digikey_part_data)+0)),INDIRECT(ADDRESS(ROW(),COLUMN(mouser_part_data)+0)),INDIRECT(ADDRESS(ROW(),COLUMN(farnell_part_data)+0)),INDIRECT(ADDRESS(ROW(),COLUMN(tme_part_data)+0)),INDIRECT(ADDRESS(ROW(),COLUMN(newark_part_data)+0)))</formula>
    </cfRule>
    <cfRule type="cellIs" dxfId="3" priority="96" operator="greaterThan">
      <formula>SUM(IF(ISNUMBER(INDIRECT(ADDRESS(ROW(),COLUMN(rs_part_data)+2))),INDIRECT(ADDRESS(ROW(),COLUMN(rs_part_data)+1)),0),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farnell_part_data)+2))),INDIRECT(ADDRESS(ROW(),COLUMN(farnell_part_data)+1)),0),IF(ISNUMBER(INDIRECT(ADDRESS(ROW(),COLUMN(tme_part_data)+2))),INDIRECT(ADDRESS(ROW(),COLUMN(tme_part_data)+1)),0),IF(ISNUMBER(INDIRECT(ADDRESS(ROW(),COLUMN(newark_part_data)+2))),INDIRECT(ADDRESS(ROW(),COLUMN(newark_part_data)+1)),0))</formula>
    </cfRule>
  </conditionalFormatting>
  <conditionalFormatting sqref="G31">
    <cfRule type="expression" dxfId="0" priority="97">
      <formula>AND(ISBLANK(F31),ISBLANK(INDIRECT(ADDRESS(ROW(),COLUMN(rs_part_data)+4))),ISBLANK(INDIRECT(ADDRESS(ROW(),COLUMN(digikey_part_data)+4))),ISBLANK(INDIRECT(ADDRESS(ROW(),COLUMN(mouser_part_data)+4))),ISBLANK(INDIRECT(ADDRESS(ROW(),COLUMN(farnell_part_data)+4))),ISBLANK(INDIRECT(ADDRESS(ROW(),COLUMN(tme_part_data)+4))),ISBLANK(INDIRECT(ADDRESS(ROW(),COLUMN(newark_part_data)+4))))</formula>
    </cfRule>
    <cfRule type="expression" dxfId="1" priority="98">
      <formula>IF(SUM(INDIRECT(ADDRESS(ROW(),COLUMN(rs_part_data)+0)),INDIRECT(ADDRESS(ROW(),COLUMN(digikey_part_data)+0)),INDIRECT(ADDRESS(ROW(),COLUMN(mouser_part_data)+0)),INDIRECT(ADDRESS(ROW(),COLUMN(farnell_part_data)+0)),INDIRECT(ADDRESS(ROW(),COLUMN(tme_part_data)+0)),INDIRECT(ADDRESS(ROW(),COLUMN(newark_part_data)+0)))=0,1,0)</formula>
    </cfRule>
    <cfRule type="cellIs" dxfId="2" priority="99" operator="greaterThan">
      <formula>SUM(INDIRECT(ADDRESS(ROW(),COLUMN(rs_part_data)+0)),INDIRECT(ADDRESS(ROW(),COLUMN(digikey_part_data)+0)),INDIRECT(ADDRESS(ROW(),COLUMN(mouser_part_data)+0)),INDIRECT(ADDRESS(ROW(),COLUMN(farnell_part_data)+0)),INDIRECT(ADDRESS(ROW(),COLUMN(tme_part_data)+0)),INDIRECT(ADDRESS(ROW(),COLUMN(newark_part_data)+0)))</formula>
    </cfRule>
    <cfRule type="cellIs" dxfId="3" priority="100" operator="greaterThan">
      <formula>SUM(IF(ISNUMBER(INDIRECT(ADDRESS(ROW(),COLUMN(rs_part_data)+2))),INDIRECT(ADDRESS(ROW(),COLUMN(rs_part_data)+1)),0),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farnell_part_data)+2))),INDIRECT(ADDRESS(ROW(),COLUMN(farnell_part_data)+1)),0),IF(ISNUMBER(INDIRECT(ADDRESS(ROW(),COLUMN(tme_part_data)+2))),INDIRECT(ADDRESS(ROW(),COLUMN(tme_part_data)+1)),0),IF(ISNUMBER(INDIRECT(ADDRESS(ROW(),COLUMN(newark_part_data)+2))),INDIRECT(ADDRESS(ROW(),COLUMN(newark_part_data)+1)),0))</formula>
    </cfRule>
  </conditionalFormatting>
  <conditionalFormatting sqref="G32">
    <cfRule type="expression" dxfId="0" priority="101">
      <formula>AND(ISBLANK(F32),ISBLANK(INDIRECT(ADDRESS(ROW(),COLUMN(rs_part_data)+4))),ISBLANK(INDIRECT(ADDRESS(ROW(),COLUMN(digikey_part_data)+4))),ISBLANK(INDIRECT(ADDRESS(ROW(),COLUMN(mouser_part_data)+4))),ISBLANK(INDIRECT(ADDRESS(ROW(),COLUMN(farnell_part_data)+4))),ISBLANK(INDIRECT(ADDRESS(ROW(),COLUMN(tme_part_data)+4))),ISBLANK(INDIRECT(ADDRESS(ROW(),COLUMN(newark_part_data)+4))))</formula>
    </cfRule>
    <cfRule type="expression" dxfId="1" priority="102">
      <formula>IF(SUM(INDIRECT(ADDRESS(ROW(),COLUMN(rs_part_data)+0)),INDIRECT(ADDRESS(ROW(),COLUMN(digikey_part_data)+0)),INDIRECT(ADDRESS(ROW(),COLUMN(mouser_part_data)+0)),INDIRECT(ADDRESS(ROW(),COLUMN(farnell_part_data)+0)),INDIRECT(ADDRESS(ROW(),COLUMN(tme_part_data)+0)),INDIRECT(ADDRESS(ROW(),COLUMN(newark_part_data)+0)))=0,1,0)</formula>
    </cfRule>
    <cfRule type="cellIs" dxfId="2" priority="103" operator="greaterThan">
      <formula>SUM(INDIRECT(ADDRESS(ROW(),COLUMN(rs_part_data)+0)),INDIRECT(ADDRESS(ROW(),COLUMN(digikey_part_data)+0)),INDIRECT(ADDRESS(ROW(),COLUMN(mouser_part_data)+0)),INDIRECT(ADDRESS(ROW(),COLUMN(farnell_part_data)+0)),INDIRECT(ADDRESS(ROW(),COLUMN(tme_part_data)+0)),INDIRECT(ADDRESS(ROW(),COLUMN(newark_part_data)+0)))</formula>
    </cfRule>
    <cfRule type="cellIs" dxfId="3" priority="104" operator="greaterThan">
      <formula>SUM(IF(ISNUMBER(INDIRECT(ADDRESS(ROW(),COLUMN(rs_part_data)+2))),INDIRECT(ADDRESS(ROW(),COLUMN(rs_part_data)+1)),0),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farnell_part_data)+2))),INDIRECT(ADDRESS(ROW(),COLUMN(farnell_part_data)+1)),0),IF(ISNUMBER(INDIRECT(ADDRESS(ROW(),COLUMN(tme_part_data)+2))),INDIRECT(ADDRESS(ROW(),COLUMN(tme_part_data)+1)),0),IF(ISNUMBER(INDIRECT(ADDRESS(ROW(),COLUMN(newark_part_data)+2))),INDIRECT(ADDRESS(ROW(),COLUMN(newark_part_data)+1)),0))</formula>
    </cfRule>
  </conditionalFormatting>
  <conditionalFormatting sqref="G33">
    <cfRule type="expression" dxfId="0" priority="105">
      <formula>AND(ISBLANK(F33),ISBLANK(INDIRECT(ADDRESS(ROW(),COLUMN(rs_part_data)+4))),ISBLANK(INDIRECT(ADDRESS(ROW(),COLUMN(digikey_part_data)+4))),ISBLANK(INDIRECT(ADDRESS(ROW(),COLUMN(mouser_part_data)+4))),ISBLANK(INDIRECT(ADDRESS(ROW(),COLUMN(farnell_part_data)+4))),ISBLANK(INDIRECT(ADDRESS(ROW(),COLUMN(tme_part_data)+4))),ISBLANK(INDIRECT(ADDRESS(ROW(),COLUMN(newark_part_data)+4))))</formula>
    </cfRule>
    <cfRule type="expression" dxfId="1" priority="106">
      <formula>IF(SUM(INDIRECT(ADDRESS(ROW(),COLUMN(rs_part_data)+0)),INDIRECT(ADDRESS(ROW(),COLUMN(digikey_part_data)+0)),INDIRECT(ADDRESS(ROW(),COLUMN(mouser_part_data)+0)),INDIRECT(ADDRESS(ROW(),COLUMN(farnell_part_data)+0)),INDIRECT(ADDRESS(ROW(),COLUMN(tme_part_data)+0)),INDIRECT(ADDRESS(ROW(),COLUMN(newark_part_data)+0)))=0,1,0)</formula>
    </cfRule>
    <cfRule type="cellIs" dxfId="2" priority="107" operator="greaterThan">
      <formula>SUM(INDIRECT(ADDRESS(ROW(),COLUMN(rs_part_data)+0)),INDIRECT(ADDRESS(ROW(),COLUMN(digikey_part_data)+0)),INDIRECT(ADDRESS(ROW(),COLUMN(mouser_part_data)+0)),INDIRECT(ADDRESS(ROW(),COLUMN(farnell_part_data)+0)),INDIRECT(ADDRESS(ROW(),COLUMN(tme_part_data)+0)),INDIRECT(ADDRESS(ROW(),COLUMN(newark_part_data)+0)))</formula>
    </cfRule>
    <cfRule type="cellIs" dxfId="3" priority="108" operator="greaterThan">
      <formula>SUM(IF(ISNUMBER(INDIRECT(ADDRESS(ROW(),COLUMN(rs_part_data)+2))),INDIRECT(ADDRESS(ROW(),COLUMN(rs_part_data)+1)),0),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farnell_part_data)+2))),INDIRECT(ADDRESS(ROW(),COLUMN(farnell_part_data)+1)),0),IF(ISNUMBER(INDIRECT(ADDRESS(ROW(),COLUMN(tme_part_data)+2))),INDIRECT(ADDRESS(ROW(),COLUMN(tme_part_data)+1)),0),IF(ISNUMBER(INDIRECT(ADDRESS(ROW(),COLUMN(newark_part_data)+2))),INDIRECT(ADDRESS(ROW(),COLUMN(newark_part_data)+1)),0))</formula>
    </cfRule>
  </conditionalFormatting>
  <conditionalFormatting sqref="G34">
    <cfRule type="expression" dxfId="0" priority="109">
      <formula>AND(ISBLANK(F34),ISBLANK(INDIRECT(ADDRESS(ROW(),COLUMN(rs_part_data)+4))),ISBLANK(INDIRECT(ADDRESS(ROW(),COLUMN(digikey_part_data)+4))),ISBLANK(INDIRECT(ADDRESS(ROW(),COLUMN(mouser_part_data)+4))),ISBLANK(INDIRECT(ADDRESS(ROW(),COLUMN(farnell_part_data)+4))),ISBLANK(INDIRECT(ADDRESS(ROW(),COLUMN(tme_part_data)+4))),ISBLANK(INDIRECT(ADDRESS(ROW(),COLUMN(newark_part_data)+4))))</formula>
    </cfRule>
    <cfRule type="expression" dxfId="1" priority="110">
      <formula>IF(SUM(INDIRECT(ADDRESS(ROW(),COLUMN(rs_part_data)+0)),INDIRECT(ADDRESS(ROW(),COLUMN(digikey_part_data)+0)),INDIRECT(ADDRESS(ROW(),COLUMN(mouser_part_data)+0)),INDIRECT(ADDRESS(ROW(),COLUMN(farnell_part_data)+0)),INDIRECT(ADDRESS(ROW(),COLUMN(tme_part_data)+0)),INDIRECT(ADDRESS(ROW(),COLUMN(newark_part_data)+0)))=0,1,0)</formula>
    </cfRule>
    <cfRule type="cellIs" dxfId="2" priority="111" operator="greaterThan">
      <formula>SUM(INDIRECT(ADDRESS(ROW(),COLUMN(rs_part_data)+0)),INDIRECT(ADDRESS(ROW(),COLUMN(digikey_part_data)+0)),INDIRECT(ADDRESS(ROW(),COLUMN(mouser_part_data)+0)),INDIRECT(ADDRESS(ROW(),COLUMN(farnell_part_data)+0)),INDIRECT(ADDRESS(ROW(),COLUMN(tme_part_data)+0)),INDIRECT(ADDRESS(ROW(),COLUMN(newark_part_data)+0)))</formula>
    </cfRule>
    <cfRule type="cellIs" dxfId="3" priority="112" operator="greaterThan">
      <formula>SUM(IF(ISNUMBER(INDIRECT(ADDRESS(ROW(),COLUMN(rs_part_data)+2))),INDIRECT(ADDRESS(ROW(),COLUMN(rs_part_data)+1)),0),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farnell_part_data)+2))),INDIRECT(ADDRESS(ROW(),COLUMN(farnell_part_data)+1)),0),IF(ISNUMBER(INDIRECT(ADDRESS(ROW(),COLUMN(tme_part_data)+2))),INDIRECT(ADDRESS(ROW(),COLUMN(tme_part_data)+1)),0),IF(ISNUMBER(INDIRECT(ADDRESS(ROW(),COLUMN(newark_part_data)+2))),INDIRECT(ADDRESS(ROW(),COLUMN(newark_part_data)+1)),0))</formula>
    </cfRule>
  </conditionalFormatting>
  <conditionalFormatting sqref="G35">
    <cfRule type="expression" dxfId="0" priority="113">
      <formula>AND(ISBLANK(F35),ISBLANK(INDIRECT(ADDRESS(ROW(),COLUMN(rs_part_data)+4))),ISBLANK(INDIRECT(ADDRESS(ROW(),COLUMN(digikey_part_data)+4))),ISBLANK(INDIRECT(ADDRESS(ROW(),COLUMN(mouser_part_data)+4))),ISBLANK(INDIRECT(ADDRESS(ROW(),COLUMN(farnell_part_data)+4))),ISBLANK(INDIRECT(ADDRESS(ROW(),COLUMN(tme_part_data)+4))),ISBLANK(INDIRECT(ADDRESS(ROW(),COLUMN(newark_part_data)+4))))</formula>
    </cfRule>
    <cfRule type="expression" dxfId="1" priority="114">
      <formula>IF(SUM(INDIRECT(ADDRESS(ROW(),COLUMN(rs_part_data)+0)),INDIRECT(ADDRESS(ROW(),COLUMN(digikey_part_data)+0)),INDIRECT(ADDRESS(ROW(),COLUMN(mouser_part_data)+0)),INDIRECT(ADDRESS(ROW(),COLUMN(farnell_part_data)+0)),INDIRECT(ADDRESS(ROW(),COLUMN(tme_part_data)+0)),INDIRECT(ADDRESS(ROW(),COLUMN(newark_part_data)+0)))=0,1,0)</formula>
    </cfRule>
    <cfRule type="cellIs" dxfId="2" priority="115" operator="greaterThan">
      <formula>SUM(INDIRECT(ADDRESS(ROW(),COLUMN(rs_part_data)+0)),INDIRECT(ADDRESS(ROW(),COLUMN(digikey_part_data)+0)),INDIRECT(ADDRESS(ROW(),COLUMN(mouser_part_data)+0)),INDIRECT(ADDRESS(ROW(),COLUMN(farnell_part_data)+0)),INDIRECT(ADDRESS(ROW(),COLUMN(tme_part_data)+0)),INDIRECT(ADDRESS(ROW(),COLUMN(newark_part_data)+0)))</formula>
    </cfRule>
    <cfRule type="cellIs" dxfId="3" priority="116" operator="greaterThan">
      <formula>SUM(IF(ISNUMBER(INDIRECT(ADDRESS(ROW(),COLUMN(rs_part_data)+2))),INDIRECT(ADDRESS(ROW(),COLUMN(rs_part_data)+1)),0),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farnell_part_data)+2))),INDIRECT(ADDRESS(ROW(),COLUMN(farnell_part_data)+1)),0),IF(ISNUMBER(INDIRECT(ADDRESS(ROW(),COLUMN(tme_part_data)+2))),INDIRECT(ADDRESS(ROW(),COLUMN(tme_part_data)+1)),0),IF(ISNUMBER(INDIRECT(ADDRESS(ROW(),COLUMN(newark_part_data)+2))),INDIRECT(ADDRESS(ROW(),COLUMN(newark_part_data)+1)),0))</formula>
    </cfRule>
  </conditionalFormatting>
  <conditionalFormatting sqref="G36">
    <cfRule type="expression" dxfId="0" priority="117">
      <formula>AND(ISBLANK(F36),ISBLANK(INDIRECT(ADDRESS(ROW(),COLUMN(rs_part_data)+4))),ISBLANK(INDIRECT(ADDRESS(ROW(),COLUMN(digikey_part_data)+4))),ISBLANK(INDIRECT(ADDRESS(ROW(),COLUMN(mouser_part_data)+4))),ISBLANK(INDIRECT(ADDRESS(ROW(),COLUMN(farnell_part_data)+4))),ISBLANK(INDIRECT(ADDRESS(ROW(),COLUMN(tme_part_data)+4))),ISBLANK(INDIRECT(ADDRESS(ROW(),COLUMN(newark_part_data)+4))))</formula>
    </cfRule>
    <cfRule type="expression" dxfId="1" priority="118">
      <formula>IF(SUM(INDIRECT(ADDRESS(ROW(),COLUMN(rs_part_data)+0)),INDIRECT(ADDRESS(ROW(),COLUMN(digikey_part_data)+0)),INDIRECT(ADDRESS(ROW(),COLUMN(mouser_part_data)+0)),INDIRECT(ADDRESS(ROW(),COLUMN(farnell_part_data)+0)),INDIRECT(ADDRESS(ROW(),COLUMN(tme_part_data)+0)),INDIRECT(ADDRESS(ROW(),COLUMN(newark_part_data)+0)))=0,1,0)</formula>
    </cfRule>
    <cfRule type="cellIs" dxfId="2" priority="119" operator="greaterThan">
      <formula>SUM(INDIRECT(ADDRESS(ROW(),COLUMN(rs_part_data)+0)),INDIRECT(ADDRESS(ROW(),COLUMN(digikey_part_data)+0)),INDIRECT(ADDRESS(ROW(),COLUMN(mouser_part_data)+0)),INDIRECT(ADDRESS(ROW(),COLUMN(farnell_part_data)+0)),INDIRECT(ADDRESS(ROW(),COLUMN(tme_part_data)+0)),INDIRECT(ADDRESS(ROW(),COLUMN(newark_part_data)+0)))</formula>
    </cfRule>
    <cfRule type="cellIs" dxfId="3" priority="120" operator="greaterThan">
      <formula>SUM(IF(ISNUMBER(INDIRECT(ADDRESS(ROW(),COLUMN(rs_part_data)+2))),INDIRECT(ADDRESS(ROW(),COLUMN(rs_part_data)+1)),0),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farnell_part_data)+2))),INDIRECT(ADDRESS(ROW(),COLUMN(farnell_part_data)+1)),0),IF(ISNUMBER(INDIRECT(ADDRESS(ROW(),COLUMN(tme_part_data)+2))),INDIRECT(ADDRESS(ROW(),COLUMN(tme_part_data)+1)),0),IF(ISNUMBER(INDIRECT(ADDRESS(ROW(),COLUMN(newark_part_data)+2))),INDIRECT(ADDRESS(ROW(),COLUMN(newark_part_data)+1)),0))</formula>
    </cfRule>
  </conditionalFormatting>
  <conditionalFormatting sqref="G37">
    <cfRule type="expression" dxfId="0" priority="121">
      <formula>AND(ISBLANK(F37),ISBLANK(INDIRECT(ADDRESS(ROW(),COLUMN(rs_part_data)+4))),ISBLANK(INDIRECT(ADDRESS(ROW(),COLUMN(digikey_part_data)+4))),ISBLANK(INDIRECT(ADDRESS(ROW(),COLUMN(mouser_part_data)+4))),ISBLANK(INDIRECT(ADDRESS(ROW(),COLUMN(farnell_part_data)+4))),ISBLANK(INDIRECT(ADDRESS(ROW(),COLUMN(tme_part_data)+4))),ISBLANK(INDIRECT(ADDRESS(ROW(),COLUMN(newark_part_data)+4))))</formula>
    </cfRule>
    <cfRule type="expression" dxfId="1" priority="122">
      <formula>IF(SUM(INDIRECT(ADDRESS(ROW(),COLUMN(rs_part_data)+0)),INDIRECT(ADDRESS(ROW(),COLUMN(digikey_part_data)+0)),INDIRECT(ADDRESS(ROW(),COLUMN(mouser_part_data)+0)),INDIRECT(ADDRESS(ROW(),COLUMN(farnell_part_data)+0)),INDIRECT(ADDRESS(ROW(),COLUMN(tme_part_data)+0)),INDIRECT(ADDRESS(ROW(),COLUMN(newark_part_data)+0)))=0,1,0)</formula>
    </cfRule>
    <cfRule type="cellIs" dxfId="2" priority="123" operator="greaterThan">
      <formula>SUM(INDIRECT(ADDRESS(ROW(),COLUMN(rs_part_data)+0)),INDIRECT(ADDRESS(ROW(),COLUMN(digikey_part_data)+0)),INDIRECT(ADDRESS(ROW(),COLUMN(mouser_part_data)+0)),INDIRECT(ADDRESS(ROW(),COLUMN(farnell_part_data)+0)),INDIRECT(ADDRESS(ROW(),COLUMN(tme_part_data)+0)),INDIRECT(ADDRESS(ROW(),COLUMN(newark_part_data)+0)))</formula>
    </cfRule>
    <cfRule type="cellIs" dxfId="3" priority="124" operator="greaterThan">
      <formula>SUM(IF(ISNUMBER(INDIRECT(ADDRESS(ROW(),COLUMN(rs_part_data)+2))),INDIRECT(ADDRESS(ROW(),COLUMN(rs_part_data)+1)),0),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farnell_part_data)+2))),INDIRECT(ADDRESS(ROW(),COLUMN(farnell_part_data)+1)),0),IF(ISNUMBER(INDIRECT(ADDRESS(ROW(),COLUMN(tme_part_data)+2))),INDIRECT(ADDRESS(ROW(),COLUMN(tme_part_data)+1)),0),IF(ISNUMBER(INDIRECT(ADDRESS(ROW(),COLUMN(newark_part_data)+2))),INDIRECT(ADDRESS(ROW(),COLUMN(newark_part_data)+1)),0))</formula>
    </cfRule>
  </conditionalFormatting>
  <conditionalFormatting sqref="G38">
    <cfRule type="expression" dxfId="0" priority="125">
      <formula>AND(ISBLANK(F38),ISBLANK(INDIRECT(ADDRESS(ROW(),COLUMN(rs_part_data)+4))),ISBLANK(INDIRECT(ADDRESS(ROW(),COLUMN(digikey_part_data)+4))),ISBLANK(INDIRECT(ADDRESS(ROW(),COLUMN(mouser_part_data)+4))),ISBLANK(INDIRECT(ADDRESS(ROW(),COLUMN(farnell_part_data)+4))),ISBLANK(INDIRECT(ADDRESS(ROW(),COLUMN(tme_part_data)+4))),ISBLANK(INDIRECT(ADDRESS(ROW(),COLUMN(newark_part_data)+4))))</formula>
    </cfRule>
    <cfRule type="expression" dxfId="1" priority="126">
      <formula>IF(SUM(INDIRECT(ADDRESS(ROW(),COLUMN(rs_part_data)+0)),INDIRECT(ADDRESS(ROW(),COLUMN(digikey_part_data)+0)),INDIRECT(ADDRESS(ROW(),COLUMN(mouser_part_data)+0)),INDIRECT(ADDRESS(ROW(),COLUMN(farnell_part_data)+0)),INDIRECT(ADDRESS(ROW(),COLUMN(tme_part_data)+0)),INDIRECT(ADDRESS(ROW(),COLUMN(newark_part_data)+0)))=0,1,0)</formula>
    </cfRule>
    <cfRule type="cellIs" dxfId="2" priority="127" operator="greaterThan">
      <formula>SUM(INDIRECT(ADDRESS(ROW(),COLUMN(rs_part_data)+0)),INDIRECT(ADDRESS(ROW(),COLUMN(digikey_part_data)+0)),INDIRECT(ADDRESS(ROW(),COLUMN(mouser_part_data)+0)),INDIRECT(ADDRESS(ROW(),COLUMN(farnell_part_data)+0)),INDIRECT(ADDRESS(ROW(),COLUMN(tme_part_data)+0)),INDIRECT(ADDRESS(ROW(),COLUMN(newark_part_data)+0)))</formula>
    </cfRule>
    <cfRule type="cellIs" dxfId="3" priority="128" operator="greaterThan">
      <formula>SUM(IF(ISNUMBER(INDIRECT(ADDRESS(ROW(),COLUMN(rs_part_data)+2))),INDIRECT(ADDRESS(ROW(),COLUMN(rs_part_data)+1)),0),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farnell_part_data)+2))),INDIRECT(ADDRESS(ROW(),COLUMN(farnell_part_data)+1)),0),IF(ISNUMBER(INDIRECT(ADDRESS(ROW(),COLUMN(tme_part_data)+2))),INDIRECT(ADDRESS(ROW(),COLUMN(tme_part_data)+1)),0),IF(ISNUMBER(INDIRECT(ADDRESS(ROW(),COLUMN(newark_part_data)+2))),INDIRECT(ADDRESS(ROW(),COLUMN(newark_part_data)+1)),0))</formula>
    </cfRule>
  </conditionalFormatting>
  <conditionalFormatting sqref="G39">
    <cfRule type="expression" dxfId="0" priority="129">
      <formula>AND(ISBLANK(F39),ISBLANK(INDIRECT(ADDRESS(ROW(),COLUMN(rs_part_data)+4))),ISBLANK(INDIRECT(ADDRESS(ROW(),COLUMN(digikey_part_data)+4))),ISBLANK(INDIRECT(ADDRESS(ROW(),COLUMN(mouser_part_data)+4))),ISBLANK(INDIRECT(ADDRESS(ROW(),COLUMN(farnell_part_data)+4))),ISBLANK(INDIRECT(ADDRESS(ROW(),COLUMN(tme_part_data)+4))),ISBLANK(INDIRECT(ADDRESS(ROW(),COLUMN(newark_part_data)+4))))</formula>
    </cfRule>
    <cfRule type="expression" dxfId="1" priority="130">
      <formula>IF(SUM(INDIRECT(ADDRESS(ROW(),COLUMN(rs_part_data)+0)),INDIRECT(ADDRESS(ROW(),COLUMN(digikey_part_data)+0)),INDIRECT(ADDRESS(ROW(),COLUMN(mouser_part_data)+0)),INDIRECT(ADDRESS(ROW(),COLUMN(farnell_part_data)+0)),INDIRECT(ADDRESS(ROW(),COLUMN(tme_part_data)+0)),INDIRECT(ADDRESS(ROW(),COLUMN(newark_part_data)+0)))=0,1,0)</formula>
    </cfRule>
    <cfRule type="cellIs" dxfId="2" priority="131" operator="greaterThan">
      <formula>SUM(INDIRECT(ADDRESS(ROW(),COLUMN(rs_part_data)+0)),INDIRECT(ADDRESS(ROW(),COLUMN(digikey_part_data)+0)),INDIRECT(ADDRESS(ROW(),COLUMN(mouser_part_data)+0)),INDIRECT(ADDRESS(ROW(),COLUMN(farnell_part_data)+0)),INDIRECT(ADDRESS(ROW(),COLUMN(tme_part_data)+0)),INDIRECT(ADDRESS(ROW(),COLUMN(newark_part_data)+0)))</formula>
    </cfRule>
    <cfRule type="cellIs" dxfId="3" priority="132" operator="greaterThan">
      <formula>SUM(IF(ISNUMBER(INDIRECT(ADDRESS(ROW(),COLUMN(rs_part_data)+2))),INDIRECT(ADDRESS(ROW(),COLUMN(rs_part_data)+1)),0),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farnell_part_data)+2))),INDIRECT(ADDRESS(ROW(),COLUMN(farnell_part_data)+1)),0),IF(ISNUMBER(INDIRECT(ADDRESS(ROW(),COLUMN(tme_part_data)+2))),INDIRECT(ADDRESS(ROW(),COLUMN(tme_part_data)+1)),0),IF(ISNUMBER(INDIRECT(ADDRESS(ROW(),COLUMN(newark_part_data)+2))),INDIRECT(ADDRESS(ROW(),COLUMN(newark_part_data)+1)),0))</formula>
    </cfRule>
  </conditionalFormatting>
  <conditionalFormatting sqref="G40">
    <cfRule type="expression" dxfId="0" priority="133">
      <formula>AND(ISBLANK(F40),ISBLANK(INDIRECT(ADDRESS(ROW(),COLUMN(rs_part_data)+4))),ISBLANK(INDIRECT(ADDRESS(ROW(),COLUMN(digikey_part_data)+4))),ISBLANK(INDIRECT(ADDRESS(ROW(),COLUMN(mouser_part_data)+4))),ISBLANK(INDIRECT(ADDRESS(ROW(),COLUMN(farnell_part_data)+4))),ISBLANK(INDIRECT(ADDRESS(ROW(),COLUMN(tme_part_data)+4))),ISBLANK(INDIRECT(ADDRESS(ROW(),COLUMN(newark_part_data)+4))))</formula>
    </cfRule>
    <cfRule type="expression" dxfId="1" priority="134">
      <formula>IF(SUM(INDIRECT(ADDRESS(ROW(),COLUMN(rs_part_data)+0)),INDIRECT(ADDRESS(ROW(),COLUMN(digikey_part_data)+0)),INDIRECT(ADDRESS(ROW(),COLUMN(mouser_part_data)+0)),INDIRECT(ADDRESS(ROW(),COLUMN(farnell_part_data)+0)),INDIRECT(ADDRESS(ROW(),COLUMN(tme_part_data)+0)),INDIRECT(ADDRESS(ROW(),COLUMN(newark_part_data)+0)))=0,1,0)</formula>
    </cfRule>
    <cfRule type="cellIs" dxfId="2" priority="135" operator="greaterThan">
      <formula>SUM(INDIRECT(ADDRESS(ROW(),COLUMN(rs_part_data)+0)),INDIRECT(ADDRESS(ROW(),COLUMN(digikey_part_data)+0)),INDIRECT(ADDRESS(ROW(),COLUMN(mouser_part_data)+0)),INDIRECT(ADDRESS(ROW(),COLUMN(farnell_part_data)+0)),INDIRECT(ADDRESS(ROW(),COLUMN(tme_part_data)+0)),INDIRECT(ADDRESS(ROW(),COLUMN(newark_part_data)+0)))</formula>
    </cfRule>
    <cfRule type="cellIs" dxfId="3" priority="136" operator="greaterThan">
      <formula>SUM(IF(ISNUMBER(INDIRECT(ADDRESS(ROW(),COLUMN(rs_part_data)+2))),INDIRECT(ADDRESS(ROW(),COLUMN(rs_part_data)+1)),0),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farnell_part_data)+2))),INDIRECT(ADDRESS(ROW(),COLUMN(farnell_part_data)+1)),0),IF(ISNUMBER(INDIRECT(ADDRESS(ROW(),COLUMN(tme_part_data)+2))),INDIRECT(ADDRESS(ROW(),COLUMN(tme_part_data)+1)),0),IF(ISNUMBER(INDIRECT(ADDRESS(ROW(),COLUMN(newark_part_data)+2))),INDIRECT(ADDRESS(ROW(),COLUMN(newark_part_data)+1)),0))</formula>
    </cfRule>
  </conditionalFormatting>
  <conditionalFormatting sqref="G7">
    <cfRule type="expression" dxfId="0" priority="1">
      <formula>AND(ISBLANK(F7),ISBLANK(INDIRECT(ADDRESS(ROW(),COLUMN(rs_part_data)+4))),ISBLANK(INDIRECT(ADDRESS(ROW(),COLUMN(digikey_part_data)+4))),ISBLANK(INDIRECT(ADDRESS(ROW(),COLUMN(mouser_part_data)+4))),ISBLANK(INDIRECT(ADDRESS(ROW(),COLUMN(farnell_part_data)+4))),ISBLANK(INDIRECT(ADDRESS(ROW(),COLUMN(tme_part_data)+4))),ISBLANK(INDIRECT(ADDRESS(ROW(),COLUMN(newark_part_data)+4))))</formula>
    </cfRule>
    <cfRule type="expression" dxfId="1" priority="2">
      <formula>IF(SUM(INDIRECT(ADDRESS(ROW(),COLUMN(rs_part_data)+0)),INDIRECT(ADDRESS(ROW(),COLUMN(digikey_part_data)+0)),INDIRECT(ADDRESS(ROW(),COLUMN(mouser_part_data)+0)),INDIRECT(ADDRESS(ROW(),COLUMN(farnell_part_data)+0)),INDIRECT(ADDRESS(ROW(),COLUMN(tme_part_data)+0)),INDIRECT(ADDRESS(ROW(),COLUMN(newark_part_data)+0)))=0,1,0)</formula>
    </cfRule>
    <cfRule type="cellIs" dxfId="2" priority="3" operator="greaterThan">
      <formula>SUM(INDIRECT(ADDRESS(ROW(),COLUMN(rs_part_data)+0)),INDIRECT(ADDRESS(ROW(),COLUMN(digikey_part_data)+0)),INDIRECT(ADDRESS(ROW(),COLUMN(mouser_part_data)+0)),INDIRECT(ADDRESS(ROW(),COLUMN(farnell_part_data)+0)),INDIRECT(ADDRESS(ROW(),COLUMN(tme_part_data)+0)),INDIRECT(ADDRESS(ROW(),COLUMN(newark_part_data)+0)))</formula>
    </cfRule>
    <cfRule type="cellIs" dxfId="3" priority="4" operator="greaterThan">
      <formula>SUM(IF(ISNUMBER(INDIRECT(ADDRESS(ROW(),COLUMN(rs_part_data)+2))),INDIRECT(ADDRESS(ROW(),COLUMN(rs_part_data)+1)),0),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farnell_part_data)+2))),INDIRECT(ADDRESS(ROW(),COLUMN(farnell_part_data)+1)),0),IF(ISNUMBER(INDIRECT(ADDRESS(ROW(),COLUMN(tme_part_data)+2))),INDIRECT(ADDRESS(ROW(),COLUMN(tme_part_data)+1)),0),IF(ISNUMBER(INDIRECT(ADDRESS(ROW(),COLUMN(newark_part_data)+2))),INDIRECT(ADDRESS(ROW(),COLUMN(newark_part_data)+1)),0))</formula>
    </cfRule>
  </conditionalFormatting>
  <conditionalFormatting sqref="G8">
    <cfRule type="expression" dxfId="0" priority="5">
      <formula>AND(ISBLANK(F8),ISBLANK(INDIRECT(ADDRESS(ROW(),COLUMN(rs_part_data)+4))),ISBLANK(INDIRECT(ADDRESS(ROW(),COLUMN(digikey_part_data)+4))),ISBLANK(INDIRECT(ADDRESS(ROW(),COLUMN(mouser_part_data)+4))),ISBLANK(INDIRECT(ADDRESS(ROW(),COLUMN(farnell_part_data)+4))),ISBLANK(INDIRECT(ADDRESS(ROW(),COLUMN(tme_part_data)+4))),ISBLANK(INDIRECT(ADDRESS(ROW(),COLUMN(newark_part_data)+4))))</formula>
    </cfRule>
    <cfRule type="expression" dxfId="1" priority="6">
      <formula>IF(SUM(INDIRECT(ADDRESS(ROW(),COLUMN(rs_part_data)+0)),INDIRECT(ADDRESS(ROW(),COLUMN(digikey_part_data)+0)),INDIRECT(ADDRESS(ROW(),COLUMN(mouser_part_data)+0)),INDIRECT(ADDRESS(ROW(),COLUMN(farnell_part_data)+0)),INDIRECT(ADDRESS(ROW(),COLUMN(tme_part_data)+0)),INDIRECT(ADDRESS(ROW(),COLUMN(newark_part_data)+0)))=0,1,0)</formula>
    </cfRule>
    <cfRule type="cellIs" dxfId="2" priority="7" operator="greaterThan">
      <formula>SUM(INDIRECT(ADDRESS(ROW(),COLUMN(rs_part_data)+0)),INDIRECT(ADDRESS(ROW(),COLUMN(digikey_part_data)+0)),INDIRECT(ADDRESS(ROW(),COLUMN(mouser_part_data)+0)),INDIRECT(ADDRESS(ROW(),COLUMN(farnell_part_data)+0)),INDIRECT(ADDRESS(ROW(),COLUMN(tme_part_data)+0)),INDIRECT(ADDRESS(ROW(),COLUMN(newark_part_data)+0)))</formula>
    </cfRule>
    <cfRule type="cellIs" dxfId="3" priority="8" operator="greaterThan">
      <formula>SUM(IF(ISNUMBER(INDIRECT(ADDRESS(ROW(),COLUMN(rs_part_data)+2))),INDIRECT(ADDRESS(ROW(),COLUMN(rs_part_data)+1)),0),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farnell_part_data)+2))),INDIRECT(ADDRESS(ROW(),COLUMN(farnell_part_data)+1)),0),IF(ISNUMBER(INDIRECT(ADDRESS(ROW(),COLUMN(tme_part_data)+2))),INDIRECT(ADDRESS(ROW(),COLUMN(tme_part_data)+1)),0),IF(ISNUMBER(INDIRECT(ADDRESS(ROW(),COLUMN(newark_part_data)+2))),INDIRECT(ADDRESS(ROW(),COLUMN(newark_part_data)+1)),0))</formula>
    </cfRule>
  </conditionalFormatting>
  <conditionalFormatting sqref="G9">
    <cfRule type="expression" dxfId="0" priority="9">
      <formula>AND(ISBLANK(F9),ISBLANK(INDIRECT(ADDRESS(ROW(),COLUMN(rs_part_data)+4))),ISBLANK(INDIRECT(ADDRESS(ROW(),COLUMN(digikey_part_data)+4))),ISBLANK(INDIRECT(ADDRESS(ROW(),COLUMN(mouser_part_data)+4))),ISBLANK(INDIRECT(ADDRESS(ROW(),COLUMN(farnell_part_data)+4))),ISBLANK(INDIRECT(ADDRESS(ROW(),COLUMN(tme_part_data)+4))),ISBLANK(INDIRECT(ADDRESS(ROW(),COLUMN(newark_part_data)+4))))</formula>
    </cfRule>
    <cfRule type="expression" dxfId="1" priority="10">
      <formula>IF(SUM(INDIRECT(ADDRESS(ROW(),COLUMN(rs_part_data)+0)),INDIRECT(ADDRESS(ROW(),COLUMN(digikey_part_data)+0)),INDIRECT(ADDRESS(ROW(),COLUMN(mouser_part_data)+0)),INDIRECT(ADDRESS(ROW(),COLUMN(farnell_part_data)+0)),INDIRECT(ADDRESS(ROW(),COLUMN(tme_part_data)+0)),INDIRECT(ADDRESS(ROW(),COLUMN(newark_part_data)+0)))=0,1,0)</formula>
    </cfRule>
    <cfRule type="cellIs" dxfId="2" priority="11" operator="greaterThan">
      <formula>SUM(INDIRECT(ADDRESS(ROW(),COLUMN(rs_part_data)+0)),INDIRECT(ADDRESS(ROW(),COLUMN(digikey_part_data)+0)),INDIRECT(ADDRESS(ROW(),COLUMN(mouser_part_data)+0)),INDIRECT(ADDRESS(ROW(),COLUMN(farnell_part_data)+0)),INDIRECT(ADDRESS(ROW(),COLUMN(tme_part_data)+0)),INDIRECT(ADDRESS(ROW(),COLUMN(newark_part_data)+0)))</formula>
    </cfRule>
    <cfRule type="cellIs" dxfId="3" priority="12" operator="greaterThan">
      <formula>SUM(IF(ISNUMBER(INDIRECT(ADDRESS(ROW(),COLUMN(rs_part_data)+2))),INDIRECT(ADDRESS(ROW(),COLUMN(rs_part_data)+1)),0),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farnell_part_data)+2))),INDIRECT(ADDRESS(ROW(),COLUMN(farnell_part_data)+1)),0),IF(ISNUMBER(INDIRECT(ADDRESS(ROW(),COLUMN(tme_part_data)+2))),INDIRECT(ADDRESS(ROW(),COLUMN(tme_part_data)+1)),0),IF(ISNUMBER(INDIRECT(ADDRESS(ROW(),COLUMN(newark_part_data)+2))),INDIRECT(ADDRESS(ROW(),COLUMN(newark_part_data)+1)),0))</formula>
    </cfRule>
  </conditionalFormatting>
  <conditionalFormatting sqref="J10">
    <cfRule type="cellIs" dxfId="1" priority="152" operator="equal">
      <formula>0</formula>
    </cfRule>
    <cfRule type="cellIs" dxfId="2" priority="153" operator="lessThan">
      <formula>G10</formula>
    </cfRule>
  </conditionalFormatting>
  <conditionalFormatting sqref="J11">
    <cfRule type="cellIs" dxfId="1" priority="157" operator="equal">
      <formula>0</formula>
    </cfRule>
    <cfRule type="cellIs" dxfId="2" priority="158" operator="lessThan">
      <formula>G11</formula>
    </cfRule>
  </conditionalFormatting>
  <conditionalFormatting sqref="J12">
    <cfRule type="cellIs" dxfId="1" priority="162" operator="equal">
      <formula>0</formula>
    </cfRule>
    <cfRule type="cellIs" dxfId="2" priority="163" operator="lessThan">
      <formula>G12</formula>
    </cfRule>
  </conditionalFormatting>
  <conditionalFormatting sqref="J13">
    <cfRule type="cellIs" dxfId="1" priority="167" operator="equal">
      <formula>0</formula>
    </cfRule>
    <cfRule type="cellIs" dxfId="2" priority="168" operator="lessThan">
      <formula>G13</formula>
    </cfRule>
  </conditionalFormatting>
  <conditionalFormatting sqref="J14">
    <cfRule type="cellIs" dxfId="1" priority="172" operator="equal">
      <formula>0</formula>
    </cfRule>
    <cfRule type="cellIs" dxfId="2" priority="173" operator="lessThan">
      <formula>G14</formula>
    </cfRule>
  </conditionalFormatting>
  <conditionalFormatting sqref="J15">
    <cfRule type="cellIs" dxfId="1" priority="177" operator="equal">
      <formula>0</formula>
    </cfRule>
    <cfRule type="cellIs" dxfId="2" priority="178" operator="lessThan">
      <formula>G15</formula>
    </cfRule>
  </conditionalFormatting>
  <conditionalFormatting sqref="J16">
    <cfRule type="cellIs" dxfId="1" priority="182" operator="equal">
      <formula>0</formula>
    </cfRule>
    <cfRule type="cellIs" dxfId="2" priority="183" operator="lessThan">
      <formula>G16</formula>
    </cfRule>
  </conditionalFormatting>
  <conditionalFormatting sqref="J17">
    <cfRule type="cellIs" dxfId="1" priority="187" operator="equal">
      <formula>0</formula>
    </cfRule>
    <cfRule type="cellIs" dxfId="2" priority="188" operator="lessThan">
      <formula>G17</formula>
    </cfRule>
  </conditionalFormatting>
  <conditionalFormatting sqref="J18">
    <cfRule type="cellIs" dxfId="1" priority="192" operator="equal">
      <formula>0</formula>
    </cfRule>
    <cfRule type="cellIs" dxfId="2" priority="193" operator="lessThan">
      <formula>G18</formula>
    </cfRule>
  </conditionalFormatting>
  <conditionalFormatting sqref="J20">
    <cfRule type="cellIs" dxfId="1" priority="197" operator="equal">
      <formula>0</formula>
    </cfRule>
    <cfRule type="cellIs" dxfId="2" priority="198" operator="lessThan">
      <formula>G20</formula>
    </cfRule>
  </conditionalFormatting>
  <conditionalFormatting sqref="J21">
    <cfRule type="cellIs" dxfId="1" priority="202" operator="equal">
      <formula>0</formula>
    </cfRule>
    <cfRule type="cellIs" dxfId="2" priority="203" operator="lessThan">
      <formula>G21</formula>
    </cfRule>
  </conditionalFormatting>
  <conditionalFormatting sqref="J22">
    <cfRule type="cellIs" dxfId="1" priority="207" operator="equal">
      <formula>0</formula>
    </cfRule>
    <cfRule type="cellIs" dxfId="2" priority="208" operator="lessThan">
      <formula>G22</formula>
    </cfRule>
  </conditionalFormatting>
  <conditionalFormatting sqref="J23">
    <cfRule type="cellIs" dxfId="1" priority="212" operator="equal">
      <formula>0</formula>
    </cfRule>
    <cfRule type="cellIs" dxfId="2" priority="213" operator="lessThan">
      <formula>G23</formula>
    </cfRule>
  </conditionalFormatting>
  <conditionalFormatting sqref="J24">
    <cfRule type="cellIs" dxfId="1" priority="217" operator="equal">
      <formula>0</formula>
    </cfRule>
    <cfRule type="cellIs" dxfId="2" priority="218" operator="lessThan">
      <formula>G24</formula>
    </cfRule>
  </conditionalFormatting>
  <conditionalFormatting sqref="J25">
    <cfRule type="cellIs" dxfId="1" priority="222" operator="equal">
      <formula>0</formula>
    </cfRule>
    <cfRule type="cellIs" dxfId="2" priority="223" operator="lessThan">
      <formula>G25</formula>
    </cfRule>
  </conditionalFormatting>
  <conditionalFormatting sqref="J26">
    <cfRule type="cellIs" dxfId="1" priority="227" operator="equal">
      <formula>0</formula>
    </cfRule>
    <cfRule type="cellIs" dxfId="2" priority="228" operator="lessThan">
      <formula>G26</formula>
    </cfRule>
  </conditionalFormatting>
  <conditionalFormatting sqref="J27">
    <cfRule type="cellIs" dxfId="1" priority="232" operator="equal">
      <formula>0</formula>
    </cfRule>
    <cfRule type="cellIs" dxfId="2" priority="233" operator="lessThan">
      <formula>G27</formula>
    </cfRule>
  </conditionalFormatting>
  <conditionalFormatting sqref="J28">
    <cfRule type="cellIs" dxfId="1" priority="237" operator="equal">
      <formula>0</formula>
    </cfRule>
    <cfRule type="cellIs" dxfId="2" priority="238" operator="lessThan">
      <formula>G28</formula>
    </cfRule>
  </conditionalFormatting>
  <conditionalFormatting sqref="J29">
    <cfRule type="cellIs" dxfId="1" priority="242" operator="equal">
      <formula>0</formula>
    </cfRule>
    <cfRule type="cellIs" dxfId="2" priority="243" operator="lessThan">
      <formula>G29</formula>
    </cfRule>
  </conditionalFormatting>
  <conditionalFormatting sqref="J30">
    <cfRule type="cellIs" dxfId="1" priority="247" operator="equal">
      <formula>0</formula>
    </cfRule>
    <cfRule type="cellIs" dxfId="2" priority="248" operator="lessThan">
      <formula>G30</formula>
    </cfRule>
  </conditionalFormatting>
  <conditionalFormatting sqref="J31">
    <cfRule type="cellIs" dxfId="1" priority="252" operator="equal">
      <formula>0</formula>
    </cfRule>
    <cfRule type="cellIs" dxfId="2" priority="253" operator="lessThan">
      <formula>G31</formula>
    </cfRule>
  </conditionalFormatting>
  <conditionalFormatting sqref="J32">
    <cfRule type="cellIs" dxfId="1" priority="257" operator="equal">
      <formula>0</formula>
    </cfRule>
    <cfRule type="cellIs" dxfId="2" priority="258" operator="lessThan">
      <formula>G32</formula>
    </cfRule>
  </conditionalFormatting>
  <conditionalFormatting sqref="J33">
    <cfRule type="cellIs" dxfId="1" priority="262" operator="equal">
      <formula>0</formula>
    </cfRule>
    <cfRule type="cellIs" dxfId="2" priority="263" operator="lessThan">
      <formula>G33</formula>
    </cfRule>
  </conditionalFormatting>
  <conditionalFormatting sqref="J34">
    <cfRule type="cellIs" dxfId="1" priority="267" operator="equal">
      <formula>0</formula>
    </cfRule>
    <cfRule type="cellIs" dxfId="2" priority="268" operator="lessThan">
      <formula>G34</formula>
    </cfRule>
  </conditionalFormatting>
  <conditionalFormatting sqref="J35">
    <cfRule type="cellIs" dxfId="1" priority="272" operator="equal">
      <formula>0</formula>
    </cfRule>
    <cfRule type="cellIs" dxfId="2" priority="273" operator="lessThan">
      <formula>G35</formula>
    </cfRule>
  </conditionalFormatting>
  <conditionalFormatting sqref="J36">
    <cfRule type="cellIs" dxfId="1" priority="277" operator="equal">
      <formula>0</formula>
    </cfRule>
    <cfRule type="cellIs" dxfId="2" priority="278" operator="lessThan">
      <formula>G36</formula>
    </cfRule>
  </conditionalFormatting>
  <conditionalFormatting sqref="J37">
    <cfRule type="cellIs" dxfId="1" priority="282" operator="equal">
      <formula>0</formula>
    </cfRule>
    <cfRule type="cellIs" dxfId="2" priority="283" operator="lessThan">
      <formula>G37</formula>
    </cfRule>
  </conditionalFormatting>
  <conditionalFormatting sqref="J38">
    <cfRule type="cellIs" dxfId="1" priority="287" operator="equal">
      <formula>0</formula>
    </cfRule>
    <cfRule type="cellIs" dxfId="2" priority="288" operator="lessThan">
      <formula>G38</formula>
    </cfRule>
  </conditionalFormatting>
  <conditionalFormatting sqref="J39">
    <cfRule type="cellIs" dxfId="1" priority="292" operator="equal">
      <formula>0</formula>
    </cfRule>
    <cfRule type="cellIs" dxfId="2" priority="293" operator="lessThan">
      <formula>G39</formula>
    </cfRule>
  </conditionalFormatting>
  <conditionalFormatting sqref="J40">
    <cfRule type="cellIs" dxfId="1" priority="297" operator="equal">
      <formula>0</formula>
    </cfRule>
    <cfRule type="cellIs" dxfId="2" priority="298" operator="lessThan">
      <formula>G40</formula>
    </cfRule>
  </conditionalFormatting>
  <conditionalFormatting sqref="J7">
    <cfRule type="cellIs" dxfId="1" priority="137" operator="equal">
      <formula>0</formula>
    </cfRule>
    <cfRule type="cellIs" dxfId="2" priority="138" operator="lessThan">
      <formula>G7</formula>
    </cfRule>
  </conditionalFormatting>
  <conditionalFormatting sqref="J8">
    <cfRule type="cellIs" dxfId="1" priority="142" operator="equal">
      <formula>0</formula>
    </cfRule>
    <cfRule type="cellIs" dxfId="2" priority="143" operator="lessThan">
      <formula>G8</formula>
    </cfRule>
  </conditionalFormatting>
  <conditionalFormatting sqref="J9">
    <cfRule type="cellIs" dxfId="1" priority="147" operator="equal">
      <formula>0</formula>
    </cfRule>
    <cfRule type="cellIs" dxfId="2" priority="148" operator="lessThan">
      <formula>G9</formula>
    </cfRule>
  </conditionalFormatting>
  <conditionalFormatting sqref="K10">
    <cfRule type="cellIs" dxfId="1" priority="154" operator="greaterThan">
      <formula>J10</formula>
    </cfRule>
  </conditionalFormatting>
  <conditionalFormatting sqref="K11">
    <cfRule type="cellIs" dxfId="1" priority="159" operator="greaterThan">
      <formula>J11</formula>
    </cfRule>
  </conditionalFormatting>
  <conditionalFormatting sqref="K12">
    <cfRule type="cellIs" dxfId="1" priority="164" operator="greaterThan">
      <formula>J12</formula>
    </cfRule>
  </conditionalFormatting>
  <conditionalFormatting sqref="K13">
    <cfRule type="cellIs" dxfId="1" priority="169" operator="greaterThan">
      <formula>J13</formula>
    </cfRule>
  </conditionalFormatting>
  <conditionalFormatting sqref="K14">
    <cfRule type="cellIs" dxfId="1" priority="174" operator="greaterThan">
      <formula>J14</formula>
    </cfRule>
  </conditionalFormatting>
  <conditionalFormatting sqref="K15">
    <cfRule type="cellIs" dxfId="1" priority="179" operator="greaterThan">
      <formula>J15</formula>
    </cfRule>
  </conditionalFormatting>
  <conditionalFormatting sqref="K16">
    <cfRule type="cellIs" dxfId="1" priority="184" operator="greaterThan">
      <formula>J16</formula>
    </cfRule>
  </conditionalFormatting>
  <conditionalFormatting sqref="K17">
    <cfRule type="cellIs" dxfId="1" priority="189" operator="greaterThan">
      <formula>J17</formula>
    </cfRule>
  </conditionalFormatting>
  <conditionalFormatting sqref="K18">
    <cfRule type="cellIs" dxfId="1" priority="194" operator="greaterThan">
      <formula>J18</formula>
    </cfRule>
  </conditionalFormatting>
  <conditionalFormatting sqref="K20">
    <cfRule type="cellIs" dxfId="1" priority="199" operator="greaterThan">
      <formula>J20</formula>
    </cfRule>
  </conditionalFormatting>
  <conditionalFormatting sqref="K21">
    <cfRule type="cellIs" dxfId="1" priority="204" operator="greaterThan">
      <formula>J21</formula>
    </cfRule>
  </conditionalFormatting>
  <conditionalFormatting sqref="K22">
    <cfRule type="cellIs" dxfId="1" priority="209" operator="greaterThan">
      <formula>J22</formula>
    </cfRule>
  </conditionalFormatting>
  <conditionalFormatting sqref="K23">
    <cfRule type="cellIs" dxfId="1" priority="214" operator="greaterThan">
      <formula>J23</formula>
    </cfRule>
  </conditionalFormatting>
  <conditionalFormatting sqref="K24">
    <cfRule type="cellIs" dxfId="1" priority="219" operator="greaterThan">
      <formula>J24</formula>
    </cfRule>
  </conditionalFormatting>
  <conditionalFormatting sqref="K25">
    <cfRule type="cellIs" dxfId="1" priority="224" operator="greaterThan">
      <formula>J25</formula>
    </cfRule>
  </conditionalFormatting>
  <conditionalFormatting sqref="K26">
    <cfRule type="cellIs" dxfId="1" priority="229" operator="greaterThan">
      <formula>J26</formula>
    </cfRule>
  </conditionalFormatting>
  <conditionalFormatting sqref="K27">
    <cfRule type="cellIs" dxfId="1" priority="234" operator="greaterThan">
      <formula>J27</formula>
    </cfRule>
  </conditionalFormatting>
  <conditionalFormatting sqref="K28">
    <cfRule type="cellIs" dxfId="1" priority="239" operator="greaterThan">
      <formula>J28</formula>
    </cfRule>
  </conditionalFormatting>
  <conditionalFormatting sqref="K29">
    <cfRule type="cellIs" dxfId="1" priority="244" operator="greaterThan">
      <formula>J29</formula>
    </cfRule>
  </conditionalFormatting>
  <conditionalFormatting sqref="K30">
    <cfRule type="cellIs" dxfId="1" priority="249" operator="greaterThan">
      <formula>J30</formula>
    </cfRule>
  </conditionalFormatting>
  <conditionalFormatting sqref="K31">
    <cfRule type="cellIs" dxfId="1" priority="254" operator="greaterThan">
      <formula>J31</formula>
    </cfRule>
  </conditionalFormatting>
  <conditionalFormatting sqref="K32">
    <cfRule type="cellIs" dxfId="1" priority="259" operator="greaterThan">
      <formula>J32</formula>
    </cfRule>
  </conditionalFormatting>
  <conditionalFormatting sqref="K33">
    <cfRule type="cellIs" dxfId="1" priority="264" operator="greaterThan">
      <formula>J33</formula>
    </cfRule>
  </conditionalFormatting>
  <conditionalFormatting sqref="K34">
    <cfRule type="cellIs" dxfId="1" priority="269" operator="greaterThan">
      <formula>J34</formula>
    </cfRule>
  </conditionalFormatting>
  <conditionalFormatting sqref="K35">
    <cfRule type="cellIs" dxfId="1" priority="274" operator="greaterThan">
      <formula>J35</formula>
    </cfRule>
  </conditionalFormatting>
  <conditionalFormatting sqref="K36">
    <cfRule type="cellIs" dxfId="1" priority="279" operator="greaterThan">
      <formula>J36</formula>
    </cfRule>
  </conditionalFormatting>
  <conditionalFormatting sqref="K37">
    <cfRule type="cellIs" dxfId="1" priority="284" operator="greaterThan">
      <formula>J37</formula>
    </cfRule>
  </conditionalFormatting>
  <conditionalFormatting sqref="K38">
    <cfRule type="cellIs" dxfId="1" priority="289" operator="greaterThan">
      <formula>J38</formula>
    </cfRule>
  </conditionalFormatting>
  <conditionalFormatting sqref="K39">
    <cfRule type="cellIs" dxfId="1" priority="294" operator="greaterThan">
      <formula>J39</formula>
    </cfRule>
  </conditionalFormatting>
  <conditionalFormatting sqref="K40">
    <cfRule type="cellIs" dxfId="1" priority="299" operator="greaterThan">
      <formula>J40</formula>
    </cfRule>
  </conditionalFormatting>
  <conditionalFormatting sqref="K7">
    <cfRule type="cellIs" dxfId="1" priority="139" operator="greaterThan">
      <formula>J7</formula>
    </cfRule>
  </conditionalFormatting>
  <conditionalFormatting sqref="K8">
    <cfRule type="cellIs" dxfId="1" priority="144" operator="greaterThan">
      <formula>J8</formula>
    </cfRule>
  </conditionalFormatting>
  <conditionalFormatting sqref="K9">
    <cfRule type="cellIs" dxfId="1" priority="149" operator="greaterThan">
      <formula>J9</formula>
    </cfRule>
  </conditionalFormatting>
  <conditionalFormatting sqref="L10">
    <cfRule type="cellIs" dxfId="4" priority="156" operator="lessThanOrEqual">
      <formula>H10</formula>
    </cfRule>
  </conditionalFormatting>
  <conditionalFormatting sqref="L11">
    <cfRule type="cellIs" dxfId="4" priority="161" operator="lessThanOrEqual">
      <formula>H11</formula>
    </cfRule>
  </conditionalFormatting>
  <conditionalFormatting sqref="L12">
    <cfRule type="cellIs" dxfId="4" priority="166" operator="lessThanOrEqual">
      <formula>H12</formula>
    </cfRule>
  </conditionalFormatting>
  <conditionalFormatting sqref="L13">
    <cfRule type="cellIs" dxfId="4" priority="171" operator="lessThanOrEqual">
      <formula>H13</formula>
    </cfRule>
  </conditionalFormatting>
  <conditionalFormatting sqref="L14">
    <cfRule type="cellIs" dxfId="4" priority="176" operator="lessThanOrEqual">
      <formula>H14</formula>
    </cfRule>
  </conditionalFormatting>
  <conditionalFormatting sqref="L15">
    <cfRule type="cellIs" dxfId="4" priority="181" operator="lessThanOrEqual">
      <formula>H15</formula>
    </cfRule>
  </conditionalFormatting>
  <conditionalFormatting sqref="L16">
    <cfRule type="cellIs" dxfId="4" priority="186" operator="lessThanOrEqual">
      <formula>H16</formula>
    </cfRule>
  </conditionalFormatting>
  <conditionalFormatting sqref="L17">
    <cfRule type="cellIs" dxfId="4" priority="191" operator="lessThanOrEqual">
      <formula>H17</formula>
    </cfRule>
  </conditionalFormatting>
  <conditionalFormatting sqref="L18">
    <cfRule type="cellIs" dxfId="4" priority="196" operator="lessThanOrEqual">
      <formula>H18</formula>
    </cfRule>
  </conditionalFormatting>
  <conditionalFormatting sqref="L20">
    <cfRule type="cellIs" dxfId="4" priority="201" operator="lessThanOrEqual">
      <formula>H20</formula>
    </cfRule>
  </conditionalFormatting>
  <conditionalFormatting sqref="L21">
    <cfRule type="cellIs" dxfId="4" priority="206" operator="lessThanOrEqual">
      <formula>H21</formula>
    </cfRule>
  </conditionalFormatting>
  <conditionalFormatting sqref="L22">
    <cfRule type="cellIs" dxfId="4" priority="211" operator="lessThanOrEqual">
      <formula>H22</formula>
    </cfRule>
  </conditionalFormatting>
  <conditionalFormatting sqref="L23">
    <cfRule type="cellIs" dxfId="4" priority="216" operator="lessThanOrEqual">
      <formula>H23</formula>
    </cfRule>
  </conditionalFormatting>
  <conditionalFormatting sqref="L24">
    <cfRule type="cellIs" dxfId="4" priority="221" operator="lessThanOrEqual">
      <formula>H24</formula>
    </cfRule>
  </conditionalFormatting>
  <conditionalFormatting sqref="L25">
    <cfRule type="cellIs" dxfId="4" priority="226" operator="lessThanOrEqual">
      <formula>H25</formula>
    </cfRule>
  </conditionalFormatting>
  <conditionalFormatting sqref="L26">
    <cfRule type="cellIs" dxfId="4" priority="231" operator="lessThanOrEqual">
      <formula>H26</formula>
    </cfRule>
  </conditionalFormatting>
  <conditionalFormatting sqref="L27">
    <cfRule type="cellIs" dxfId="4" priority="236" operator="lessThanOrEqual">
      <formula>H27</formula>
    </cfRule>
  </conditionalFormatting>
  <conditionalFormatting sqref="L28">
    <cfRule type="cellIs" dxfId="4" priority="241" operator="lessThanOrEqual">
      <formula>H28</formula>
    </cfRule>
  </conditionalFormatting>
  <conditionalFormatting sqref="L29">
    <cfRule type="cellIs" dxfId="4" priority="246" operator="lessThanOrEqual">
      <formula>H29</formula>
    </cfRule>
  </conditionalFormatting>
  <conditionalFormatting sqref="L30">
    <cfRule type="cellIs" dxfId="4" priority="251" operator="lessThanOrEqual">
      <formula>H30</formula>
    </cfRule>
  </conditionalFormatting>
  <conditionalFormatting sqref="L31">
    <cfRule type="cellIs" dxfId="4" priority="256" operator="lessThanOrEqual">
      <formula>H31</formula>
    </cfRule>
  </conditionalFormatting>
  <conditionalFormatting sqref="L32">
    <cfRule type="cellIs" dxfId="4" priority="261" operator="lessThanOrEqual">
      <formula>H32</formula>
    </cfRule>
  </conditionalFormatting>
  <conditionalFormatting sqref="L33">
    <cfRule type="cellIs" dxfId="4" priority="266" operator="lessThanOrEqual">
      <formula>H33</formula>
    </cfRule>
  </conditionalFormatting>
  <conditionalFormatting sqref="L34">
    <cfRule type="cellIs" dxfId="4" priority="271" operator="lessThanOrEqual">
      <formula>H34</formula>
    </cfRule>
  </conditionalFormatting>
  <conditionalFormatting sqref="L35">
    <cfRule type="cellIs" dxfId="4" priority="276" operator="lessThanOrEqual">
      <formula>H35</formula>
    </cfRule>
  </conditionalFormatting>
  <conditionalFormatting sqref="L36">
    <cfRule type="cellIs" dxfId="4" priority="281" operator="lessThanOrEqual">
      <formula>H36</formula>
    </cfRule>
  </conditionalFormatting>
  <conditionalFormatting sqref="L37">
    <cfRule type="cellIs" dxfId="4" priority="286" operator="lessThanOrEqual">
      <formula>H37</formula>
    </cfRule>
  </conditionalFormatting>
  <conditionalFormatting sqref="L38">
    <cfRule type="cellIs" dxfId="4" priority="291" operator="lessThanOrEqual">
      <formula>H38</formula>
    </cfRule>
  </conditionalFormatting>
  <conditionalFormatting sqref="L39">
    <cfRule type="cellIs" dxfId="4" priority="296" operator="lessThanOrEqual">
      <formula>H39</formula>
    </cfRule>
  </conditionalFormatting>
  <conditionalFormatting sqref="L40">
    <cfRule type="cellIs" dxfId="4" priority="301" operator="lessThanOrEqual">
      <formula>H40</formula>
    </cfRule>
  </conditionalFormatting>
  <conditionalFormatting sqref="L7">
    <cfRule type="cellIs" dxfId="4" priority="141" operator="lessThanOrEqual">
      <formula>H7</formula>
    </cfRule>
  </conditionalFormatting>
  <conditionalFormatting sqref="L8">
    <cfRule type="cellIs" dxfId="4" priority="146" operator="lessThanOrEqual">
      <formula>H8</formula>
    </cfRule>
  </conditionalFormatting>
  <conditionalFormatting sqref="L9">
    <cfRule type="cellIs" dxfId="4" priority="151" operator="lessThanOrEqual">
      <formula>H9</formula>
    </cfRule>
  </conditionalFormatting>
  <conditionalFormatting sqref="M10">
    <cfRule type="cellIs" dxfId="4" priority="155" operator="lessThanOrEqual">
      <formula>I10</formula>
    </cfRule>
  </conditionalFormatting>
  <conditionalFormatting sqref="M11">
    <cfRule type="cellIs" dxfId="4" priority="160" operator="lessThanOrEqual">
      <formula>I11</formula>
    </cfRule>
  </conditionalFormatting>
  <conditionalFormatting sqref="M12">
    <cfRule type="cellIs" dxfId="4" priority="165" operator="lessThanOrEqual">
      <formula>I12</formula>
    </cfRule>
  </conditionalFormatting>
  <conditionalFormatting sqref="M13">
    <cfRule type="cellIs" dxfId="4" priority="170" operator="lessThanOrEqual">
      <formula>I13</formula>
    </cfRule>
  </conditionalFormatting>
  <conditionalFormatting sqref="M14">
    <cfRule type="cellIs" dxfId="4" priority="175" operator="lessThanOrEqual">
      <formula>I14</formula>
    </cfRule>
  </conditionalFormatting>
  <conditionalFormatting sqref="M15">
    <cfRule type="cellIs" dxfId="4" priority="180" operator="lessThanOrEqual">
      <formula>I15</formula>
    </cfRule>
  </conditionalFormatting>
  <conditionalFormatting sqref="M16">
    <cfRule type="cellIs" dxfId="4" priority="185" operator="lessThanOrEqual">
      <formula>I16</formula>
    </cfRule>
  </conditionalFormatting>
  <conditionalFormatting sqref="M17">
    <cfRule type="cellIs" dxfId="4" priority="190" operator="lessThanOrEqual">
      <formula>I17</formula>
    </cfRule>
  </conditionalFormatting>
  <conditionalFormatting sqref="M18">
    <cfRule type="cellIs" dxfId="4" priority="195" operator="lessThanOrEqual">
      <formula>I18</formula>
    </cfRule>
  </conditionalFormatting>
  <conditionalFormatting sqref="M20">
    <cfRule type="cellIs" dxfId="4" priority="200" operator="lessThanOrEqual">
      <formula>I20</formula>
    </cfRule>
  </conditionalFormatting>
  <conditionalFormatting sqref="M21">
    <cfRule type="cellIs" dxfId="4" priority="205" operator="lessThanOrEqual">
      <formula>I21</formula>
    </cfRule>
  </conditionalFormatting>
  <conditionalFormatting sqref="M22">
    <cfRule type="cellIs" dxfId="4" priority="210" operator="lessThanOrEqual">
      <formula>I22</formula>
    </cfRule>
  </conditionalFormatting>
  <conditionalFormatting sqref="M23">
    <cfRule type="cellIs" dxfId="4" priority="215" operator="lessThanOrEqual">
      <formula>I23</formula>
    </cfRule>
  </conditionalFormatting>
  <conditionalFormatting sqref="M24">
    <cfRule type="cellIs" dxfId="4" priority="220" operator="lessThanOrEqual">
      <formula>I24</formula>
    </cfRule>
  </conditionalFormatting>
  <conditionalFormatting sqref="M25">
    <cfRule type="cellIs" dxfId="4" priority="225" operator="lessThanOrEqual">
      <formula>I25</formula>
    </cfRule>
  </conditionalFormatting>
  <conditionalFormatting sqref="M26">
    <cfRule type="cellIs" dxfId="4" priority="230" operator="lessThanOrEqual">
      <formula>I26</formula>
    </cfRule>
  </conditionalFormatting>
  <conditionalFormatting sqref="M27">
    <cfRule type="cellIs" dxfId="4" priority="235" operator="lessThanOrEqual">
      <formula>I27</formula>
    </cfRule>
  </conditionalFormatting>
  <conditionalFormatting sqref="M28">
    <cfRule type="cellIs" dxfId="4" priority="240" operator="lessThanOrEqual">
      <formula>I28</formula>
    </cfRule>
  </conditionalFormatting>
  <conditionalFormatting sqref="M29">
    <cfRule type="cellIs" dxfId="4" priority="245" operator="lessThanOrEqual">
      <formula>I29</formula>
    </cfRule>
  </conditionalFormatting>
  <conditionalFormatting sqref="M30">
    <cfRule type="cellIs" dxfId="4" priority="250" operator="lessThanOrEqual">
      <formula>I30</formula>
    </cfRule>
  </conditionalFormatting>
  <conditionalFormatting sqref="M31">
    <cfRule type="cellIs" dxfId="4" priority="255" operator="lessThanOrEqual">
      <formula>I31</formula>
    </cfRule>
  </conditionalFormatting>
  <conditionalFormatting sqref="M32">
    <cfRule type="cellIs" dxfId="4" priority="260" operator="lessThanOrEqual">
      <formula>I32</formula>
    </cfRule>
  </conditionalFormatting>
  <conditionalFormatting sqref="M33">
    <cfRule type="cellIs" dxfId="4" priority="265" operator="lessThanOrEqual">
      <formula>I33</formula>
    </cfRule>
  </conditionalFormatting>
  <conditionalFormatting sqref="M34">
    <cfRule type="cellIs" dxfId="4" priority="270" operator="lessThanOrEqual">
      <formula>I34</formula>
    </cfRule>
  </conditionalFormatting>
  <conditionalFormatting sqref="M35">
    <cfRule type="cellIs" dxfId="4" priority="275" operator="lessThanOrEqual">
      <formula>I35</formula>
    </cfRule>
  </conditionalFormatting>
  <conditionalFormatting sqref="M36">
    <cfRule type="cellIs" dxfId="4" priority="280" operator="lessThanOrEqual">
      <formula>I36</formula>
    </cfRule>
  </conditionalFormatting>
  <conditionalFormatting sqref="M37">
    <cfRule type="cellIs" dxfId="4" priority="285" operator="lessThanOrEqual">
      <formula>I37</formula>
    </cfRule>
  </conditionalFormatting>
  <conditionalFormatting sqref="M38">
    <cfRule type="cellIs" dxfId="4" priority="290" operator="lessThanOrEqual">
      <formula>I38</formula>
    </cfRule>
  </conditionalFormatting>
  <conditionalFormatting sqref="M39">
    <cfRule type="cellIs" dxfId="4" priority="295" operator="lessThanOrEqual">
      <formula>I39</formula>
    </cfRule>
  </conditionalFormatting>
  <conditionalFormatting sqref="M40">
    <cfRule type="cellIs" dxfId="4" priority="300" operator="lessThanOrEqual">
      <formula>I40</formula>
    </cfRule>
  </conditionalFormatting>
  <conditionalFormatting sqref="M7">
    <cfRule type="cellIs" dxfId="4" priority="140" operator="lessThanOrEqual">
      <formula>I7</formula>
    </cfRule>
  </conditionalFormatting>
  <conditionalFormatting sqref="M8">
    <cfRule type="cellIs" dxfId="4" priority="145" operator="lessThanOrEqual">
      <formula>I8</formula>
    </cfRule>
  </conditionalFormatting>
  <conditionalFormatting sqref="M9">
    <cfRule type="cellIs" dxfId="4" priority="150" operator="lessThanOrEqual">
      <formula>I9</formula>
    </cfRule>
  </conditionalFormatting>
  <conditionalFormatting sqref="O13">
    <cfRule type="cellIs" dxfId="1" priority="302" operator="equal">
      <formula>0</formula>
    </cfRule>
    <cfRule type="cellIs" dxfId="2" priority="303" operator="lessThan">
      <formula>G13</formula>
    </cfRule>
  </conditionalFormatting>
  <conditionalFormatting sqref="O20">
    <cfRule type="cellIs" dxfId="1" priority="307" operator="equal">
      <formula>0</formula>
    </cfRule>
    <cfRule type="cellIs" dxfId="2" priority="308" operator="lessThan">
      <formula>G20</formula>
    </cfRule>
  </conditionalFormatting>
  <conditionalFormatting sqref="O25">
    <cfRule type="cellIs" dxfId="1" priority="312" operator="equal">
      <formula>0</formula>
    </cfRule>
    <cfRule type="cellIs" dxfId="2" priority="313" operator="lessThan">
      <formula>G25</formula>
    </cfRule>
  </conditionalFormatting>
  <conditionalFormatting sqref="O27">
    <cfRule type="cellIs" dxfId="1" priority="317" operator="equal">
      <formula>0</formula>
    </cfRule>
    <cfRule type="cellIs" dxfId="2" priority="318" operator="lessThan">
      <formula>G27</formula>
    </cfRule>
  </conditionalFormatting>
  <conditionalFormatting sqref="O28">
    <cfRule type="cellIs" dxfId="1" priority="322" operator="equal">
      <formula>0</formula>
    </cfRule>
    <cfRule type="cellIs" dxfId="2" priority="323" operator="lessThan">
      <formula>G28</formula>
    </cfRule>
  </conditionalFormatting>
  <conditionalFormatting sqref="O40">
    <cfRule type="cellIs" dxfId="1" priority="327" operator="equal">
      <formula>0</formula>
    </cfRule>
    <cfRule type="cellIs" dxfId="2" priority="328" operator="lessThan">
      <formula>G40</formula>
    </cfRule>
  </conditionalFormatting>
  <conditionalFormatting sqref="P13">
    <cfRule type="cellIs" dxfId="1" priority="304" operator="greaterThan">
      <formula>O13</formula>
    </cfRule>
  </conditionalFormatting>
  <conditionalFormatting sqref="P20">
    <cfRule type="cellIs" dxfId="1" priority="309" operator="greaterThan">
      <formula>O20</formula>
    </cfRule>
  </conditionalFormatting>
  <conditionalFormatting sqref="P25">
    <cfRule type="cellIs" dxfId="1" priority="314" operator="greaterThan">
      <formula>O25</formula>
    </cfRule>
  </conditionalFormatting>
  <conditionalFormatting sqref="P27">
    <cfRule type="cellIs" dxfId="1" priority="319" operator="greaterThan">
      <formula>O27</formula>
    </cfRule>
  </conditionalFormatting>
  <conditionalFormatting sqref="P28">
    <cfRule type="cellIs" dxfId="1" priority="324" operator="greaterThan">
      <formula>O28</formula>
    </cfRule>
  </conditionalFormatting>
  <conditionalFormatting sqref="P40">
    <cfRule type="cellIs" dxfId="1" priority="329" operator="greaterThan">
      <formula>O40</formula>
    </cfRule>
  </conditionalFormatting>
  <conditionalFormatting sqref="Q13">
    <cfRule type="cellIs" dxfId="4" priority="306" operator="lessThanOrEqual">
      <formula>H13</formula>
    </cfRule>
  </conditionalFormatting>
  <conditionalFormatting sqref="Q20">
    <cfRule type="cellIs" dxfId="4" priority="311" operator="lessThanOrEqual">
      <formula>H20</formula>
    </cfRule>
  </conditionalFormatting>
  <conditionalFormatting sqref="Q25">
    <cfRule type="cellIs" dxfId="4" priority="316" operator="lessThanOrEqual">
      <formula>H25</formula>
    </cfRule>
  </conditionalFormatting>
  <conditionalFormatting sqref="Q27">
    <cfRule type="cellIs" dxfId="4" priority="321" operator="lessThanOrEqual">
      <formula>H27</formula>
    </cfRule>
  </conditionalFormatting>
  <conditionalFormatting sqref="Q28">
    <cfRule type="cellIs" dxfId="4" priority="326" operator="lessThanOrEqual">
      <formula>H28</formula>
    </cfRule>
  </conditionalFormatting>
  <conditionalFormatting sqref="Q40">
    <cfRule type="cellIs" dxfId="4" priority="331" operator="lessThanOrEqual">
      <formula>H40</formula>
    </cfRule>
  </conditionalFormatting>
  <conditionalFormatting sqref="R13">
    <cfRule type="cellIs" dxfId="4" priority="305" operator="lessThanOrEqual">
      <formula>I13</formula>
    </cfRule>
  </conditionalFormatting>
  <conditionalFormatting sqref="R20">
    <cfRule type="cellIs" dxfId="4" priority="310" operator="lessThanOrEqual">
      <formula>I20</formula>
    </cfRule>
  </conditionalFormatting>
  <conditionalFormatting sqref="R25">
    <cfRule type="cellIs" dxfId="4" priority="315" operator="lessThanOrEqual">
      <formula>I25</formula>
    </cfRule>
  </conditionalFormatting>
  <conditionalFormatting sqref="R27">
    <cfRule type="cellIs" dxfId="4" priority="320" operator="lessThanOrEqual">
      <formula>I27</formula>
    </cfRule>
  </conditionalFormatting>
  <conditionalFormatting sqref="R28">
    <cfRule type="cellIs" dxfId="4" priority="325" operator="lessThanOrEqual">
      <formula>I28</formula>
    </cfRule>
  </conditionalFormatting>
  <conditionalFormatting sqref="R40">
    <cfRule type="cellIs" dxfId="4" priority="330" operator="lessThanOrEqual">
      <formula>I40</formula>
    </cfRule>
  </conditionalFormatting>
  <conditionalFormatting sqref="Y13">
    <cfRule type="cellIs" dxfId="1" priority="332" operator="equal">
      <formula>0</formula>
    </cfRule>
    <cfRule type="cellIs" dxfId="2" priority="333" operator="lessThan">
      <formula>G13</formula>
    </cfRule>
  </conditionalFormatting>
  <conditionalFormatting sqref="Y14">
    <cfRule type="cellIs" dxfId="1" priority="337" operator="equal">
      <formula>0</formula>
    </cfRule>
    <cfRule type="cellIs" dxfId="2" priority="338" operator="lessThan">
      <formula>G14</formula>
    </cfRule>
  </conditionalFormatting>
  <conditionalFormatting sqref="Y18">
    <cfRule type="cellIs" dxfId="1" priority="342" operator="equal">
      <formula>0</formula>
    </cfRule>
    <cfRule type="cellIs" dxfId="2" priority="343" operator="lessThan">
      <formula>G18</formula>
    </cfRule>
  </conditionalFormatting>
  <conditionalFormatting sqref="Y20">
    <cfRule type="cellIs" dxfId="1" priority="347" operator="equal">
      <formula>0</formula>
    </cfRule>
    <cfRule type="cellIs" dxfId="2" priority="348" operator="lessThan">
      <formula>G20</formula>
    </cfRule>
  </conditionalFormatting>
  <conditionalFormatting sqref="Y21">
    <cfRule type="cellIs" dxfId="1" priority="352" operator="equal">
      <formula>0</formula>
    </cfRule>
    <cfRule type="cellIs" dxfId="2" priority="353" operator="lessThan">
      <formula>G21</formula>
    </cfRule>
  </conditionalFormatting>
  <conditionalFormatting sqref="Y22">
    <cfRule type="cellIs" dxfId="1" priority="357" operator="equal">
      <formula>0</formula>
    </cfRule>
    <cfRule type="cellIs" dxfId="2" priority="358" operator="lessThan">
      <formula>G22</formula>
    </cfRule>
  </conditionalFormatting>
  <conditionalFormatting sqref="Y23">
    <cfRule type="cellIs" dxfId="1" priority="362" operator="equal">
      <formula>0</formula>
    </cfRule>
    <cfRule type="cellIs" dxfId="2" priority="363" operator="lessThan">
      <formula>G23</formula>
    </cfRule>
  </conditionalFormatting>
  <conditionalFormatting sqref="Y25">
    <cfRule type="cellIs" dxfId="1" priority="367" operator="equal">
      <formula>0</formula>
    </cfRule>
    <cfRule type="cellIs" dxfId="2" priority="368" operator="lessThan">
      <formula>G25</formula>
    </cfRule>
  </conditionalFormatting>
  <conditionalFormatting sqref="Y27">
    <cfRule type="cellIs" dxfId="1" priority="372" operator="equal">
      <formula>0</formula>
    </cfRule>
    <cfRule type="cellIs" dxfId="2" priority="373" operator="lessThan">
      <formula>G27</formula>
    </cfRule>
  </conditionalFormatting>
  <conditionalFormatting sqref="Y28">
    <cfRule type="cellIs" dxfId="1" priority="377" operator="equal">
      <formula>0</formula>
    </cfRule>
    <cfRule type="cellIs" dxfId="2" priority="378" operator="lessThan">
      <formula>G28</formula>
    </cfRule>
  </conditionalFormatting>
  <conditionalFormatting sqref="Z13">
    <cfRule type="cellIs" dxfId="1" priority="334" operator="greaterThan">
      <formula>Y13</formula>
    </cfRule>
  </conditionalFormatting>
  <conditionalFormatting sqref="Z14">
    <cfRule type="cellIs" dxfId="1" priority="339" operator="greaterThan">
      <formula>Y14</formula>
    </cfRule>
  </conditionalFormatting>
  <conditionalFormatting sqref="Z18">
    <cfRule type="cellIs" dxfId="1" priority="344" operator="greaterThan">
      <formula>Y18</formula>
    </cfRule>
  </conditionalFormatting>
  <conditionalFormatting sqref="Z20">
    <cfRule type="cellIs" dxfId="1" priority="349" operator="greaterThan">
      <formula>Y20</formula>
    </cfRule>
  </conditionalFormatting>
  <conditionalFormatting sqref="Z21">
    <cfRule type="cellIs" dxfId="1" priority="354" operator="greaterThan">
      <formula>Y21</formula>
    </cfRule>
  </conditionalFormatting>
  <conditionalFormatting sqref="Z22">
    <cfRule type="cellIs" dxfId="1" priority="359" operator="greaterThan">
      <formula>Y22</formula>
    </cfRule>
  </conditionalFormatting>
  <conditionalFormatting sqref="Z23">
    <cfRule type="cellIs" dxfId="1" priority="364" operator="greaterThan">
      <formula>Y23</formula>
    </cfRule>
  </conditionalFormatting>
  <conditionalFormatting sqref="Z25">
    <cfRule type="cellIs" dxfId="1" priority="369" operator="greaterThan">
      <formula>Y25</formula>
    </cfRule>
  </conditionalFormatting>
  <conditionalFormatting sqref="Z27">
    <cfRule type="cellIs" dxfId="1" priority="374" operator="greaterThan">
      <formula>Y27</formula>
    </cfRule>
  </conditionalFormatting>
  <conditionalFormatting sqref="Z28">
    <cfRule type="cellIs" dxfId="1" priority="379" operator="greaterThan">
      <formula>Y28</formula>
    </cfRule>
  </conditionalFormatting>
  <hyperlinks>
    <hyperlink ref="N7" r:id="rId1"/>
    <hyperlink ref="N8" r:id="rId2"/>
    <hyperlink ref="AM8" r:id="rId3"/>
    <hyperlink ref="N9" r:id="rId4"/>
    <hyperlink ref="N10" r:id="rId5"/>
    <hyperlink ref="N11" r:id="rId6"/>
    <hyperlink ref="N12" r:id="rId7"/>
    <hyperlink ref="N13" r:id="rId8"/>
    <hyperlink ref="S13" r:id="rId9"/>
    <hyperlink ref="AC13" r:id="rId10"/>
    <hyperlink ref="AM13" r:id="rId11"/>
    <hyperlink ref="N14" r:id="rId12"/>
    <hyperlink ref="AC14" r:id="rId13"/>
    <hyperlink ref="N15" r:id="rId14"/>
    <hyperlink ref="AM15" r:id="rId15"/>
    <hyperlink ref="N16" r:id="rId16"/>
    <hyperlink ref="AH16" r:id="rId17"/>
    <hyperlink ref="AM16" r:id="rId18"/>
    <hyperlink ref="N17" r:id="rId19"/>
    <hyperlink ref="N18" r:id="rId20"/>
    <hyperlink ref="AC18" r:id="rId21"/>
    <hyperlink ref="AH18" r:id="rId22"/>
    <hyperlink ref="AM18" r:id="rId23"/>
    <hyperlink ref="N20" r:id="rId24"/>
    <hyperlink ref="S20" r:id="rId25"/>
    <hyperlink ref="AC20" r:id="rId26"/>
    <hyperlink ref="AH20" r:id="rId27"/>
    <hyperlink ref="N21" r:id="rId28"/>
    <hyperlink ref="AC21" r:id="rId29"/>
    <hyperlink ref="N22" r:id="rId30"/>
    <hyperlink ref="AC22" r:id="rId31"/>
    <hyperlink ref="N23" r:id="rId32"/>
    <hyperlink ref="AC23" r:id="rId33"/>
    <hyperlink ref="N24" r:id="rId34"/>
    <hyperlink ref="N25" r:id="rId35"/>
    <hyperlink ref="S25" r:id="rId36"/>
    <hyperlink ref="AC25" r:id="rId37"/>
    <hyperlink ref="N26" r:id="rId38"/>
    <hyperlink ref="AH26" r:id="rId39"/>
    <hyperlink ref="AM26" r:id="rId40" location=""/>
    <hyperlink ref="N27" r:id="rId41"/>
    <hyperlink ref="S27" r:id="rId42"/>
    <hyperlink ref="AC27" r:id="rId43"/>
    <hyperlink ref="AH27" r:id="rId44"/>
    <hyperlink ref="N28" r:id="rId45"/>
    <hyperlink ref="S28" r:id="rId46"/>
    <hyperlink ref="AC28" r:id="rId47"/>
    <hyperlink ref="AM28" r:id="rId48"/>
    <hyperlink ref="N29" r:id="rId49"/>
    <hyperlink ref="AM29" r:id="rId50" location=""/>
    <hyperlink ref="N30" r:id="rId51"/>
    <hyperlink ref="N31" r:id="rId52"/>
    <hyperlink ref="N32" r:id="rId53"/>
    <hyperlink ref="AH32" r:id="rId54"/>
    <hyperlink ref="N33" r:id="rId55"/>
    <hyperlink ref="AM33" r:id="rId56"/>
    <hyperlink ref="N34" r:id="rId57"/>
    <hyperlink ref="N35" r:id="rId58"/>
    <hyperlink ref="AM35" r:id="rId59"/>
    <hyperlink ref="N36" r:id="rId60"/>
    <hyperlink ref="AM36" r:id="rId61"/>
    <hyperlink ref="N37" r:id="rId62"/>
    <hyperlink ref="AM37" r:id="rId63"/>
    <hyperlink ref="N38" r:id="rId64"/>
    <hyperlink ref="AH38" r:id="rId65"/>
    <hyperlink ref="N39" r:id="rId66"/>
    <hyperlink ref="N40" r:id="rId67"/>
    <hyperlink ref="S40" r:id="rId68"/>
    <hyperlink ref="AC40" r:id="rId69"/>
    <hyperlink ref="AM40" r:id="rId70"/>
  </hyperlinks>
  <pageMargins left="0.7" right="0.7" top="0.75" bottom="0.75" header="0.3" footer="0.3"/>
  <legacyDrawing r:id="rId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Arduino_Uno_R3_From_Scratch_Fu </vt:lpstr>
      <vt:lpstr>BoardQty</vt:lpstr>
      <vt:lpstr>digikey_part_data</vt:lpstr>
      <vt:lpstr>farnell_part_data</vt:lpstr>
      <vt:lpstr>global_part_data</vt:lpstr>
      <vt:lpstr>mouser_part_data</vt:lpstr>
      <vt:lpstr>newark_part_data</vt:lpstr>
      <vt:lpstr>rs_part_data</vt:lpstr>
      <vt:lpstr>tme_part_data</vt:lpstr>
      <vt:lpstr>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2018-07-18T13:59:42Z</dcterms:created>
  <dcterms:modified xsi:type="dcterms:W3CDTF">2018-07-18T13:59:42Z</dcterms:modified>
</cp:coreProperties>
</file>