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9b4967084e23bc/Dokumen/"/>
    </mc:Choice>
  </mc:AlternateContent>
  <xr:revisionPtr revIDLastSave="1340" documentId="8_{CA781D76-45AE-4970-83B1-FB8872AA8FB1}" xr6:coauthVersionLast="47" xr6:coauthVersionMax="47" xr10:uidLastSave="{A1B39522-9D06-4D1A-8886-AA530ABA1C20}"/>
  <bookViews>
    <workbookView xWindow="-110" yWindow="-110" windowWidth="19420" windowHeight="10300" xr2:uid="{1C3ED2DB-DB78-4E62-88EB-8DD09FD5BD91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9" i="1" l="1"/>
  <c r="Y135" i="1"/>
  <c r="Y134" i="1"/>
  <c r="T140" i="1"/>
  <c r="V140" i="1"/>
  <c r="T141" i="1"/>
  <c r="T137" i="1"/>
  <c r="T136" i="1"/>
  <c r="R141" i="1"/>
  <c r="R140" i="1"/>
  <c r="Q141" i="1"/>
  <c r="Q140" i="1"/>
  <c r="P141" i="1"/>
  <c r="P140" i="1"/>
  <c r="O141" i="1"/>
  <c r="O140" i="1"/>
  <c r="N141" i="1"/>
  <c r="N140" i="1"/>
  <c r="M141" i="1"/>
  <c r="M140" i="1"/>
  <c r="L141" i="1"/>
  <c r="L140" i="1"/>
  <c r="K141" i="1"/>
  <c r="K140" i="1"/>
  <c r="J141" i="1"/>
  <c r="J140" i="1"/>
  <c r="I141" i="1"/>
  <c r="I140" i="1"/>
  <c r="H141" i="1"/>
  <c r="H140" i="1"/>
  <c r="G141" i="1"/>
  <c r="G140" i="1"/>
  <c r="F140" i="1"/>
  <c r="F141" i="1"/>
  <c r="E141" i="1"/>
  <c r="E140" i="1"/>
  <c r="D141" i="1"/>
  <c r="D140" i="1"/>
  <c r="C141" i="1"/>
  <c r="C137" i="1"/>
  <c r="C140" i="1"/>
  <c r="B140" i="1"/>
  <c r="B141" i="1"/>
  <c r="L139" i="1"/>
  <c r="J139" i="1"/>
  <c r="H139" i="1"/>
  <c r="G139" i="1"/>
  <c r="E139" i="1"/>
  <c r="D139" i="1"/>
  <c r="C139" i="1"/>
  <c r="B139" i="1"/>
  <c r="V136" i="1"/>
  <c r="C33" i="1"/>
  <c r="C32" i="1"/>
  <c r="R137" i="1"/>
  <c r="R136" i="1"/>
  <c r="Q137" i="1"/>
  <c r="Q136" i="1"/>
  <c r="P137" i="1"/>
  <c r="P136" i="1"/>
  <c r="O137" i="1"/>
  <c r="O136" i="1"/>
  <c r="N137" i="1"/>
  <c r="N136" i="1"/>
  <c r="M137" i="1"/>
  <c r="M136" i="1"/>
  <c r="L137" i="1"/>
  <c r="L136" i="1"/>
  <c r="K137" i="1"/>
  <c r="K136" i="1"/>
  <c r="J137" i="1"/>
  <c r="J136" i="1"/>
  <c r="I137" i="1"/>
  <c r="I136" i="1"/>
  <c r="H137" i="1"/>
  <c r="H136" i="1"/>
  <c r="G137" i="1"/>
  <c r="G136" i="1"/>
  <c r="F137" i="1"/>
  <c r="F136" i="1"/>
  <c r="E137" i="1"/>
  <c r="E136" i="1"/>
  <c r="D137" i="1"/>
  <c r="D136" i="1"/>
  <c r="C136" i="1"/>
  <c r="B137" i="1"/>
  <c r="B136" i="1"/>
  <c r="C44" i="1"/>
  <c r="B44" i="1"/>
  <c r="C43" i="1"/>
  <c r="B43" i="1"/>
  <c r="C42" i="1"/>
  <c r="B42" i="1"/>
  <c r="C39" i="1"/>
  <c r="C38" i="1"/>
  <c r="C37" i="1"/>
  <c r="B39" i="1"/>
  <c r="B38" i="1"/>
  <c r="B37" i="1"/>
  <c r="L135" i="1"/>
  <c r="J135" i="1"/>
  <c r="H135" i="1"/>
  <c r="G135" i="1"/>
  <c r="E135" i="1"/>
  <c r="D135" i="1"/>
  <c r="C135" i="1"/>
  <c r="B135" i="1"/>
  <c r="B19" i="1"/>
  <c r="C117" i="1"/>
  <c r="B117" i="1"/>
  <c r="C116" i="1"/>
  <c r="B116" i="1"/>
  <c r="C113" i="1"/>
  <c r="B113" i="1"/>
  <c r="C112" i="1"/>
  <c r="B112" i="1"/>
  <c r="C109" i="1"/>
  <c r="B109" i="1"/>
  <c r="C108" i="1"/>
  <c r="B108" i="1"/>
  <c r="C105" i="1"/>
  <c r="B105" i="1"/>
  <c r="C104" i="1"/>
  <c r="B104" i="1"/>
  <c r="C103" i="1"/>
  <c r="B103" i="1"/>
  <c r="C102" i="1"/>
  <c r="B102" i="1"/>
  <c r="C99" i="1"/>
  <c r="B99" i="1"/>
  <c r="C98" i="1"/>
  <c r="B98" i="1"/>
  <c r="C97" i="1"/>
  <c r="B97" i="1"/>
  <c r="C96" i="1"/>
  <c r="B96" i="1"/>
  <c r="C95" i="1"/>
  <c r="B95" i="1"/>
  <c r="C92" i="1"/>
  <c r="B92" i="1"/>
  <c r="C91" i="1"/>
  <c r="B91" i="1"/>
  <c r="C88" i="1"/>
  <c r="B88" i="1"/>
  <c r="C87" i="1"/>
  <c r="B87" i="1"/>
  <c r="C84" i="1"/>
  <c r="B84" i="1"/>
  <c r="C83" i="1"/>
  <c r="B83" i="1"/>
  <c r="C80" i="1"/>
  <c r="B80" i="1"/>
  <c r="C79" i="1"/>
  <c r="B79" i="1"/>
  <c r="C78" i="1"/>
  <c r="B78" i="1"/>
  <c r="C77" i="1"/>
  <c r="B77" i="1"/>
  <c r="C74" i="1"/>
  <c r="B74" i="1"/>
  <c r="C73" i="1"/>
  <c r="B73" i="1"/>
  <c r="C70" i="1"/>
  <c r="B70" i="1"/>
  <c r="C69" i="1"/>
  <c r="B69" i="1"/>
  <c r="C68" i="1"/>
  <c r="B68" i="1"/>
  <c r="C67" i="1"/>
  <c r="B67" i="1"/>
  <c r="C64" i="1"/>
  <c r="B64" i="1"/>
  <c r="C63" i="1"/>
  <c r="B63" i="1"/>
  <c r="C62" i="1"/>
  <c r="B62" i="1"/>
  <c r="C61" i="1"/>
  <c r="B61" i="1"/>
  <c r="C58" i="1"/>
  <c r="B58" i="1"/>
  <c r="C57" i="1"/>
  <c r="B57" i="1"/>
  <c r="C54" i="1"/>
  <c r="B54" i="1"/>
  <c r="C53" i="1"/>
  <c r="B53" i="1"/>
  <c r="C52" i="1"/>
  <c r="B52" i="1"/>
  <c r="C49" i="1"/>
  <c r="B49" i="1"/>
  <c r="C48" i="1"/>
  <c r="B48" i="1"/>
  <c r="C47" i="1"/>
  <c r="B47" i="1"/>
  <c r="K20" i="1"/>
  <c r="K21" i="1"/>
  <c r="K22" i="1"/>
  <c r="K23" i="1"/>
  <c r="K24" i="1"/>
  <c r="K25" i="1"/>
  <c r="K26" i="1"/>
  <c r="K27" i="1"/>
  <c r="K28" i="1"/>
  <c r="K19" i="1"/>
  <c r="I20" i="1"/>
  <c r="I21" i="1"/>
  <c r="I22" i="1"/>
  <c r="I23" i="1"/>
  <c r="I24" i="1"/>
  <c r="I25" i="1"/>
  <c r="I26" i="1"/>
  <c r="I27" i="1"/>
  <c r="I28" i="1"/>
  <c r="I19" i="1"/>
  <c r="G20" i="1"/>
  <c r="G21" i="1"/>
  <c r="G22" i="1"/>
  <c r="G23" i="1"/>
  <c r="G24" i="1"/>
  <c r="G25" i="1"/>
  <c r="G26" i="1"/>
  <c r="G27" i="1"/>
  <c r="G28" i="1"/>
  <c r="G19" i="1"/>
  <c r="F20" i="1"/>
  <c r="F21" i="1"/>
  <c r="F22" i="1"/>
  <c r="F23" i="1"/>
  <c r="F24" i="1"/>
  <c r="F25" i="1"/>
  <c r="F26" i="1"/>
  <c r="F27" i="1"/>
  <c r="F28" i="1"/>
  <c r="F19" i="1"/>
  <c r="C20" i="1"/>
  <c r="C21" i="1"/>
  <c r="C22" i="1"/>
  <c r="C23" i="1"/>
  <c r="C24" i="1"/>
  <c r="C25" i="1"/>
  <c r="C26" i="1"/>
  <c r="C27" i="1"/>
  <c r="C28" i="1"/>
  <c r="C19" i="1"/>
  <c r="D20" i="1"/>
  <c r="D21" i="1"/>
  <c r="D22" i="1"/>
  <c r="D23" i="1"/>
  <c r="D24" i="1"/>
  <c r="D25" i="1"/>
  <c r="D26" i="1"/>
  <c r="D27" i="1"/>
  <c r="D28" i="1"/>
  <c r="D19" i="1"/>
  <c r="B20" i="1"/>
  <c r="B21" i="1"/>
  <c r="B22" i="1"/>
  <c r="B23" i="1"/>
  <c r="B24" i="1"/>
  <c r="B25" i="1"/>
  <c r="B26" i="1"/>
  <c r="B27" i="1"/>
  <c r="B28" i="1"/>
  <c r="A20" i="1"/>
  <c r="A21" i="1"/>
  <c r="A22" i="1"/>
  <c r="A23" i="1"/>
  <c r="A24" i="1"/>
  <c r="A25" i="1"/>
  <c r="A26" i="1"/>
  <c r="A27" i="1"/>
  <c r="A28" i="1"/>
  <c r="A19" i="1"/>
  <c r="J28" i="1"/>
  <c r="K11" i="1"/>
  <c r="J11" i="1"/>
  <c r="D11" i="1"/>
</calcChain>
</file>

<file path=xl/sharedStrings.xml><?xml version="1.0" encoding="utf-8"?>
<sst xmlns="http://schemas.openxmlformats.org/spreadsheetml/2006/main" count="181" uniqueCount="81">
  <si>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</si>
  <si>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</si>
  <si>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</si>
  <si>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</si>
  <si>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</si>
  <si>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</si>
  <si>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</si>
  <si>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</si>
  <si>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</si>
  <si>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</si>
  <si>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</si>
  <si>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</si>
  <si>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</si>
  <si>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 Number of diagnosis</t>
  </si>
  <si>
    <t>Hinselmann</t>
  </si>
  <si>
    <t>Schiller</t>
  </si>
  <si>
    <t>Citology</t>
  </si>
  <si>
    <t>Biopsy</t>
  </si>
  <si>
    <t>Perhitungan</t>
  </si>
  <si>
    <t>P(Biopsy=1)-&gt;</t>
  </si>
  <si>
    <t>P(Biopsy=0)-&gt;</t>
  </si>
  <si>
    <t xml:space="preserve">Keterangan Age: </t>
  </si>
  <si>
    <t>&lt; 25 = 'Muda'</t>
  </si>
  <si>
    <t>25 - 40 = 'Dewasa'</t>
  </si>
  <si>
    <t>&gt; 40 = 'Tua'</t>
  </si>
  <si>
    <t>Keterangan Number of SP:</t>
  </si>
  <si>
    <t>3 - 5 = 'Sedang'</t>
  </si>
  <si>
    <t>&gt; 5 = 'Banyak'</t>
  </si>
  <si>
    <t>Keterangan first sex int. :</t>
  </si>
  <si>
    <t>&lt;= 2 = 'Sedikit'</t>
  </si>
  <si>
    <t>&lt;= 16 = 'Sangat Muda'</t>
  </si>
  <si>
    <t>17 - 20 = 'Muda'</t>
  </si>
  <si>
    <t>&gt; 20 = 'Dewasa'</t>
  </si>
  <si>
    <t xml:space="preserve">Keterangan Num of Preg: </t>
  </si>
  <si>
    <t>&lt;= 1 = 'Rendah'</t>
  </si>
  <si>
    <t>2 - 4 = 'Sedang'</t>
  </si>
  <si>
    <t>&gt; 20 = 'Tinggi'</t>
  </si>
  <si>
    <t>Data Testing</t>
  </si>
  <si>
    <t>Fitur</t>
  </si>
  <si>
    <t>Data Testing 1</t>
  </si>
  <si>
    <t>Likelihood u/biopsy = 1</t>
  </si>
  <si>
    <t>Kategori</t>
  </si>
  <si>
    <t>Muda</t>
  </si>
  <si>
    <t>Dewasa</t>
  </si>
  <si>
    <t>Tua</t>
  </si>
  <si>
    <t>P(X|Y=1)</t>
  </si>
  <si>
    <t>P(X|Y=0)</t>
  </si>
  <si>
    <t>Number Of Sexual Partners</t>
  </si>
  <si>
    <t>Sedikit</t>
  </si>
  <si>
    <t>Sedang</t>
  </si>
  <si>
    <t>Banyak</t>
  </si>
  <si>
    <t>First Sexual Intercourse</t>
  </si>
  <si>
    <t>Sangat Muda</t>
  </si>
  <si>
    <t>Num of Pregnancies</t>
  </si>
  <si>
    <t>Rendah</t>
  </si>
  <si>
    <t>Tinggi</t>
  </si>
  <si>
    <t>Smokes(Years)</t>
  </si>
  <si>
    <t>Tidak Merokok</t>
  </si>
  <si>
    <t>Perokok Baru</t>
  </si>
  <si>
    <t>Perokok Sedang</t>
  </si>
  <si>
    <t>Perokok Lama</t>
  </si>
  <si>
    <t>Smokes(Packs/Years)</t>
  </si>
  <si>
    <t>Perokok Ringan</t>
  </si>
  <si>
    <t>Perokok Berat</t>
  </si>
  <si>
    <t>Hormonal Contraceptives(Years)</t>
  </si>
  <si>
    <t>Tidak Menggunakan HC</t>
  </si>
  <si>
    <t>Pengguna Baru</t>
  </si>
  <si>
    <t>Pengguna Jangka Menengah</t>
  </si>
  <si>
    <t>Pengguna Jangka Panjang</t>
  </si>
  <si>
    <t>IUD(Years)</t>
  </si>
  <si>
    <t>Tidak Menggunakan IUD</t>
  </si>
  <si>
    <t>Pengguna IUD</t>
  </si>
  <si>
    <t>STDs(Number)</t>
  </si>
  <si>
    <t>STDs(Num of diagnosis)</t>
  </si>
  <si>
    <t>Probabilitas Likelihood Data Training (80%)</t>
  </si>
  <si>
    <t>Likelihood u/biopsy = 0</t>
  </si>
  <si>
    <t>Skor</t>
  </si>
  <si>
    <t>Prediksi</t>
  </si>
  <si>
    <t>Data Testing 2</t>
  </si>
  <si>
    <t>Akurasi</t>
  </si>
  <si>
    <t>Hasil Evaluasi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</si>
</sst>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8" formatCode="0.000000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 applyAlignment="1"/>
    <xf numFmtId="2" fontId="0" fillId="0" borderId="0" xfId="0" applyNumberFormat="1" applyBorder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178" fontId="0" fillId="0" borderId="0" xfId="0" applyNumberFormat="1"/>
    <xf numFmtId="0" fontId="0" fillId="6" borderId="0" xfId="0" applyFill="1" applyAlignment="1">
      <alignment horizontal="center"/>
    </xf>
    <xf numFmtId="0" fontId="0" fillId="0" borderId="0" xfId="0" applyFill="1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522F-437D-4787-86D4-60E6BDF59842}">
  <dimension ref="A1:Z141"/>
  <sheetViews>
    <sheetView tabSelected="1" topLeftCell="B131" zoomScale="80" zoomScaleNormal="10" workbookViewId="0">
      <selection activeCell="AA139" sqref="AA139"/>
    </sheetView>
  </sheetViews>
  <sheetFormatPr defaultRowHeight="14.5" x14ac:dyDescent="0.35"/>
  <cols>
    <col min="1" max="1" width="24.54296875" bestFit="1" customWidth="1"/>
    <col min="2" max="2" width="33.90625" customWidth="1"/>
    <col min="3" max="3" width="22.90625" bestFit="1" customWidth="1"/>
    <col min="4" max="4" width="20.36328125" bestFit="1" customWidth="1"/>
    <col min="5" max="5" width="21.6328125" bestFit="1" customWidth="1"/>
    <col min="6" max="6" width="19.1796875" bestFit="1" customWidth="1"/>
    <col min="7" max="7" width="22.26953125" bestFit="1" customWidth="1"/>
    <col min="8" max="8" width="22.453125" bestFit="1" customWidth="1"/>
    <col min="9" max="10" width="28.7265625" bestFit="1" customWidth="1"/>
    <col min="11" max="12" width="21.36328125" bestFit="1" customWidth="1"/>
    <col min="13" max="13" width="13.26953125" bestFit="1" customWidth="1"/>
    <col min="14" max="15" width="23.26953125" bestFit="1" customWidth="1"/>
    <col min="16" max="16" width="10.7265625" bestFit="1" customWidth="1"/>
    <col min="17" max="17" width="7.54296875" bestFit="1" customWidth="1"/>
    <col min="18" max="18" width="13.90625" customWidth="1"/>
    <col min="20" max="20" width="17.453125" customWidth="1"/>
    <col min="25" max="25" width="15.0898437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18</v>
      </c>
      <c r="B2">
        <v>4</v>
      </c>
      <c r="C2">
        <v>15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>
        <v>15</v>
      </c>
      <c r="B3">
        <v>1</v>
      </c>
      <c r="C3">
        <v>14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>
        <v>34</v>
      </c>
      <c r="B4">
        <v>1</v>
      </c>
      <c r="C4">
        <v>17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>
        <v>52</v>
      </c>
      <c r="B5">
        <v>5</v>
      </c>
      <c r="C5">
        <v>16</v>
      </c>
      <c r="D5">
        <v>4</v>
      </c>
      <c r="E5">
        <v>1</v>
      </c>
      <c r="F5">
        <v>37</v>
      </c>
      <c r="G5">
        <v>37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>
        <v>46</v>
      </c>
      <c r="B6">
        <v>3</v>
      </c>
      <c r="C6">
        <v>21</v>
      </c>
      <c r="D6">
        <v>4</v>
      </c>
      <c r="E6">
        <v>0</v>
      </c>
      <c r="F6">
        <v>0</v>
      </c>
      <c r="G6">
        <v>0</v>
      </c>
      <c r="H6">
        <v>1</v>
      </c>
      <c r="I6">
        <v>15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>
        <v>42</v>
      </c>
      <c r="B7">
        <v>3</v>
      </c>
      <c r="C7">
        <v>23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>
        <v>51</v>
      </c>
      <c r="B8">
        <v>3</v>
      </c>
      <c r="C8">
        <v>17</v>
      </c>
      <c r="D8">
        <v>6</v>
      </c>
      <c r="E8">
        <v>1</v>
      </c>
      <c r="F8">
        <v>34</v>
      </c>
      <c r="G8">
        <v>3.4</v>
      </c>
      <c r="H8">
        <v>0</v>
      </c>
      <c r="I8">
        <v>0</v>
      </c>
      <c r="J8">
        <v>1</v>
      </c>
      <c r="K8">
        <v>7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</row>
    <row r="9" spans="1:18" x14ac:dyDescent="0.35">
      <c r="A9">
        <v>26</v>
      </c>
      <c r="B9">
        <v>1</v>
      </c>
      <c r="C9">
        <v>26</v>
      </c>
      <c r="D9">
        <v>3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>
        <v>45</v>
      </c>
      <c r="B10">
        <v>1</v>
      </c>
      <c r="C10">
        <v>20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>
        <v>44</v>
      </c>
      <c r="B11">
        <v>3</v>
      </c>
      <c r="C11">
        <v>15</v>
      </c>
      <c r="D11">
        <f>MEDIAN(D2:D10)</f>
        <v>3</v>
      </c>
      <c r="E11">
        <v>1</v>
      </c>
      <c r="F11">
        <v>1.2669729089999999</v>
      </c>
      <c r="G11">
        <v>2.8</v>
      </c>
      <c r="H11">
        <v>0</v>
      </c>
      <c r="I11">
        <v>0</v>
      </c>
      <c r="J11">
        <f>MODE(J2:J10)</f>
        <v>0</v>
      </c>
      <c r="K11">
        <f>MEDIAN(K2:K10)</f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3" spans="1:18" x14ac:dyDescent="0.35">
      <c r="A13" s="5" t="s">
        <v>21</v>
      </c>
      <c r="B13" s="6" t="s">
        <v>22</v>
      </c>
      <c r="C13" s="5" t="s">
        <v>25</v>
      </c>
      <c r="D13" s="6" t="s">
        <v>29</v>
      </c>
      <c r="E13" s="5" t="s">
        <v>28</v>
      </c>
      <c r="F13" t="s">
        <v>30</v>
      </c>
      <c r="G13" s="5" t="s">
        <v>33</v>
      </c>
      <c r="H13" t="s">
        <v>34</v>
      </c>
    </row>
    <row r="14" spans="1:18" x14ac:dyDescent="0.35">
      <c r="A14" s="5"/>
      <c r="B14" s="6" t="s">
        <v>23</v>
      </c>
      <c r="C14" s="5"/>
      <c r="D14" s="6" t="s">
        <v>26</v>
      </c>
      <c r="E14" s="5"/>
      <c r="F14" t="s">
        <v>31</v>
      </c>
      <c r="G14" s="5"/>
      <c r="H14" t="s">
        <v>35</v>
      </c>
    </row>
    <row r="15" spans="1:18" x14ac:dyDescent="0.35">
      <c r="A15" s="5"/>
      <c r="B15" s="6" t="s">
        <v>24</v>
      </c>
      <c r="C15" s="5"/>
      <c r="D15" s="6" t="s">
        <v>27</v>
      </c>
      <c r="E15" s="5"/>
      <c r="F15" t="s">
        <v>32</v>
      </c>
      <c r="G15" s="5"/>
      <c r="H15" t="s">
        <v>36</v>
      </c>
    </row>
    <row r="16" spans="1:18" x14ac:dyDescent="0.35">
      <c r="A16" s="6"/>
      <c r="B16" s="6"/>
      <c r="C16" s="6"/>
      <c r="D16" s="6"/>
      <c r="E16" s="6"/>
    </row>
    <row r="17" spans="1:18" x14ac:dyDescent="0.35">
      <c r="A17" s="6"/>
      <c r="B17" s="6"/>
      <c r="C17" s="6"/>
      <c r="D17" s="6"/>
      <c r="E17" s="6"/>
    </row>
    <row r="18" spans="1:18" x14ac:dyDescent="0.3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</row>
    <row r="19" spans="1:18" x14ac:dyDescent="0.35">
      <c r="A19" t="str">
        <f>IF(A2&lt;=25, "Muda", IF(A2&lt;=40, "Dewasa", "Tua"))</f>
        <v>Muda</v>
      </c>
      <c r="B19" t="str">
        <f>IF(B2&lt;=2, "Sedikit", IF(B2&lt;=5, "Sedang", "Banyak"))</f>
        <v>Sedang</v>
      </c>
      <c r="C19" t="str">
        <f>IF(C2&lt;=16, "Sangat Muda", IF(C2&lt;=20, "Muda", "Dewasa"))</f>
        <v>Sangat Muda</v>
      </c>
      <c r="D19" t="str">
        <f>IF(D2&lt;=1, "Rendah", IF(D2&lt;=4, "Sedang", "Tinggi"))</f>
        <v>Rendah</v>
      </c>
      <c r="E19">
        <v>0</v>
      </c>
      <c r="F19" t="str">
        <f>IF(F2=0, "Tidak Merokok", IF(F2&lt;=5, "Perokok Baru", IF(F2&lt;=15, "Perokok Sedang", "Perokok Lama")))</f>
        <v>Tidak Merokok</v>
      </c>
      <c r="G19" t="str">
        <f>IF(G2=0, "Tidak Merokok", IF(G2&lt;=0.5, "Perokok Ringan", IF(G2&lt;=1.5, "Perokok Sedang", "Perokok Berat")))</f>
        <v>Tidak Merokok</v>
      </c>
      <c r="H19">
        <v>0</v>
      </c>
      <c r="I19" t="str">
        <f>IF(I2=0, "Tidak Menggunakan HC", IF(I2&lt;=1, "Pengguna Baru", IF(I2&lt;=5, "Pengguna Jangka Menengah", "Pengguna Jangka Panjang")))</f>
        <v>Tidak Menggunakan HC</v>
      </c>
      <c r="J19">
        <v>0</v>
      </c>
      <c r="K19" t="str">
        <f>IF(K2=0, "Tidak Menggunakan IUD", "Pengguna IUD")</f>
        <v>Tidak Menggunakan IUD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5">
      <c r="A20" t="str">
        <f t="shared" ref="A20:A28" si="0">IF(A3&lt;=25, "Muda", IF(A3&lt;=40, "Dewasa", "Tua"))</f>
        <v>Muda</v>
      </c>
      <c r="B20" t="str">
        <f t="shared" ref="B20:B28" si="1">IF(B3&lt;=2, "Sedikit", IF(B3&lt;=5, "Sedang", "Banyak"))</f>
        <v>Sedikit</v>
      </c>
      <c r="C20" t="str">
        <f t="shared" ref="C20:C28" si="2">IF(C3&lt;=16, "Sangat Muda", IF(C3&lt;=20, "Muda", "Dewasa"))</f>
        <v>Sangat Muda</v>
      </c>
      <c r="D20" t="str">
        <f t="shared" ref="D20:D28" si="3">IF(D3&lt;=1, "Rendah", IF(D3&lt;=4, "Sedang", "Tinggi"))</f>
        <v>Rendah</v>
      </c>
      <c r="E20">
        <v>0</v>
      </c>
      <c r="F20" t="str">
        <f t="shared" ref="F20:F28" si="4">IF(F3=0, "Tidak Merokok", IF(F3&lt;=5, "Perokok Baru", IF(F3&lt;=15, "Perokok Sedang", "Perokok Lama")))</f>
        <v>Tidak Merokok</v>
      </c>
      <c r="G20" t="str">
        <f t="shared" ref="G20:G28" si="5">IF(G3=0, "Tidak Merokok", IF(G3&lt;=0.5, "Perokok Ringan", IF(G3&lt;=1.5, "Perokok Sedang", "Perokok Berat")))</f>
        <v>Tidak Merokok</v>
      </c>
      <c r="H20">
        <v>0</v>
      </c>
      <c r="I20" t="str">
        <f t="shared" ref="I20:I28" si="6">IF(I3=0, "Tidak Menggunakan HC", IF(I3&lt;=1, "Pengguna Baru", IF(I3&lt;=5, "Pengguna Jangka Menengah", "Pengguna Jangka Panjang")))</f>
        <v>Tidak Menggunakan HC</v>
      </c>
      <c r="J20">
        <v>0</v>
      </c>
      <c r="K20" t="str">
        <f t="shared" ref="K20:K28" si="7">IF(K3=0, "Tidak Menggunakan IUD", "Pengguna IUD")</f>
        <v>Tidak Menggunakan IUD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5">
      <c r="A21" t="str">
        <f t="shared" si="0"/>
        <v>Dewasa</v>
      </c>
      <c r="B21" t="str">
        <f t="shared" si="1"/>
        <v>Sedikit</v>
      </c>
      <c r="C21" t="str">
        <f t="shared" si="2"/>
        <v>Muda</v>
      </c>
      <c r="D21" t="str">
        <f t="shared" si="3"/>
        <v>Rendah</v>
      </c>
      <c r="E21">
        <v>0</v>
      </c>
      <c r="F21" t="str">
        <f t="shared" si="4"/>
        <v>Tidak Merokok</v>
      </c>
      <c r="G21" t="str">
        <f t="shared" si="5"/>
        <v>Tidak Merokok</v>
      </c>
      <c r="H21">
        <v>0</v>
      </c>
      <c r="I21" t="str">
        <f t="shared" si="6"/>
        <v>Tidak Menggunakan HC</v>
      </c>
      <c r="J21">
        <v>0</v>
      </c>
      <c r="K21" t="str">
        <f t="shared" si="7"/>
        <v>Tidak Menggunakan IUD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5">
      <c r="A22" t="str">
        <f t="shared" si="0"/>
        <v>Tua</v>
      </c>
      <c r="B22" t="str">
        <f t="shared" si="1"/>
        <v>Sedang</v>
      </c>
      <c r="C22" t="str">
        <f t="shared" si="2"/>
        <v>Sangat Muda</v>
      </c>
      <c r="D22" t="str">
        <f t="shared" si="3"/>
        <v>Sedang</v>
      </c>
      <c r="E22">
        <v>1</v>
      </c>
      <c r="F22" t="str">
        <f t="shared" si="4"/>
        <v>Perokok Lama</v>
      </c>
      <c r="G22" t="str">
        <f t="shared" si="5"/>
        <v>Perokok Berat</v>
      </c>
      <c r="H22">
        <v>1</v>
      </c>
      <c r="I22" t="str">
        <f t="shared" si="6"/>
        <v>Pengguna Jangka Menengah</v>
      </c>
      <c r="J22">
        <v>0</v>
      </c>
      <c r="K22" t="str">
        <f t="shared" si="7"/>
        <v>Tidak Menggunakan IUD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5">
      <c r="A23" t="str">
        <f t="shared" si="0"/>
        <v>Tua</v>
      </c>
      <c r="B23" t="str">
        <f t="shared" si="1"/>
        <v>Sedang</v>
      </c>
      <c r="C23" t="str">
        <f t="shared" si="2"/>
        <v>Dewasa</v>
      </c>
      <c r="D23" t="str">
        <f t="shared" si="3"/>
        <v>Sedang</v>
      </c>
      <c r="E23">
        <v>0</v>
      </c>
      <c r="F23" t="str">
        <f t="shared" si="4"/>
        <v>Tidak Merokok</v>
      </c>
      <c r="G23" t="str">
        <f t="shared" si="5"/>
        <v>Tidak Merokok</v>
      </c>
      <c r="H23">
        <v>1</v>
      </c>
      <c r="I23" t="str">
        <f t="shared" si="6"/>
        <v>Pengguna Jangka Panjang</v>
      </c>
      <c r="J23">
        <v>0</v>
      </c>
      <c r="K23" t="str">
        <f t="shared" si="7"/>
        <v>Tidak Menggunakan IUD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5">
      <c r="A24" t="str">
        <f t="shared" si="0"/>
        <v>Tua</v>
      </c>
      <c r="B24" t="str">
        <f t="shared" si="1"/>
        <v>Sedang</v>
      </c>
      <c r="C24" t="str">
        <f t="shared" si="2"/>
        <v>Dewasa</v>
      </c>
      <c r="D24" t="str">
        <f t="shared" si="3"/>
        <v>Sedang</v>
      </c>
      <c r="E24">
        <v>0</v>
      </c>
      <c r="F24" t="str">
        <f t="shared" si="4"/>
        <v>Tidak Merokok</v>
      </c>
      <c r="G24" t="str">
        <f t="shared" si="5"/>
        <v>Tidak Merokok</v>
      </c>
      <c r="H24">
        <v>0</v>
      </c>
      <c r="I24" t="str">
        <f t="shared" si="6"/>
        <v>Tidak Menggunakan HC</v>
      </c>
      <c r="J24">
        <v>0</v>
      </c>
      <c r="K24" t="str">
        <f t="shared" si="7"/>
        <v>Tidak Menggunakan IUD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5">
      <c r="A25" t="str">
        <f t="shared" si="0"/>
        <v>Tua</v>
      </c>
      <c r="B25" t="str">
        <f t="shared" si="1"/>
        <v>Sedang</v>
      </c>
      <c r="C25" t="str">
        <f t="shared" si="2"/>
        <v>Muda</v>
      </c>
      <c r="D25" t="str">
        <f t="shared" si="3"/>
        <v>Tinggi</v>
      </c>
      <c r="E25">
        <v>1</v>
      </c>
      <c r="F25" t="str">
        <f t="shared" si="4"/>
        <v>Perokok Lama</v>
      </c>
      <c r="G25" t="str">
        <f t="shared" si="5"/>
        <v>Perokok Berat</v>
      </c>
      <c r="H25">
        <v>0</v>
      </c>
      <c r="I25" t="str">
        <f t="shared" si="6"/>
        <v>Tidak Menggunakan HC</v>
      </c>
      <c r="J25">
        <v>1</v>
      </c>
      <c r="K25" t="str">
        <f t="shared" si="7"/>
        <v>Pengguna IUD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1</v>
      </c>
    </row>
    <row r="26" spans="1:18" x14ac:dyDescent="0.35">
      <c r="A26" t="str">
        <f t="shared" si="0"/>
        <v>Dewasa</v>
      </c>
      <c r="B26" t="str">
        <f t="shared" si="1"/>
        <v>Sedikit</v>
      </c>
      <c r="C26" t="str">
        <f t="shared" si="2"/>
        <v>Dewasa</v>
      </c>
      <c r="D26" t="str">
        <f t="shared" si="3"/>
        <v>Sedang</v>
      </c>
      <c r="E26">
        <v>0</v>
      </c>
      <c r="F26" t="str">
        <f t="shared" si="4"/>
        <v>Tidak Merokok</v>
      </c>
      <c r="G26" t="str">
        <f t="shared" si="5"/>
        <v>Tidak Merokok</v>
      </c>
      <c r="H26">
        <v>1</v>
      </c>
      <c r="I26" t="str">
        <f t="shared" si="6"/>
        <v>Pengguna Jangka Menengah</v>
      </c>
      <c r="J26">
        <v>1</v>
      </c>
      <c r="K26" t="str">
        <f t="shared" si="7"/>
        <v>Pengguna IUD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5">
      <c r="A27" t="str">
        <f t="shared" si="0"/>
        <v>Tua</v>
      </c>
      <c r="B27" t="str">
        <f t="shared" si="1"/>
        <v>Sedikit</v>
      </c>
      <c r="C27" t="str">
        <f t="shared" si="2"/>
        <v>Muda</v>
      </c>
      <c r="D27" t="str">
        <f t="shared" si="3"/>
        <v>Tinggi</v>
      </c>
      <c r="E27">
        <v>0</v>
      </c>
      <c r="F27" t="str">
        <f t="shared" si="4"/>
        <v>Tidak Merokok</v>
      </c>
      <c r="G27" t="str">
        <f t="shared" si="5"/>
        <v>Tidak Merokok</v>
      </c>
      <c r="H27">
        <v>0</v>
      </c>
      <c r="I27" t="str">
        <f t="shared" si="6"/>
        <v>Tidak Menggunakan HC</v>
      </c>
      <c r="J27">
        <v>0</v>
      </c>
      <c r="K27" t="str">
        <f t="shared" si="7"/>
        <v>Tidak Menggunakan IUD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5">
      <c r="A28" t="str">
        <f t="shared" si="0"/>
        <v>Tua</v>
      </c>
      <c r="B28" t="str">
        <f t="shared" si="1"/>
        <v>Sedang</v>
      </c>
      <c r="C28" t="str">
        <f t="shared" si="2"/>
        <v>Sangat Muda</v>
      </c>
      <c r="D28" t="str">
        <f t="shared" si="3"/>
        <v>Sedang</v>
      </c>
      <c r="E28">
        <v>1</v>
      </c>
      <c r="F28" t="str">
        <f t="shared" si="4"/>
        <v>Perokok Baru</v>
      </c>
      <c r="G28" t="str">
        <f t="shared" si="5"/>
        <v>Perokok Berat</v>
      </c>
      <c r="H28">
        <v>0</v>
      </c>
      <c r="I28" t="str">
        <f t="shared" si="6"/>
        <v>Tidak Menggunakan HC</v>
      </c>
      <c r="J28">
        <f>MODE(J19:J27)</f>
        <v>0</v>
      </c>
      <c r="K28" t="str">
        <f t="shared" si="7"/>
        <v>Tidak Menggunakan IUD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31" spans="1:18" x14ac:dyDescent="0.35">
      <c r="A31" s="7" t="s">
        <v>18</v>
      </c>
      <c r="B31" s="8"/>
      <c r="C31" s="8"/>
    </row>
    <row r="32" spans="1:18" x14ac:dyDescent="0.35">
      <c r="A32" s="3" t="s">
        <v>19</v>
      </c>
      <c r="B32" s="3"/>
      <c r="C32">
        <f>COUNTIF(R2:R9, 1) / COUNTA(R2:R9)</f>
        <v>0.125</v>
      </c>
    </row>
    <row r="33" spans="1:7" x14ac:dyDescent="0.35">
      <c r="A33" s="3" t="s">
        <v>20</v>
      </c>
      <c r="B33" s="3"/>
      <c r="C33">
        <f>COUNTIF(R2:R9, 0) / COUNTA(R2:R9)</f>
        <v>0.875</v>
      </c>
    </row>
    <row r="34" spans="1:7" x14ac:dyDescent="0.35">
      <c r="A34" s="9" t="s">
        <v>74</v>
      </c>
      <c r="B34" s="9"/>
      <c r="C34" s="9"/>
    </row>
    <row r="35" spans="1:7" x14ac:dyDescent="0.35">
      <c r="A35" s="20" t="s">
        <v>0</v>
      </c>
      <c r="B35" s="20"/>
      <c r="C35" s="20"/>
    </row>
    <row r="36" spans="1:7" x14ac:dyDescent="0.35">
      <c r="A36" s="4" t="s">
        <v>41</v>
      </c>
      <c r="B36" s="2" t="s">
        <v>45</v>
      </c>
      <c r="C36" s="2" t="s">
        <v>46</v>
      </c>
    </row>
    <row r="37" spans="1:7" x14ac:dyDescent="0.35">
      <c r="A37" s="4" t="s">
        <v>42</v>
      </c>
      <c r="B37" s="2">
        <f>(COUNTIFS($A$19:$A$26, "Muda", $R$2:$R$9, 1) + 1) / (COUNTIF($R$2:$R$9, 1) + 3)</f>
        <v>0.25</v>
      </c>
      <c r="C37">
        <f>(COUNTIFS($A$19:$A$26, "Muda", $R$2:$R$9, 0) + 1) / (COUNTIF($R$2:$R$9, 0) + 3)</f>
        <v>0.3</v>
      </c>
      <c r="F37" s="16"/>
      <c r="G37" s="16"/>
    </row>
    <row r="38" spans="1:7" x14ac:dyDescent="0.35">
      <c r="A38" s="4" t="s">
        <v>43</v>
      </c>
      <c r="B38" s="2">
        <f>(COUNTIFS($A$19:$A$26, "Dewasa", $R$2:$R$9, 1) + 1) / (COUNTIF($R$2:$R$9, 1) + 3)</f>
        <v>0.25</v>
      </c>
      <c r="C38">
        <f>(COUNTIFS($A$19:$A$26, "Dewasa", $R$2:$R$9, 0) + 1) / (COUNTIF($R$2:$R$9, 0) + 3)</f>
        <v>0.3</v>
      </c>
      <c r="F38" s="16"/>
      <c r="G38" s="16"/>
    </row>
    <row r="39" spans="1:7" x14ac:dyDescent="0.35">
      <c r="A39" s="16" t="s">
        <v>44</v>
      </c>
      <c r="B39" s="13">
        <f>(COUNTIFS($A$19:$A$26, "Tua", $R$2:$R$9, 1) + 1) / (COUNTIF($R$2:$R$9, 1) + 3)</f>
        <v>0.5</v>
      </c>
      <c r="C39" s="17">
        <f>(COUNTIFS($A$19:$A$26, "Tua", $R$2:$R$9, 0) + 1) / (COUNTIF($R$2:$R$9, 0) + 3)</f>
        <v>0.4</v>
      </c>
      <c r="F39" s="16"/>
      <c r="G39" s="16"/>
    </row>
    <row r="40" spans="1:7" x14ac:dyDescent="0.35">
      <c r="A40" s="21" t="s">
        <v>47</v>
      </c>
      <c r="B40" s="21"/>
      <c r="C40" s="21"/>
      <c r="F40" s="16"/>
      <c r="G40" s="16"/>
    </row>
    <row r="41" spans="1:7" x14ac:dyDescent="0.35">
      <c r="A41" s="18" t="s">
        <v>41</v>
      </c>
      <c r="B41" t="s">
        <v>45</v>
      </c>
      <c r="C41" t="s">
        <v>46</v>
      </c>
      <c r="F41" s="16"/>
      <c r="G41" s="16"/>
    </row>
    <row r="42" spans="1:7" x14ac:dyDescent="0.35">
      <c r="A42" s="18" t="s">
        <v>48</v>
      </c>
      <c r="B42">
        <f>(COUNTIFS($B$19:$B$26, "Sedikit", $R$2:$R$9, 1) + 1) / (COUNTIF($R$2:$R$9, 1) + 3)</f>
        <v>0.25</v>
      </c>
      <c r="C42" s="10">
        <f>(COUNTIFS($B$19:$B$26, "Sedikit", $R$2:$R$9, 0) + 1) / (COUNTIF($R$2:$R$9, 0) + 3)</f>
        <v>0.4</v>
      </c>
      <c r="F42" s="16"/>
      <c r="G42" s="16"/>
    </row>
    <row r="43" spans="1:7" x14ac:dyDescent="0.35">
      <c r="A43" s="18" t="s">
        <v>49</v>
      </c>
      <c r="B43">
        <f>(COUNTIFS($B$19:$B$26, "Sedang", $R$2:$R$9, 1) + 1) / (COUNTIF($R$2:$R$9, 1) + 3)</f>
        <v>0.5</v>
      </c>
      <c r="C43" s="11">
        <f>(COUNTIFS($B$19:$B$26, "Sedang", $R$2:$R$9, 0) + 1) / (COUNTIF($R$2:$R$9, 0) + 3)</f>
        <v>0.5</v>
      </c>
      <c r="F43" s="16"/>
      <c r="G43" s="16"/>
    </row>
    <row r="44" spans="1:7" x14ac:dyDescent="0.35">
      <c r="A44" s="18" t="s">
        <v>50</v>
      </c>
      <c r="B44">
        <f>(COUNTIFS($B$19:$B$26, "Banyak", $R$2:$R$9, 1) + 1) / (COUNTIF($R$2:$R$9, 1) + 3)</f>
        <v>0.25</v>
      </c>
      <c r="C44" s="19">
        <f>(COUNTIFS($B$19:$B$26, "Banyak", $R$2:$R$9, 0) + 1) / (COUNTIF($R$2:$R$9, 0) + 3)</f>
        <v>0.1</v>
      </c>
      <c r="F44" s="16"/>
      <c r="G44" s="16"/>
    </row>
    <row r="45" spans="1:7" x14ac:dyDescent="0.35">
      <c r="A45" s="20" t="s">
        <v>51</v>
      </c>
      <c r="B45" s="20"/>
      <c r="C45" s="20"/>
    </row>
    <row r="46" spans="1:7" x14ac:dyDescent="0.35">
      <c r="A46" s="18" t="s">
        <v>41</v>
      </c>
      <c r="B46" t="s">
        <v>45</v>
      </c>
      <c r="C46" t="s">
        <v>46</v>
      </c>
    </row>
    <row r="47" spans="1:7" x14ac:dyDescent="0.35">
      <c r="A47" s="18" t="s">
        <v>52</v>
      </c>
      <c r="B47">
        <f>(COUNTIFS($C$19:$C$26, "Sangat Muda", $R$2:$R$9, 1) + 1) / (COUNTIF($R$2:$R$9, 1) + 3)</f>
        <v>0.25</v>
      </c>
      <c r="C47" s="10">
        <f>(COUNTIFS($C$19:$C$26, "Sangat Muda", $R$2:$R$9, 0) + 1) / (COUNTIF($R$2:$R$9, 0) + 3)</f>
        <v>0.4</v>
      </c>
    </row>
    <row r="48" spans="1:7" x14ac:dyDescent="0.35">
      <c r="A48" s="18" t="s">
        <v>42</v>
      </c>
      <c r="B48">
        <f>(COUNTIFS($C$19:$C$26, "Muda", $R$2:$R$9, 1) + 1) / (COUNTIF($R$2:$R$9, 1) + 3)</f>
        <v>0.5</v>
      </c>
      <c r="C48">
        <f>(COUNTIFS($C$19:$C$26, "Muda", $R$2:$R$9, 0) + 1) / (COUNTIF($R$2:$R$9, 0) + 3)</f>
        <v>0.2</v>
      </c>
    </row>
    <row r="49" spans="1:3" x14ac:dyDescent="0.35">
      <c r="A49" s="18" t="s">
        <v>43</v>
      </c>
      <c r="B49">
        <f>(COUNTIFS($C$19:$C$26, "Dewasa", $R$2:$R$9, 1) + 1) / (COUNTIF($R$2:$R$9, 1) + 3)</f>
        <v>0.25</v>
      </c>
      <c r="C49" s="19">
        <f>(COUNTIFS($C$19:$C$26, "Dewasa", $R$2:$R$9, 0) + 1) / (COUNTIF($R$2:$R$9, 0) + 3)</f>
        <v>0.4</v>
      </c>
    </row>
    <row r="50" spans="1:3" x14ac:dyDescent="0.35">
      <c r="A50" s="20" t="s">
        <v>53</v>
      </c>
      <c r="B50" s="20"/>
      <c r="C50" s="20"/>
    </row>
    <row r="51" spans="1:3" x14ac:dyDescent="0.35">
      <c r="A51" s="18" t="s">
        <v>41</v>
      </c>
      <c r="B51" t="s">
        <v>45</v>
      </c>
      <c r="C51" t="s">
        <v>46</v>
      </c>
    </row>
    <row r="52" spans="1:3" x14ac:dyDescent="0.35">
      <c r="A52" s="18" t="s">
        <v>54</v>
      </c>
      <c r="B52">
        <f>(COUNTIFS($D$19:$D$26, "Rendah", $R$2:$R$9, 1) + 1) / (COUNTIF($R$2:$R$9, 1) + 3)</f>
        <v>0.25</v>
      </c>
      <c r="C52" s="10">
        <f>(COUNTIFS($D$19:$D$26, "Rendah", $R$2:$R$9, 0) + 1) / (COUNTIF($R$2:$R$9, 0) + 3)</f>
        <v>0.4</v>
      </c>
    </row>
    <row r="53" spans="1:3" x14ac:dyDescent="0.35">
      <c r="A53" s="18" t="s">
        <v>49</v>
      </c>
      <c r="B53">
        <f>(COUNTIFS($D$19:$D$26, "Sedang", $R$2:$R$9, 1) + 1) / (COUNTIF($R$2:$R$9, 1) + 3)</f>
        <v>0.25</v>
      </c>
      <c r="C53">
        <f>(COUNTIFS($D$19:$D$26, "Sedang", $R$2:$R$9, 0) + 1) / (COUNTIF($R$2:$R$9, 0) + 3)</f>
        <v>0.5</v>
      </c>
    </row>
    <row r="54" spans="1:3" x14ac:dyDescent="0.35">
      <c r="A54" s="18" t="s">
        <v>55</v>
      </c>
      <c r="B54">
        <f>(COUNTIFS($D$19:$D$26, "Tinggi", $R$2:$R$9, 1) + 1) / (COUNTIF($R$2:$R$9, 1) + 3)</f>
        <v>0.5</v>
      </c>
      <c r="C54" s="19">
        <f>(COUNTIFS($D$19:$D$26, "Tinggi", $R$2:$R$9, 0) + 1) / (COUNTIF($R$2:$R$9, 0) + 3)</f>
        <v>0.1</v>
      </c>
    </row>
    <row r="55" spans="1:3" x14ac:dyDescent="0.35">
      <c r="A55" s="21" t="s">
        <v>4</v>
      </c>
      <c r="B55" s="21"/>
      <c r="C55" s="21"/>
    </row>
    <row r="56" spans="1:3" x14ac:dyDescent="0.35">
      <c r="A56" s="18" t="s">
        <v>41</v>
      </c>
      <c r="B56" t="s">
        <v>45</v>
      </c>
      <c r="C56" t="s">
        <v>46</v>
      </c>
    </row>
    <row r="57" spans="1:3" x14ac:dyDescent="0.35">
      <c r="A57">
        <v>1</v>
      </c>
      <c r="B57" s="10">
        <f>(COUNTIFS($E$19:$E$26, 1, $R$2:$R$9, 1) + 1) / (COUNTIF($R$2:$R$9, 1) + 2)</f>
        <v>0.66666666666666663</v>
      </c>
      <c r="C57" s="10">
        <f>(COUNTIFS($E$19:$E$26, 1, $R$2:$R$9, 0) + 1) / (COUNTIF($R$2:$R$9, 0) + 2)</f>
        <v>0.22222222222222221</v>
      </c>
    </row>
    <row r="58" spans="1:3" x14ac:dyDescent="0.35">
      <c r="A58">
        <v>0</v>
      </c>
      <c r="B58" s="10">
        <f>(COUNTIFS($E$19:$E$26, 0, $R$2:$R$9, 1) + 1) / (COUNTIF($R$2:$R$9, 1) + 2)</f>
        <v>0.33333333333333331</v>
      </c>
      <c r="C58" s="19">
        <f>(COUNTIFS($E$19:$E$26, 0, $R$2:$R$9, 0) + 1) / (COUNTIF($R$2:$R$9, 0) + 2)</f>
        <v>0.77777777777777779</v>
      </c>
    </row>
    <row r="59" spans="1:3" x14ac:dyDescent="0.35">
      <c r="A59" s="20" t="s">
        <v>56</v>
      </c>
      <c r="B59" s="20"/>
      <c r="C59" s="20"/>
    </row>
    <row r="60" spans="1:3" x14ac:dyDescent="0.35">
      <c r="A60" t="s">
        <v>41</v>
      </c>
      <c r="B60" t="s">
        <v>45</v>
      </c>
      <c r="C60" t="s">
        <v>46</v>
      </c>
    </row>
    <row r="61" spans="1:3" x14ac:dyDescent="0.35">
      <c r="A61" t="s">
        <v>57</v>
      </c>
      <c r="B61" s="10">
        <f>(COUNTIFS($F$19:$F$26, "Tidak Merokok", $R$2:$R$9, 1) + 1) / (COUNTIF($R$2:$R$9, 1) + 4)</f>
        <v>0.2</v>
      </c>
      <c r="C61" s="10">
        <f>(COUNTIFS($F$19:$F$26, "Tidak Merokok", $R$2:$R$9, 0) + 1) / (COUNTIF($R$2:$R$9, 0) + 4)</f>
        <v>0.63636363636363635</v>
      </c>
    </row>
    <row r="62" spans="1:3" x14ac:dyDescent="0.35">
      <c r="A62" t="s">
        <v>58</v>
      </c>
      <c r="B62" s="10">
        <f>(COUNTIFS($F$19:$F$26, "Perokok Baru", $R$2:$R$9, 1) + 1) / (COUNTIF($R$2:$R$9, 1) + 4)</f>
        <v>0.2</v>
      </c>
      <c r="C62" s="10">
        <f>(COUNTIFS($F$19:$F$26, "Perokok Baru", $R$2:$R$9, 0) + 1) / (COUNTIF($R$2:$R$9, 0) + 4)</f>
        <v>9.0909090909090912E-2</v>
      </c>
    </row>
    <row r="63" spans="1:3" x14ac:dyDescent="0.35">
      <c r="A63" t="s">
        <v>59</v>
      </c>
      <c r="B63" s="10">
        <f>(COUNTIFS($F$19:$F$26, "Perokok Sedang", $R$2:$R$9, 1) + 1) / (COUNTIF($R$2:$R$9, 1) + 4)</f>
        <v>0.2</v>
      </c>
      <c r="C63" s="10">
        <f>(COUNTIFS($F$19:$F$26, "Perokok Sedang", $R$2:$R$9, 0) + 1) / (COUNTIF($R$2:$R$9, 0) + 4)</f>
        <v>9.0909090909090912E-2</v>
      </c>
    </row>
    <row r="64" spans="1:3" x14ac:dyDescent="0.35">
      <c r="A64" t="s">
        <v>60</v>
      </c>
      <c r="B64" s="10">
        <f>(COUNTIFS($F$19:$F$26, "Perokok Lama", $R$2:$R$9, 1) + 1) / (COUNTIF($R$2:$R$9, 1) + 4)</f>
        <v>0.4</v>
      </c>
      <c r="C64" s="19">
        <f>(COUNTIFS($F$19:$F$26, "Perokok Lama", $R$2:$R$9, 0) + 1) / (COUNTIF($R$2:$R$9, 0) + 4)</f>
        <v>0.18181818181818182</v>
      </c>
    </row>
    <row r="65" spans="1:7" x14ac:dyDescent="0.35">
      <c r="A65" s="20" t="s">
        <v>61</v>
      </c>
      <c r="B65" s="20"/>
      <c r="C65" s="20"/>
      <c r="F65" s="12"/>
      <c r="G65" s="12"/>
    </row>
    <row r="66" spans="1:7" x14ac:dyDescent="0.35">
      <c r="A66" t="s">
        <v>41</v>
      </c>
      <c r="B66" t="s">
        <v>45</v>
      </c>
      <c r="C66" t="s">
        <v>46</v>
      </c>
      <c r="F66" s="12"/>
      <c r="G66" s="12"/>
    </row>
    <row r="67" spans="1:7" x14ac:dyDescent="0.35">
      <c r="A67" t="s">
        <v>57</v>
      </c>
      <c r="B67" s="10">
        <f>(COUNTIFS($G$19:$G$26, "Tidak Merokok", $R$2:$R$9, 1) + 1) / (COUNTIF($R$2:$R$9, 1) + 4)</f>
        <v>0.2</v>
      </c>
      <c r="C67" s="10">
        <f>(COUNTIFS($G$19:$G$26, "Tidak Merokok", $R$2:$R$9, 0) + 1) / (COUNTIF($R$2:$R$9, 0) + 4)</f>
        <v>0.63636363636363635</v>
      </c>
      <c r="F67" s="12"/>
      <c r="G67" s="12"/>
    </row>
    <row r="68" spans="1:7" x14ac:dyDescent="0.35">
      <c r="A68" t="s">
        <v>62</v>
      </c>
      <c r="B68" s="10">
        <f>(COUNTIFS($G$19:$G$26, "Perokok Ringan", $R$2:$R$9, 1) + 1) / (COUNTIF($R$2:$R$9, 1) + 4)</f>
        <v>0.2</v>
      </c>
      <c r="C68" s="10">
        <f>(COUNTIFS($G$19:$G$26, "Perokok Ringan", $R$2:$R$9, 0) + 1) / (COUNTIF($R$2:$R$9, 0) + 4)</f>
        <v>9.0909090909090912E-2</v>
      </c>
      <c r="F68" s="12"/>
      <c r="G68" s="12"/>
    </row>
    <row r="69" spans="1:7" x14ac:dyDescent="0.35">
      <c r="A69" t="s">
        <v>59</v>
      </c>
      <c r="B69" s="10">
        <f>(COUNTIFS($G$19:$G$26, "Perokok Sedang", $R$2:$R$9, 1) + 1) / (COUNTIF($R$2:$R$9, 1) + 4)</f>
        <v>0.2</v>
      </c>
      <c r="C69" s="10">
        <f>(COUNTIFS($G$19:$G$26, "Perokok Sedang", $R$2:$R$9, 0) + 1) / (COUNTIF($R$2:$R$9, 0) + 4)</f>
        <v>9.0909090909090912E-2</v>
      </c>
      <c r="F69" s="12"/>
      <c r="G69" s="12"/>
    </row>
    <row r="70" spans="1:7" x14ac:dyDescent="0.35">
      <c r="A70" t="s">
        <v>63</v>
      </c>
      <c r="B70" s="10">
        <f>(COUNTIFS($G$19:$G$26, "Perokok Berat", $R$2:$R$9, 1) + 1) / (COUNTIF($R$2:$R$9, 1) + 4)</f>
        <v>0.4</v>
      </c>
      <c r="C70" s="19">
        <f>(COUNTIFS($G$19:$G$26, "Perokok Berat", $R$2:$R$9, 0) + 1) / (COUNTIF($R$2:$R$9, 0) + 4)</f>
        <v>0.18181818181818182</v>
      </c>
      <c r="F70" s="12"/>
      <c r="G70" s="12"/>
    </row>
    <row r="71" spans="1:7" x14ac:dyDescent="0.35">
      <c r="A71" s="20" t="s">
        <v>7</v>
      </c>
      <c r="B71" s="20"/>
      <c r="C71" s="20"/>
      <c r="F71" s="12"/>
      <c r="G71" s="12"/>
    </row>
    <row r="72" spans="1:7" x14ac:dyDescent="0.35">
      <c r="A72" t="s">
        <v>41</v>
      </c>
      <c r="B72" t="s">
        <v>45</v>
      </c>
      <c r="C72" t="s">
        <v>46</v>
      </c>
      <c r="E72" s="16"/>
      <c r="F72" s="16"/>
    </row>
    <row r="73" spans="1:7" x14ac:dyDescent="0.35">
      <c r="A73">
        <v>1</v>
      </c>
      <c r="B73" s="10">
        <f>(COUNTIFS($H$19:$H$26, 1, $R$2:$R$9, 1) + 1) / (COUNTIF($R$2:$R$9, 1) + 2)</f>
        <v>0.33333333333333331</v>
      </c>
      <c r="C73" s="10">
        <f>(COUNTIFS($H$19:$H$26, 1, $R$2:$R$9, 0) + 1) / (COUNTIF($R$2:$R$9, 0) + 2)</f>
        <v>0.44444444444444442</v>
      </c>
      <c r="E73" s="16"/>
      <c r="F73" s="16"/>
    </row>
    <row r="74" spans="1:7" x14ac:dyDescent="0.35">
      <c r="A74">
        <v>0</v>
      </c>
      <c r="B74" s="10">
        <f>(COUNTIFS($H$19:$H$26, 0, $R$2:$R$9, 1) + 1) / (COUNTIF($R$2:$R$9, 1) + 2)</f>
        <v>0.66666666666666663</v>
      </c>
      <c r="C74" s="19">
        <f>(COUNTIFS($H$19:$H$26, 0, $R$2:$R$9, 0) + 1) / (COUNTIF($R$2:$R$9, 0) + 2)</f>
        <v>0.55555555555555558</v>
      </c>
      <c r="E74" s="16"/>
      <c r="F74" s="16"/>
    </row>
    <row r="75" spans="1:7" x14ac:dyDescent="0.35">
      <c r="A75" s="20" t="s">
        <v>64</v>
      </c>
      <c r="B75" s="20"/>
      <c r="C75" s="20"/>
      <c r="E75" s="16"/>
      <c r="F75" s="16"/>
    </row>
    <row r="76" spans="1:7" x14ac:dyDescent="0.35">
      <c r="A76" t="s">
        <v>41</v>
      </c>
      <c r="B76" t="s">
        <v>45</v>
      </c>
      <c r="C76" t="s">
        <v>46</v>
      </c>
      <c r="E76" s="16"/>
      <c r="F76" s="16"/>
    </row>
    <row r="77" spans="1:7" x14ac:dyDescent="0.35">
      <c r="A77" t="s">
        <v>65</v>
      </c>
      <c r="B77" s="10">
        <f>(COUNTIFS($I$19:$I$26, "Tidak Menggunakan HC", $R$2:$R$9, 1) + 1) / (COUNTIF($R$2:$R$9, 1) + 4)</f>
        <v>0.4</v>
      </c>
      <c r="C77" s="10">
        <f>(COUNTIFS($I$19:$I$26, "Tidak Menggunakan HC", $R$2:$R$9, 0) + 1) / (COUNTIF($R$2:$R$9, 0) + 4)</f>
        <v>0.45454545454545453</v>
      </c>
      <c r="E77" s="16"/>
      <c r="F77" s="16"/>
    </row>
    <row r="78" spans="1:7" x14ac:dyDescent="0.35">
      <c r="A78" t="s">
        <v>66</v>
      </c>
      <c r="B78" s="10">
        <f>(COUNTIFS($I$19:$I$26, "Pengguna Baru", $R$2:$R$9, 1) + 1) / (COUNTIF($R$2:$R$9, 1) + 4)</f>
        <v>0.2</v>
      </c>
      <c r="C78" s="10">
        <f>(COUNTIFS($I$19:$I$26, "Pengguna Baru", $R$2:$R$9,0) + 1) / (COUNTIF($R$2:$R$9, 0) + 4)</f>
        <v>9.0909090909090912E-2</v>
      </c>
      <c r="E78" s="16"/>
      <c r="F78" s="16"/>
    </row>
    <row r="79" spans="1:7" x14ac:dyDescent="0.35">
      <c r="A79" t="s">
        <v>67</v>
      </c>
      <c r="B79" s="10">
        <f>(COUNTIFS($I$19:$I$26, "Pengguna Jangka Menengah", $R$2:$R$9, 1) + 1) / (COUNTIF($R$2:$R$9, 1) + 4)</f>
        <v>0.2</v>
      </c>
      <c r="C79" s="10">
        <f>(COUNTIFS($I$19:$I$26, "Pengguna Jangka Menengah", $R$2:$R$9, 0) + 1) / (COUNTIF($R$2:$R$9, 0) + 4)</f>
        <v>0.27272727272727271</v>
      </c>
      <c r="E79" s="16"/>
      <c r="F79" s="16"/>
    </row>
    <row r="80" spans="1:7" x14ac:dyDescent="0.35">
      <c r="A80" t="s">
        <v>68</v>
      </c>
      <c r="B80" s="10">
        <f>(COUNTIFS($I$19:$I$26, "Pengguna Jangka Panjang", $R$2:$R$9, 1) + 1) / (COUNTIF($R$2:$R$9, 1) + 4)</f>
        <v>0.2</v>
      </c>
      <c r="C80" s="19">
        <f>(COUNTIFS($I$19:$I$26, "Pengguna Jangka Panjang", $R$2:$R$9, 0) + 1) / (COUNTIF($R$2:$R$9, 0) + 4)</f>
        <v>0.18181818181818182</v>
      </c>
      <c r="E80" s="16"/>
      <c r="F80" s="16"/>
    </row>
    <row r="81" spans="1:6" x14ac:dyDescent="0.35">
      <c r="A81" s="20" t="s">
        <v>9</v>
      </c>
      <c r="B81" s="20"/>
      <c r="C81" s="20"/>
      <c r="E81" s="16"/>
      <c r="F81" s="16"/>
    </row>
    <row r="82" spans="1:6" x14ac:dyDescent="0.35">
      <c r="A82" t="s">
        <v>41</v>
      </c>
      <c r="B82" t="s">
        <v>45</v>
      </c>
      <c r="C82" t="s">
        <v>46</v>
      </c>
      <c r="E82" s="16"/>
      <c r="F82" s="16"/>
    </row>
    <row r="83" spans="1:6" x14ac:dyDescent="0.35">
      <c r="A83">
        <v>1</v>
      </c>
      <c r="B83" s="10">
        <f>(COUNTIFS($J$19:$J$26, 1, $R$2:$R$9, 1) + 1) / (COUNTIF($R$2:$R$9, 1) + 2)</f>
        <v>0.66666666666666663</v>
      </c>
      <c r="C83" s="10">
        <f>(COUNTIFS($J$19:$J$26, 1, $R$2:$R$9, 0) + 1) / (COUNTIF($R$2:$R$9, 0) + 2)</f>
        <v>0.22222222222222221</v>
      </c>
      <c r="E83" s="16"/>
      <c r="F83" s="16"/>
    </row>
    <row r="84" spans="1:6" x14ac:dyDescent="0.35">
      <c r="A84">
        <v>0</v>
      </c>
      <c r="B84" s="10">
        <f>(COUNTIFS($J$19:$J$26, 0, $R$2:$R$9, 1) + 1) / (COUNTIF($R$2:$R$9, 1) + 2)</f>
        <v>0.33333333333333331</v>
      </c>
      <c r="C84" s="19">
        <f>(COUNTIFS($J$19:$J$26, 0, $R$2:$R$9, 0) + 1) / (COUNTIF($R$2:$R$9, 0) + 2)</f>
        <v>0.77777777777777779</v>
      </c>
    </row>
    <row r="85" spans="1:6" x14ac:dyDescent="0.35">
      <c r="A85" s="20" t="s">
        <v>69</v>
      </c>
      <c r="B85" s="20"/>
      <c r="C85" s="20"/>
    </row>
    <row r="86" spans="1:6" x14ac:dyDescent="0.35">
      <c r="A86" t="s">
        <v>41</v>
      </c>
      <c r="B86" t="s">
        <v>45</v>
      </c>
      <c r="C86" t="s">
        <v>46</v>
      </c>
    </row>
    <row r="87" spans="1:6" x14ac:dyDescent="0.35">
      <c r="A87" t="s">
        <v>70</v>
      </c>
      <c r="B87" s="10">
        <f>(COUNTIFS($K$19:$K$26, "Tidak Menggunakan IUD", $R$2:$R$9, 1) + 1) / (COUNTIF($R$2:$R$9, 1) + 2)</f>
        <v>0.33333333333333331</v>
      </c>
      <c r="C87" s="10">
        <f>(COUNTIFS($K$19:$K$26, "Tidak Menggunakan IUD", $R$2:$R$9, 0) + 1) / (COUNTIF($R$2:$R$9, 0) + 2)</f>
        <v>0.77777777777777779</v>
      </c>
    </row>
    <row r="88" spans="1:6" x14ac:dyDescent="0.35">
      <c r="A88" t="s">
        <v>71</v>
      </c>
      <c r="B88" s="10">
        <f>(COUNTIFS($K$19:$K$26, "Pengguna IUD", $R$2:$R$9, 1) + 1) / (COUNTIF($R$2:$R$9, 1) + 2)</f>
        <v>0.66666666666666663</v>
      </c>
      <c r="C88" s="19">
        <f>(COUNTIFS($K$19:$K$26, "Pengguna IUD", $R$2:$R$9, 0) + 1) / (COUNTIF($R$2:$R$9, 0) + 2)</f>
        <v>0.22222222222222221</v>
      </c>
    </row>
    <row r="89" spans="1:6" x14ac:dyDescent="0.35">
      <c r="A89" s="20" t="s">
        <v>11</v>
      </c>
      <c r="B89" s="20"/>
      <c r="C89" s="20"/>
    </row>
    <row r="90" spans="1:6" x14ac:dyDescent="0.35">
      <c r="A90" t="s">
        <v>41</v>
      </c>
      <c r="B90" t="s">
        <v>45</v>
      </c>
      <c r="C90" t="s">
        <v>46</v>
      </c>
    </row>
    <row r="91" spans="1:6" x14ac:dyDescent="0.35">
      <c r="A91" s="16">
        <v>1</v>
      </c>
      <c r="B91" s="10">
        <f>(COUNTIFS($L$19:$L$26, 1, $R$2:$R$9, 1) + 1) / (COUNTIF($R$2:$R$9, 1) + 2)</f>
        <v>0.33333333333333331</v>
      </c>
      <c r="C91" s="10">
        <f>(COUNTIFS($L$19:$L$26, 1, $R$2:$R$9, 0) + 1) / (COUNTIF($R$2:$R$9, 0) + 2)</f>
        <v>0.1111111111111111</v>
      </c>
    </row>
    <row r="92" spans="1:6" x14ac:dyDescent="0.35">
      <c r="A92" s="16">
        <v>0</v>
      </c>
      <c r="B92" s="10">
        <f>(COUNTIFS($L$19:$L$26, 0, $R$2:$R$9, 1) + 1) / (COUNTIF($R$2:$R$9, 1) + 2)</f>
        <v>0.66666666666666663</v>
      </c>
      <c r="C92" s="19">
        <f>(COUNTIFS($L$19:$L$26, 0, $R$2:$R$9, 0) + 1) / (COUNTIF($R$2:$R$9, 0) + 2)</f>
        <v>0.88888888888888884</v>
      </c>
    </row>
    <row r="93" spans="1:6" x14ac:dyDescent="0.35">
      <c r="A93" s="21" t="s">
        <v>72</v>
      </c>
      <c r="B93" s="21"/>
      <c r="C93" s="21"/>
    </row>
    <row r="94" spans="1:6" x14ac:dyDescent="0.35">
      <c r="A94" s="16" t="s">
        <v>41</v>
      </c>
      <c r="B94" s="16" t="s">
        <v>45</v>
      </c>
      <c r="C94" t="s">
        <v>46</v>
      </c>
    </row>
    <row r="95" spans="1:6" x14ac:dyDescent="0.35">
      <c r="A95" s="16">
        <v>0</v>
      </c>
      <c r="B95" s="10">
        <f>(COUNTIFS($L$19:$L$26, 0, $R$2:$R$9, 1) + 1) / (COUNTIF($R$2:$R$9, 1) + 5)</f>
        <v>0.33333333333333331</v>
      </c>
      <c r="C95" s="10">
        <f>(COUNTIFS($L$19:$L$26, 0, $R$2:$R$9, 0) + 1) / (COUNTIF($R$2:$R$9, 0) + 5)</f>
        <v>0.66666666666666663</v>
      </c>
    </row>
    <row r="96" spans="1:6" x14ac:dyDescent="0.35">
      <c r="A96" s="18">
        <v>1</v>
      </c>
      <c r="B96" s="10">
        <f>(COUNTIFS($L$19:$L$26, 1, $R$2:$R$9, 1) + 1) / (COUNTIF($R$2:$R$9, 1) + 5)</f>
        <v>0.16666666666666666</v>
      </c>
      <c r="C96" s="10">
        <f>(COUNTIFS($L$19:$L$26, 1, $R$2:$R$9, 0) + 1) / (COUNTIF($R$2:$R$9, 0) + 5)</f>
        <v>8.3333333333333329E-2</v>
      </c>
    </row>
    <row r="97" spans="1:3" x14ac:dyDescent="0.35">
      <c r="A97" s="18">
        <v>2</v>
      </c>
      <c r="B97" s="10">
        <f>(COUNTIFS($L$19:$L$26, 2, $R$2:$R$9, 1) + 1) / (COUNTIF($R$2:$R$9, 1) + 5)</f>
        <v>0.16666666666666666</v>
      </c>
      <c r="C97" s="10">
        <f>(COUNTIFS($L$19:$L$26, 2, $R$2:$R$9, 0) + 1) / (COUNTIF($R$2:$R$9, 0) + 5)</f>
        <v>8.3333333333333329E-2</v>
      </c>
    </row>
    <row r="98" spans="1:3" x14ac:dyDescent="0.35">
      <c r="A98" s="18">
        <v>3</v>
      </c>
      <c r="B98" s="10">
        <f>(COUNTIFS($L$19:$L$26, 3, $R$2:$R$9, 1) + 1) / (COUNTIF($R$2:$R$9, 1) + 5)</f>
        <v>0.16666666666666666</v>
      </c>
      <c r="C98" s="10">
        <f>(COUNTIFS($L$19:$L$26, 3, $R$2:$R$9, 0) + 1) / (COUNTIF($R$2:$R$9, 0) + 5)</f>
        <v>8.3333333333333329E-2</v>
      </c>
    </row>
    <row r="99" spans="1:3" x14ac:dyDescent="0.35">
      <c r="A99" s="18">
        <v>4</v>
      </c>
      <c r="B99" s="10">
        <f>(COUNTIFS($L$19:$L$26, 4, $R$2:$R$9, 1) + 1) / (COUNTIF($R$2:$R$9, 1) + 5)</f>
        <v>0.16666666666666666</v>
      </c>
      <c r="C99" s="19">
        <f>(COUNTIFS($L$19:$L$26, 4, $R$2:$R$9, 0) + 1) / (COUNTIF($R$2:$R$9, 0) + 5)</f>
        <v>8.3333333333333329E-2</v>
      </c>
    </row>
    <row r="100" spans="1:3" x14ac:dyDescent="0.35">
      <c r="A100" s="21" t="s">
        <v>73</v>
      </c>
      <c r="B100" s="21"/>
      <c r="C100" s="21"/>
    </row>
    <row r="101" spans="1:3" x14ac:dyDescent="0.35">
      <c r="A101" s="16" t="s">
        <v>41</v>
      </c>
      <c r="B101" s="16" t="s">
        <v>45</v>
      </c>
      <c r="C101" t="s">
        <v>46</v>
      </c>
    </row>
    <row r="102" spans="1:3" x14ac:dyDescent="0.35">
      <c r="A102" s="18">
        <v>0</v>
      </c>
      <c r="B102" s="10">
        <f>(COUNTIFS($N$19:$N$26, 0, $R$2:$R$9, 1) + 1) / (COUNTIF($R$2:$R$9, 1) + 4)</f>
        <v>0.4</v>
      </c>
      <c r="C102" s="10">
        <f>(COUNTIFS($N$19:$N$26, 0, $R$2:$R$9, 0) + 1) / (COUNTIF($R$2:$R$9, 0) + 4)</f>
        <v>0.72727272727272729</v>
      </c>
    </row>
    <row r="103" spans="1:3" x14ac:dyDescent="0.35">
      <c r="A103" s="18">
        <v>1</v>
      </c>
      <c r="B103" s="10">
        <f>(COUNTIFS($N$19:$N$26, 1, $R$2:$R$9, 1) + 1) / (COUNTIF($R$2:$R$9, 1) + 4)</f>
        <v>0.2</v>
      </c>
      <c r="C103" s="10">
        <f>(COUNTIFS($N$19:$N$26, 1, $R$2:$R$9, 0) + 1) / (COUNTIF($R$2:$R$9, 0) + 4)</f>
        <v>9.0909090909090912E-2</v>
      </c>
    </row>
    <row r="104" spans="1:3" x14ac:dyDescent="0.35">
      <c r="A104" s="18">
        <v>2</v>
      </c>
      <c r="B104" s="10">
        <f>(COUNTIFS($N$19:$N$26, 2, $R$2:$R$9, 1) + 1) / (COUNTIF($R$2:$R$9, 1) + 4)</f>
        <v>0.2</v>
      </c>
      <c r="C104" s="10">
        <f>(COUNTIFS($N$19:$N$26, 2, $R$2:$R$9, 0) + 1) / (COUNTIF($R$2:$R$9, 0) + 4)</f>
        <v>9.0909090909090912E-2</v>
      </c>
    </row>
    <row r="105" spans="1:3" x14ac:dyDescent="0.35">
      <c r="A105" s="18">
        <v>3</v>
      </c>
      <c r="B105" s="10">
        <f>(COUNTIFS($N$19:$N$26, 3, $R$2:$R$9, 1) + 1) / (COUNTIF($R$2:$R$9, 1) + 4)</f>
        <v>0.2</v>
      </c>
      <c r="C105" s="19">
        <f>(COUNTIFS($N$19:$N$26, 3, $R$2:$R$9, 0) + 1) / (COUNTIF($R$2:$R$9, 0) + 4)</f>
        <v>9.0909090909090912E-2</v>
      </c>
    </row>
    <row r="106" spans="1:3" x14ac:dyDescent="0.35">
      <c r="A106" s="21" t="s">
        <v>14</v>
      </c>
      <c r="B106" s="21"/>
      <c r="C106" s="21"/>
    </row>
    <row r="107" spans="1:3" x14ac:dyDescent="0.35">
      <c r="A107" s="16" t="s">
        <v>41</v>
      </c>
      <c r="B107" s="16" t="s">
        <v>45</v>
      </c>
      <c r="C107" t="s">
        <v>46</v>
      </c>
    </row>
    <row r="108" spans="1:3" x14ac:dyDescent="0.35">
      <c r="A108" s="18">
        <v>1</v>
      </c>
      <c r="B108" s="10">
        <f>(COUNTIFS($O$19:$O$26, 1, $R$2:$R$9, 1) + 1) / (COUNTIF($R$2:$R$9, 1) + 2)</f>
        <v>0.66666666666666663</v>
      </c>
      <c r="C108" s="10">
        <f>(COUNTIFS($O$19:$O$26, 1, $R$2:$R$9, 0) + 1) / (COUNTIF($R$2:$R$9, 0) + 2)</f>
        <v>0.1111111111111111</v>
      </c>
    </row>
    <row r="109" spans="1:3" x14ac:dyDescent="0.35">
      <c r="A109" s="18">
        <v>0</v>
      </c>
      <c r="B109" s="10">
        <f>(COUNTIFS($O$19:$O$26, 0, $R$2:$R$9, 1) + 1) / (COUNTIF($R$2:$R$9, 1) + 2)</f>
        <v>0.33333333333333331</v>
      </c>
      <c r="C109" s="19">
        <f>(COUNTIFS($O$19:$O$26, 0, $R$2:$R$9, 0) + 1) / (COUNTIF($R$2:$R$9, 0) + 2)</f>
        <v>0.88888888888888884</v>
      </c>
    </row>
    <row r="110" spans="1:3" x14ac:dyDescent="0.35">
      <c r="A110" s="21" t="s">
        <v>15</v>
      </c>
      <c r="B110" s="21"/>
      <c r="C110" s="21"/>
    </row>
    <row r="111" spans="1:3" x14ac:dyDescent="0.35">
      <c r="A111" s="16" t="s">
        <v>41</v>
      </c>
      <c r="B111" s="16" t="s">
        <v>45</v>
      </c>
      <c r="C111" t="s">
        <v>46</v>
      </c>
    </row>
    <row r="112" spans="1:3" x14ac:dyDescent="0.35">
      <c r="A112" s="16">
        <v>1</v>
      </c>
      <c r="B112" s="10">
        <f>(COUNTIFS($P$19:$P$26, 1, $R$2:$R$9, 1) + 1) / (COUNTIF($R$2:$R$9, 1) + 2)</f>
        <v>0.66666666666666663</v>
      </c>
      <c r="C112" s="10">
        <f>(COUNTIFS($P$19:$P$26, 1, $R$2:$R$9, 0) + 1) / (COUNTIF($R$2:$R$9, 0) + 2)</f>
        <v>0.1111111111111111</v>
      </c>
    </row>
    <row r="113" spans="1:3" x14ac:dyDescent="0.35">
      <c r="A113" s="18">
        <v>0</v>
      </c>
      <c r="B113" s="10">
        <f>(COUNTIFS($P$19:$P$26, 0, $R$2:$R$9, 1) + 1) / (COUNTIF($R$2:$R$9, 1) + 2)</f>
        <v>0.33333333333333331</v>
      </c>
      <c r="C113" s="19">
        <f>(COUNTIFS($P$19:$P$26, 0, $R$2:$R$9, 0) + 1) / (COUNTIF($R$2:$R$9, 0) + 2)</f>
        <v>0.88888888888888884</v>
      </c>
    </row>
    <row r="114" spans="1:3" x14ac:dyDescent="0.35">
      <c r="A114" s="21" t="s">
        <v>16</v>
      </c>
      <c r="B114" s="21"/>
      <c r="C114" s="21"/>
    </row>
    <row r="115" spans="1:3" x14ac:dyDescent="0.35">
      <c r="A115" s="16" t="s">
        <v>41</v>
      </c>
      <c r="B115" s="16" t="s">
        <v>45</v>
      </c>
      <c r="C115" t="s">
        <v>46</v>
      </c>
    </row>
    <row r="116" spans="1:3" x14ac:dyDescent="0.35">
      <c r="A116" s="16">
        <v>1</v>
      </c>
      <c r="B116" s="10">
        <f>(COUNTIFS($Q$19:$Q$26, 1, $R$2:$R$9, 1) + 1) / (COUNTIF($R$2:$R$9, 1) + 2)</f>
        <v>0.33333333333333331</v>
      </c>
      <c r="C116" s="10">
        <f>(COUNTIFS($Q$19:$Q$26, 1, $R$2:$R$9, 0) + 1) / (COUNTIF($R$2:$R$9, 0) + 2)</f>
        <v>0.1111111111111111</v>
      </c>
    </row>
    <row r="117" spans="1:3" x14ac:dyDescent="0.35">
      <c r="A117" s="18">
        <v>0</v>
      </c>
      <c r="B117" s="10">
        <f>(COUNTIFS($Q$19:$Q$26, 0, $R$2:$R$9, 1) + 1) / (COUNTIF($R$2:$R$9, 1) + 2)</f>
        <v>0.66666666666666663</v>
      </c>
      <c r="C117" s="19">
        <f>(COUNTIFS($Q$19:$Q$26, 0, $R$2:$R$9, 0) + 1) / (COUNTIF($R$2:$R$9, 0) + 2)</f>
        <v>0.88888888888888884</v>
      </c>
    </row>
    <row r="118" spans="1:3" x14ac:dyDescent="0.35">
      <c r="A118" s="16"/>
      <c r="B118" s="16"/>
    </row>
    <row r="119" spans="1:3" x14ac:dyDescent="0.35">
      <c r="A119" s="16"/>
      <c r="B119" s="16"/>
    </row>
    <row r="120" spans="1:3" x14ac:dyDescent="0.35">
      <c r="A120" s="16"/>
      <c r="B120" s="16"/>
    </row>
    <row r="121" spans="1:3" x14ac:dyDescent="0.35">
      <c r="A121" s="16"/>
      <c r="B121" s="16"/>
    </row>
    <row r="122" spans="1:3" x14ac:dyDescent="0.35">
      <c r="A122" s="16"/>
      <c r="B122" s="16"/>
    </row>
    <row r="123" spans="1:3" x14ac:dyDescent="0.35">
      <c r="A123" s="16"/>
      <c r="B123" s="16"/>
    </row>
    <row r="124" spans="1:3" x14ac:dyDescent="0.35">
      <c r="A124" s="16"/>
      <c r="B124" s="16"/>
    </row>
    <row r="125" spans="1:3" x14ac:dyDescent="0.35">
      <c r="A125" s="16"/>
      <c r="B125" s="16"/>
    </row>
    <row r="126" spans="1:3" x14ac:dyDescent="0.35">
      <c r="A126" s="16"/>
      <c r="B126" s="16"/>
    </row>
    <row r="127" spans="1:3" x14ac:dyDescent="0.35">
      <c r="A127" s="16"/>
      <c r="B127" s="16"/>
    </row>
    <row r="128" spans="1:3" x14ac:dyDescent="0.35">
      <c r="A128" s="16"/>
      <c r="B128" s="16"/>
    </row>
    <row r="129" spans="1:26" x14ac:dyDescent="0.35">
      <c r="A129" s="16"/>
      <c r="B129" s="16"/>
    </row>
    <row r="130" spans="1:26" x14ac:dyDescent="0.35">
      <c r="A130" s="16"/>
      <c r="B130" s="16"/>
    </row>
    <row r="131" spans="1:26" x14ac:dyDescent="0.35">
      <c r="A131" s="16"/>
      <c r="B131" s="16"/>
    </row>
    <row r="132" spans="1:26" x14ac:dyDescent="0.35">
      <c r="A132" s="16"/>
      <c r="B132" s="16"/>
    </row>
    <row r="133" spans="1:26" x14ac:dyDescent="0.35">
      <c r="A133" s="22" t="s">
        <v>37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Y133" s="25" t="s">
        <v>80</v>
      </c>
      <c r="Z133" s="26"/>
    </row>
    <row r="134" spans="1:26" x14ac:dyDescent="0.35">
      <c r="A134" t="s">
        <v>38</v>
      </c>
      <c r="B134" s="1" t="s">
        <v>0</v>
      </c>
      <c r="C134" s="1" t="s">
        <v>1</v>
      </c>
      <c r="D134" s="1" t="s">
        <v>2</v>
      </c>
      <c r="E134" s="1" t="s">
        <v>3</v>
      </c>
      <c r="F134" s="1" t="s">
        <v>4</v>
      </c>
      <c r="G134" s="1" t="s">
        <v>5</v>
      </c>
      <c r="H134" s="1" t="s">
        <v>6</v>
      </c>
      <c r="I134" s="1" t="s">
        <v>7</v>
      </c>
      <c r="J134" s="1" t="s">
        <v>8</v>
      </c>
      <c r="K134" s="1" t="s">
        <v>9</v>
      </c>
      <c r="L134" s="1" t="s">
        <v>10</v>
      </c>
      <c r="M134" s="1" t="s">
        <v>11</v>
      </c>
      <c r="N134" s="1" t="s">
        <v>12</v>
      </c>
      <c r="O134" s="1" t="s">
        <v>13</v>
      </c>
      <c r="P134" s="1" t="s">
        <v>14</v>
      </c>
      <c r="Q134" s="1" t="s">
        <v>15</v>
      </c>
      <c r="R134" s="1" t="s">
        <v>16</v>
      </c>
      <c r="S134" s="23"/>
      <c r="Y134" t="str">
        <f>IF(V136=R10, "Benar", "Salah")</f>
        <v>Benar</v>
      </c>
      <c r="Z134" s="2"/>
    </row>
    <row r="135" spans="1:26" x14ac:dyDescent="0.35">
      <c r="A135" t="s">
        <v>39</v>
      </c>
      <c r="B135" t="str">
        <f>IF(A10&lt;=25, "Muda", IF(A10&lt;=40, "Dewasa", "Tua"))</f>
        <v>Tua</v>
      </c>
      <c r="C135" t="str">
        <f>IF(B10&lt;=2, "Sedikit", IF(B10&lt;=5, "Sedang", "Banyak"))</f>
        <v>Sedikit</v>
      </c>
      <c r="D135" t="str">
        <f>IF(C10&lt;=16, "Sangat Muda", IF(C10&lt;=20, "Muda", "Dewasa"))</f>
        <v>Muda</v>
      </c>
      <c r="E135" t="str">
        <f>IF(D10&lt;=1, "Rendah", IF(D10&lt;=4, "Sedang", "Tinggi"))</f>
        <v>Tinggi</v>
      </c>
      <c r="F135">
        <v>0</v>
      </c>
      <c r="G135" t="str">
        <f>IF(F10=0, "Tidak Merokok", IF(F10&lt;=5, "Perokok Baru", IF(F10&lt;=15, "Perokok Sedang", "Perokok Lama")))</f>
        <v>Tidak Merokok</v>
      </c>
      <c r="H135" t="str">
        <f>IF(G10=0, "Tidak Merokok", IF(G10&lt;=0.5, "Perokok Ringan", IF(G10&lt;=1.5, "Perokok Sedang", "Perokok Berat")))</f>
        <v>Tidak Merokok</v>
      </c>
      <c r="I135">
        <v>0</v>
      </c>
      <c r="J135" t="str">
        <f>IF(I10=0, "Tidak Menggunakan HC", IF(I10&lt;=1, "Pengguna Baru", IF(I10&lt;=5, "Pengguna Jangka Menengah", "Pengguna Jangka Panjang")))</f>
        <v>Tidak Menggunakan HC</v>
      </c>
      <c r="K135">
        <v>0</v>
      </c>
      <c r="L135" t="str">
        <f>IF(K10=0, "Tidak Menggunakan IUD", "Pengguna IUD")</f>
        <v>Tidak Menggunakan IUD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 s="15" t="s">
        <v>76</v>
      </c>
      <c r="V135" s="15" t="s">
        <v>77</v>
      </c>
      <c r="Y135" t="str">
        <f>IF(V140=R11, "Benar", "Salah")</f>
        <v>Benar</v>
      </c>
    </row>
    <row r="136" spans="1:26" x14ac:dyDescent="0.35">
      <c r="A136" t="s">
        <v>40</v>
      </c>
      <c r="B136">
        <f>VLOOKUP(B135, $A$37:$C$39, 2, FALSE)</f>
        <v>0.5</v>
      </c>
      <c r="C136">
        <f>VLOOKUP(C135, A42:C44, 2, FALSE)</f>
        <v>0.25</v>
      </c>
      <c r="D136">
        <f>VLOOKUP(D135, $A$47:$C$49, 2, FALSE)</f>
        <v>0.5</v>
      </c>
      <c r="E136">
        <f>VLOOKUP(E135, $A$52:$C$54, 2, FALSE)</f>
        <v>0.5</v>
      </c>
      <c r="F136">
        <f>VLOOKUP(F$135, $A$57:$C$58, 2, FALSE)</f>
        <v>0.33333333333333331</v>
      </c>
      <c r="G136">
        <f>VLOOKUP(G$135, $A$61:$C$64, 2, FALSE)</f>
        <v>0.2</v>
      </c>
      <c r="H136">
        <f>VLOOKUP(H$135, $A$67:$C$70, 2, FALSE)</f>
        <v>0.2</v>
      </c>
      <c r="I136">
        <f>VLOOKUP(I$135, $A$73:$C$74, 2, FALSE)</f>
        <v>0.66666666666666663</v>
      </c>
      <c r="J136">
        <f>VLOOKUP(J$135, $A$77:$C$80, 2, FALSE)</f>
        <v>0.4</v>
      </c>
      <c r="K136">
        <f>VLOOKUP(K$135, $A$83:$C$84, 2, FALSE)</f>
        <v>0.33333333333333331</v>
      </c>
      <c r="L136">
        <f>VLOOKUP(L$135, $A$87:$C$88, 2, FALSE)</f>
        <v>0.33333333333333331</v>
      </c>
      <c r="M136">
        <f>VLOOKUP(M$135, $A$91:$C$92, 2, FALSE)</f>
        <v>0.66666666666666663</v>
      </c>
      <c r="N136">
        <f>VLOOKUP(N$135, $A$95:$C$99, 2, FALSE)</f>
        <v>0.33333333333333331</v>
      </c>
      <c r="O136">
        <f>VLOOKUP(O$135, $A$102:$C$105, 2, FALSE)</f>
        <v>0.4</v>
      </c>
      <c r="P136">
        <f>VLOOKUP(P$135, $A$108:$C$109, 2, FALSE)</f>
        <v>0.33333333333333331</v>
      </c>
      <c r="Q136">
        <f>VLOOKUP(Q$135, $A$112:$C$113, 2, FALSE)</f>
        <v>0.33333333333333331</v>
      </c>
      <c r="R136">
        <f>VLOOKUP(R$135, $A$116:$C$117, 2, FALSE)</f>
        <v>0.66666666666666663</v>
      </c>
      <c r="T136" s="24">
        <f>$C$32 * PRODUCT(B136:R136)</f>
        <v>1.0161052685058169E-8</v>
      </c>
      <c r="V136">
        <f>IF(T136&gt;T137, 1, 0)</f>
        <v>0</v>
      </c>
    </row>
    <row r="137" spans="1:26" x14ac:dyDescent="0.35">
      <c r="A137" t="s">
        <v>75</v>
      </c>
      <c r="B137">
        <f>VLOOKUP(B135, $A$37:$C$39, 3, FALSE)</f>
        <v>0.4</v>
      </c>
      <c r="C137">
        <f>VLOOKUP(C135, A$42:C$44, 3, FALSE)</f>
        <v>0.4</v>
      </c>
      <c r="D137">
        <f>VLOOKUP(D135, $A$47:$C$49, 3, FALSE)</f>
        <v>0.2</v>
      </c>
      <c r="E137">
        <f>VLOOKUP(E135, $A$52:$C$54, 3, FALSE)</f>
        <v>0.1</v>
      </c>
      <c r="F137">
        <f>VLOOKUP(F$135, $A$57:$C$58, 3, FALSE)</f>
        <v>0.77777777777777779</v>
      </c>
      <c r="G137">
        <f>VLOOKUP(G$135, $A$61:$C$64, 3, FALSE)</f>
        <v>0.63636363636363635</v>
      </c>
      <c r="H137">
        <f>VLOOKUP(H$135, $A$67:$C$70, 3, FALSE)</f>
        <v>0.63636363636363635</v>
      </c>
      <c r="I137">
        <f>VLOOKUP(I$135, $A$73:$C$74, 3, FALSE)</f>
        <v>0.55555555555555558</v>
      </c>
      <c r="J137">
        <f>VLOOKUP(J$135, $A$77:$C$80, 3, FALSE)</f>
        <v>0.45454545454545453</v>
      </c>
      <c r="K137">
        <f>VLOOKUP(K$135, $A$83:$C$84, 3, FALSE)</f>
        <v>0.77777777777777779</v>
      </c>
      <c r="L137">
        <f>VLOOKUP(L$135, $A$87:$C$88, 3, FALSE)</f>
        <v>0.77777777777777779</v>
      </c>
      <c r="M137">
        <f>VLOOKUP(M$135, $A$91:$C$92, 3, FALSE)</f>
        <v>0.88888888888888884</v>
      </c>
      <c r="N137">
        <f>VLOOKUP(N$135, $A$95:$C$99, 3, FALSE)</f>
        <v>0.66666666666666663</v>
      </c>
      <c r="O137">
        <f>VLOOKUP(O$135, $A$102:$C$105, 3, FALSE)</f>
        <v>0.72727272727272729</v>
      </c>
      <c r="P137">
        <f>VLOOKUP(P$135, $A$108:$C$109, 3, FALSE)</f>
        <v>0.88888888888888884</v>
      </c>
      <c r="Q137">
        <f>VLOOKUP(Q$135, $A$112:$C$113, 3, FALSE)</f>
        <v>0.88888888888888884</v>
      </c>
      <c r="R137">
        <f>VLOOKUP(R$135, $A$116:$C$117, 3, FALSE)</f>
        <v>0.88888888888888884</v>
      </c>
      <c r="T137" s="24">
        <f>$C$33 * PRODUCT(B137:R137)</f>
        <v>4.0778955701576967E-5</v>
      </c>
    </row>
    <row r="138" spans="1:26" x14ac:dyDescent="0.35">
      <c r="T138" s="10"/>
      <c r="Y138" s="25" t="s">
        <v>79</v>
      </c>
    </row>
    <row r="139" spans="1:26" x14ac:dyDescent="0.35">
      <c r="A139" t="s">
        <v>78</v>
      </c>
      <c r="B139" t="str">
        <f>IF(A11&lt;=25, "Muda", IF(A11&lt;=40, "Dewasa", "Tua"))</f>
        <v>Tua</v>
      </c>
      <c r="C139" t="str">
        <f>IF(B11&lt;=2, "Sedikit", IF(B11&lt;=5, "Sedang", "Banyak"))</f>
        <v>Sedang</v>
      </c>
      <c r="D139" t="str">
        <f>IF(C11&lt;=16, "Sangat Muda", IF(C11&lt;=20, "Muda", "Dewasa"))</f>
        <v>Sangat Muda</v>
      </c>
      <c r="E139" t="str">
        <f>IF(D11&lt;=1, "Rendah", IF(D11&lt;=4, "Sedang", "Tinggi"))</f>
        <v>Sedang</v>
      </c>
      <c r="F139">
        <v>0</v>
      </c>
      <c r="G139" t="str">
        <f>IF(F11=0, "Tidak Merokok", IF(F11&lt;=5, "Perokok Baru", IF(F11&lt;=15, "Perokok Sedang", "Perokok Lama")))</f>
        <v>Perokok Baru</v>
      </c>
      <c r="H139" t="str">
        <f>IF(G11=0, "Tidak Merokok", IF(G11&lt;=0.5, "Perokok Ringan", IF(G11&lt;=1.5, "Perokok Sedang", "Perokok Berat")))</f>
        <v>Perokok Berat</v>
      </c>
      <c r="I139">
        <v>0</v>
      </c>
      <c r="J139" t="str">
        <f>IF(I11=0, "Tidak Menggunakan HC", IF(I11&lt;=1, "Pengguna Baru", IF(I11&lt;=5, "Pengguna Jangka Menengah", "Pengguna Jangka Panjang")))</f>
        <v>Tidak Menggunakan HC</v>
      </c>
      <c r="K139">
        <v>0</v>
      </c>
      <c r="L139" t="str">
        <f>IF(K11=0, "Tidak Menggunakan IUD", "Pengguna IUD")</f>
        <v>Tidak Menggunakan IUD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 s="15" t="s">
        <v>76</v>
      </c>
      <c r="V139" s="14" t="s">
        <v>77</v>
      </c>
      <c r="Y139" s="27">
        <f>COUNTIF(Y134:Y135, "Benar") / 2</f>
        <v>1</v>
      </c>
    </row>
    <row r="140" spans="1:26" x14ac:dyDescent="0.35">
      <c r="A140" t="s">
        <v>40</v>
      </c>
      <c r="B140">
        <f>VLOOKUP(B$139, $A$37:$C$39, 2, FALSE)</f>
        <v>0.5</v>
      </c>
      <c r="C140">
        <f>VLOOKUP(C139, $A$42:$C$44, 2, FALSE)</f>
        <v>0.5</v>
      </c>
      <c r="D140">
        <f>VLOOKUP(D139, $A$47:$C$49, 2, FALSE)</f>
        <v>0.25</v>
      </c>
      <c r="E140">
        <f>VLOOKUP(E139, $A$52:$C$54, 2, FALSE)</f>
        <v>0.25</v>
      </c>
      <c r="F140">
        <f>VLOOKUP(F139, $A$57:$C$58, 2, FALSE)</f>
        <v>0.33333333333333331</v>
      </c>
      <c r="G140">
        <f>VLOOKUP(G$139, $A$61:$C$64, 2, FALSE)</f>
        <v>0.2</v>
      </c>
      <c r="H140">
        <f>VLOOKUP(H$139, $A$67:$C$70, 2, FALSE)</f>
        <v>0.4</v>
      </c>
      <c r="I140">
        <f>VLOOKUP(I$139, $A$73:$C$74, 2, FALSE)</f>
        <v>0.66666666666666663</v>
      </c>
      <c r="J140">
        <f>VLOOKUP(J$139, $A$77:$C$80, 2, FALSE)</f>
        <v>0.4</v>
      </c>
      <c r="K140">
        <f>VLOOKUP(K$139, $A$83:$C$84, 2, FALSE)</f>
        <v>0.33333333333333331</v>
      </c>
      <c r="L140">
        <f>VLOOKUP(L$139, $A$87:$C$88, 2, FALSE)</f>
        <v>0.33333333333333331</v>
      </c>
      <c r="M140">
        <f>VLOOKUP(M$139, $A$91:$C$92, 2, FALSE)</f>
        <v>0.66666666666666663</v>
      </c>
      <c r="N140">
        <f>VLOOKUP(N$139, $A$95:$C$99, 2, FALSE)</f>
        <v>0.33333333333333331</v>
      </c>
      <c r="O140">
        <f>VLOOKUP(O$139, $A$102:$C$105, 2, FALSE)</f>
        <v>0.4</v>
      </c>
      <c r="P140">
        <f>VLOOKUP(P$139, $A$108:$C$109, 2, FALSE)</f>
        <v>0.33333333333333331</v>
      </c>
      <c r="Q140">
        <f>VLOOKUP(Q$139, $A$112:$C$113, 2, FALSE)</f>
        <v>0.33333333333333331</v>
      </c>
      <c r="R140">
        <f>VLOOKUP(R$139, $A$116:$C$117, 2, FALSE)</f>
        <v>0.66666666666666663</v>
      </c>
      <c r="T140" s="24">
        <f>C32 * PRODUCT(B140:R140)</f>
        <v>1.0161052685058169E-8</v>
      </c>
      <c r="V140">
        <f>IF(T140&gt;T141, 1, 0)</f>
        <v>0</v>
      </c>
    </row>
    <row r="141" spans="1:26" x14ac:dyDescent="0.35">
      <c r="A141" t="s">
        <v>75</v>
      </c>
      <c r="B141">
        <f>VLOOKUP(B139, $A$37:$C$39, 3, FALSE)</f>
        <v>0.4</v>
      </c>
      <c r="C141">
        <f>VLOOKUP(C139, A$42:C$44, 3, FALSE)</f>
        <v>0.5</v>
      </c>
      <c r="D141">
        <f>VLOOKUP(D139, $A$47:$C$49, 3, FALSE)</f>
        <v>0.4</v>
      </c>
      <c r="E141">
        <f>VLOOKUP(E139, $A$52:$C$54, 3, FALSE)</f>
        <v>0.5</v>
      </c>
      <c r="F141">
        <f>VLOOKUP(F$139, $A$57:$C$58, 3, FALSE)</f>
        <v>0.77777777777777779</v>
      </c>
      <c r="G141">
        <f>VLOOKUP(G$139, $A$61:$C$64, 3, FALSE)</f>
        <v>9.0909090909090912E-2</v>
      </c>
      <c r="H141">
        <f>VLOOKUP(H$139, $A$67:$C$70, 3, FALSE)</f>
        <v>0.18181818181818182</v>
      </c>
      <c r="I141">
        <f>VLOOKUP(I$139, $A$73:$C$74, 3, FALSE)</f>
        <v>0.55555555555555558</v>
      </c>
      <c r="J141">
        <f>VLOOKUP(J$139, $A$77:$C$80, 3, FALSE)</f>
        <v>0.45454545454545453</v>
      </c>
      <c r="K141">
        <f>VLOOKUP(K$139, $A$83:$C$84, 3, FALSE)</f>
        <v>0.77777777777777779</v>
      </c>
      <c r="L141">
        <f>VLOOKUP(L$139, $A$87:$C$88, 3, FALSE)</f>
        <v>0.77777777777777779</v>
      </c>
      <c r="M141">
        <f>VLOOKUP(M$139, $A$91:$C$92, 3, FALSE)</f>
        <v>0.88888888888888884</v>
      </c>
      <c r="N141">
        <f>VLOOKUP(N139, $A$95:$C$99, 3, FALSE)</f>
        <v>0.66666666666666663</v>
      </c>
      <c r="O141">
        <f>VLOOKUP(O$139, $A$102:$C$105, 3, FALSE)</f>
        <v>0.72727272727272729</v>
      </c>
      <c r="P141">
        <f>VLOOKUP(P$139, $A$108:$C$109, 3, FALSE)</f>
        <v>0.88888888888888884</v>
      </c>
      <c r="Q141">
        <f>VLOOKUP(Q$139, $A$112:$C$113, 3, FALSE)</f>
        <v>0.88888888888888884</v>
      </c>
      <c r="R141">
        <f>VLOOKUP(R$139, $A$116:$C$117, 3, FALSE)</f>
        <v>0.88888888888888884</v>
      </c>
      <c r="T141" s="24">
        <f>$C$33 * PRODUCT(B141:R141)</f>
        <v>2.0805589643661722E-5</v>
      </c>
    </row>
  </sheetData>
  <mergeCells count="33">
    <mergeCell ref="A35:C35"/>
    <mergeCell ref="A40:C40"/>
    <mergeCell ref="A133:R133"/>
    <mergeCell ref="A110:C110"/>
    <mergeCell ref="A114:C114"/>
    <mergeCell ref="A106:C106"/>
    <mergeCell ref="A100:C100"/>
    <mergeCell ref="A93:C93"/>
    <mergeCell ref="A81:C81"/>
    <mergeCell ref="A85:C85"/>
    <mergeCell ref="A89:C89"/>
    <mergeCell ref="A75:C75"/>
    <mergeCell ref="F69:G69"/>
    <mergeCell ref="F70:G70"/>
    <mergeCell ref="F71:G71"/>
    <mergeCell ref="A71:C71"/>
    <mergeCell ref="F65:G65"/>
    <mergeCell ref="F66:G66"/>
    <mergeCell ref="F67:G67"/>
    <mergeCell ref="F68:G68"/>
    <mergeCell ref="A59:C59"/>
    <mergeCell ref="A65:C65"/>
    <mergeCell ref="A50:C50"/>
    <mergeCell ref="A45:C45"/>
    <mergeCell ref="A55:C55"/>
    <mergeCell ref="C13:C15"/>
    <mergeCell ref="E13:E15"/>
    <mergeCell ref="G13:G15"/>
    <mergeCell ref="A32:B32"/>
    <mergeCell ref="A33:B33"/>
    <mergeCell ref="A34:C34"/>
    <mergeCell ref="A31:C31"/>
    <mergeCell ref="A13:A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adzin Naufal ansori</dc:creator>
  <cp:lastModifiedBy>Muhammad adzin Naufal ansori</cp:lastModifiedBy>
  <dcterms:created xsi:type="dcterms:W3CDTF">2025-06-07T23:39:06Z</dcterms:created>
  <dcterms:modified xsi:type="dcterms:W3CDTF">2025-06-08T11:49:55Z</dcterms:modified>
</cp:coreProperties>
</file>