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wan\Documents\"/>
    </mc:Choice>
  </mc:AlternateContent>
  <xr:revisionPtr revIDLastSave="0" documentId="13_ncr:1_{2D77076D-E45A-42A5-AB17-ABEBA27A9BF7}" xr6:coauthVersionLast="47" xr6:coauthVersionMax="47" xr10:uidLastSave="{00000000-0000-0000-0000-000000000000}"/>
  <bookViews>
    <workbookView xWindow="-108" yWindow="-108" windowWidth="23256" windowHeight="12576" activeTab="4" xr2:uid="{8EAA32BF-0149-4E50-8B1E-2A9EA7C1B670}"/>
  </bookViews>
  <sheets>
    <sheet name="SECURITIES" sheetId="12" r:id="rId1"/>
    <sheet name="TRADING DATA &amp; STATS" sheetId="13" r:id="rId2"/>
    <sheet name="REGRESSION | CAPM" sheetId="3" r:id="rId3"/>
    <sheet name="DCF" sheetId="14" r:id="rId4"/>
    <sheet name="COMPS" sheetId="15" r:id="rId5"/>
    <sheet name="FOOTBALL FIELD" sheetId="1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" i="15" l="1"/>
  <c r="D16" i="15"/>
  <c r="C16" i="15"/>
  <c r="B16" i="15"/>
  <c r="D13" i="15"/>
  <c r="D12" i="15"/>
  <c r="D11" i="15"/>
  <c r="C11" i="15"/>
  <c r="C13" i="15"/>
  <c r="C12" i="15"/>
  <c r="B13" i="15"/>
  <c r="B12" i="15"/>
  <c r="B11" i="15"/>
  <c r="C7" i="15"/>
  <c r="D7" i="15"/>
  <c r="B7" i="15"/>
  <c r="K51" i="14"/>
  <c r="K53" i="14" s="1"/>
  <c r="K47" i="14"/>
  <c r="C46" i="14"/>
  <c r="C45" i="14"/>
  <c r="D45" i="14" s="1"/>
  <c r="E45" i="14" s="1"/>
  <c r="F45" i="14" s="1"/>
  <c r="G45" i="14" s="1"/>
  <c r="K48" i="14" s="1"/>
  <c r="K49" i="14" s="1"/>
  <c r="B41" i="14"/>
  <c r="B40" i="14"/>
  <c r="B39" i="14"/>
  <c r="B38" i="14"/>
  <c r="B37" i="14"/>
  <c r="B34" i="14"/>
  <c r="B33" i="14"/>
  <c r="B32" i="14"/>
  <c r="B31" i="14"/>
  <c r="B29" i="14"/>
  <c r="B27" i="14"/>
  <c r="B21" i="14"/>
  <c r="B17" i="14"/>
  <c r="B16" i="14"/>
  <c r="B11" i="14"/>
  <c r="B10" i="14"/>
  <c r="G5" i="15" s="1"/>
  <c r="B9" i="14"/>
  <c r="B8" i="14"/>
  <c r="B7" i="14"/>
  <c r="B6" i="14"/>
  <c r="A3" i="14"/>
  <c r="E1" i="3"/>
  <c r="A2" i="15"/>
  <c r="O8" i="3"/>
  <c r="T8" i="13"/>
  <c r="U8" i="13"/>
  <c r="O13" i="3"/>
  <c r="O6" i="13"/>
  <c r="F6" i="1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5" i="3"/>
  <c r="U7" i="13"/>
  <c r="T7" i="13"/>
  <c r="U6" i="13"/>
  <c r="T6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30" i="13"/>
  <c r="U31" i="13"/>
  <c r="U32" i="13"/>
  <c r="U33" i="13"/>
  <c r="U34" i="13"/>
  <c r="U35" i="13"/>
  <c r="U36" i="13"/>
  <c r="U37" i="13"/>
  <c r="U38" i="13"/>
  <c r="U39" i="13"/>
  <c r="U40" i="13"/>
  <c r="U41" i="13"/>
  <c r="U42" i="13"/>
  <c r="U43" i="13"/>
  <c r="U44" i="13"/>
  <c r="U45" i="13"/>
  <c r="U46" i="13"/>
  <c r="U47" i="13"/>
  <c r="U48" i="13"/>
  <c r="U49" i="13"/>
  <c r="U50" i="13"/>
  <c r="U51" i="13"/>
  <c r="U52" i="13"/>
  <c r="U53" i="13"/>
  <c r="U54" i="13"/>
  <c r="U55" i="13"/>
  <c r="U56" i="13"/>
  <c r="U57" i="13"/>
  <c r="U58" i="13"/>
  <c r="U59" i="13"/>
  <c r="U60" i="13"/>
  <c r="U61" i="13"/>
  <c r="U62" i="13"/>
  <c r="U63" i="13"/>
  <c r="U64" i="13"/>
  <c r="U65" i="13"/>
  <c r="U66" i="13"/>
  <c r="U67" i="13"/>
  <c r="U68" i="13"/>
  <c r="U69" i="13"/>
  <c r="U70" i="13"/>
  <c r="U71" i="13"/>
  <c r="U12" i="13"/>
  <c r="T12" i="13"/>
  <c r="T13" i="13"/>
  <c r="T14" i="13"/>
  <c r="T15" i="13"/>
  <c r="T16" i="13"/>
  <c r="T17" i="13"/>
  <c r="T18" i="13"/>
  <c r="T19" i="13"/>
  <c r="T20" i="13"/>
  <c r="T21" i="13"/>
  <c r="T22" i="13"/>
  <c r="T23" i="13"/>
  <c r="T24" i="13"/>
  <c r="T25" i="13"/>
  <c r="T26" i="13"/>
  <c r="T27" i="13"/>
  <c r="T28" i="13"/>
  <c r="T29" i="13"/>
  <c r="T30" i="13"/>
  <c r="T31" i="13"/>
  <c r="T32" i="13"/>
  <c r="T33" i="13"/>
  <c r="T34" i="13"/>
  <c r="T35" i="13"/>
  <c r="T36" i="13"/>
  <c r="T37" i="13"/>
  <c r="T38" i="13"/>
  <c r="T39" i="13"/>
  <c r="T40" i="13"/>
  <c r="T41" i="13"/>
  <c r="T42" i="13"/>
  <c r="T43" i="13"/>
  <c r="T44" i="13"/>
  <c r="T45" i="13"/>
  <c r="T46" i="13"/>
  <c r="T47" i="13"/>
  <c r="T48" i="13"/>
  <c r="T49" i="13"/>
  <c r="T50" i="13"/>
  <c r="T51" i="13"/>
  <c r="T52" i="13"/>
  <c r="T53" i="13"/>
  <c r="T54" i="13"/>
  <c r="T55" i="13"/>
  <c r="T56" i="13"/>
  <c r="T57" i="13"/>
  <c r="T58" i="13"/>
  <c r="T59" i="13"/>
  <c r="T60" i="13"/>
  <c r="T61" i="13"/>
  <c r="T62" i="13"/>
  <c r="T63" i="13"/>
  <c r="T64" i="13"/>
  <c r="T65" i="13"/>
  <c r="T66" i="13"/>
  <c r="T67" i="13"/>
  <c r="T68" i="13"/>
  <c r="T69" i="13"/>
  <c r="T70" i="13"/>
  <c r="T71" i="13"/>
  <c r="F7" i="13"/>
  <c r="L7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AB10" i="13"/>
  <c r="Z10" i="13"/>
  <c r="Z9" i="13"/>
  <c r="X7" i="13"/>
  <c r="X10" i="13"/>
  <c r="X9" i="13"/>
  <c r="R7" i="13"/>
  <c r="O7" i="13"/>
  <c r="I7" i="13"/>
  <c r="I6" i="13"/>
  <c r="R6" i="13"/>
  <c r="C7" i="13"/>
  <c r="C6" i="13"/>
  <c r="R14" i="13"/>
  <c r="R15" i="13"/>
  <c r="R16" i="13"/>
  <c r="R17" i="13"/>
  <c r="R18" i="13"/>
  <c r="R19" i="13"/>
  <c r="R20" i="13"/>
  <c r="R21" i="13"/>
  <c r="R22" i="13"/>
  <c r="R23" i="13"/>
  <c r="R24" i="13"/>
  <c r="R25" i="13"/>
  <c r="R26" i="13"/>
  <c r="R27" i="13"/>
  <c r="R28" i="13"/>
  <c r="R29" i="13"/>
  <c r="R30" i="13"/>
  <c r="R31" i="13"/>
  <c r="R32" i="13"/>
  <c r="R33" i="13"/>
  <c r="R34" i="13"/>
  <c r="R35" i="13"/>
  <c r="R36" i="13"/>
  <c r="R37" i="13"/>
  <c r="R38" i="13"/>
  <c r="R39" i="13"/>
  <c r="R40" i="13"/>
  <c r="R41" i="13"/>
  <c r="R42" i="13"/>
  <c r="R43" i="13"/>
  <c r="R44" i="13"/>
  <c r="R45" i="13"/>
  <c r="R46" i="13"/>
  <c r="R47" i="13"/>
  <c r="R48" i="13"/>
  <c r="R49" i="13"/>
  <c r="R50" i="13"/>
  <c r="R51" i="13"/>
  <c r="R52" i="13"/>
  <c r="R53" i="13"/>
  <c r="R54" i="13"/>
  <c r="R55" i="13"/>
  <c r="R56" i="13"/>
  <c r="R57" i="13"/>
  <c r="R58" i="13"/>
  <c r="R59" i="13"/>
  <c r="R60" i="13"/>
  <c r="R61" i="13"/>
  <c r="R62" i="13"/>
  <c r="R63" i="13"/>
  <c r="R64" i="13"/>
  <c r="R65" i="13"/>
  <c r="R66" i="13"/>
  <c r="R67" i="13"/>
  <c r="R68" i="13"/>
  <c r="R69" i="13"/>
  <c r="R70" i="13"/>
  <c r="R71" i="13"/>
  <c r="R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O66" i="13"/>
  <c r="O67" i="13"/>
  <c r="O68" i="13"/>
  <c r="O69" i="13"/>
  <c r="O70" i="13"/>
  <c r="O71" i="13"/>
  <c r="O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13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47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C71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13" i="13"/>
  <c r="C4" i="3"/>
  <c r="A64" i="3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" i="3"/>
  <c r="B13" i="14"/>
  <c r="B12" i="14"/>
  <c r="Q4" i="13"/>
  <c r="W10" i="13" s="1"/>
  <c r="Q3" i="13"/>
  <c r="N4" i="13"/>
  <c r="W9" i="13" s="1"/>
  <c r="N3" i="13"/>
  <c r="K4" i="13"/>
  <c r="W8" i="13" s="1"/>
  <c r="K3" i="13"/>
  <c r="H4" i="13"/>
  <c r="W7" i="13" s="1"/>
  <c r="H3" i="13"/>
  <c r="E4" i="13"/>
  <c r="W6" i="13" s="1"/>
  <c r="E3" i="13"/>
  <c r="B4" i="13"/>
  <c r="X4" i="13" s="1"/>
  <c r="B3" i="13"/>
  <c r="K55" i="14" l="1"/>
  <c r="G46" i="14" s="1"/>
  <c r="X8" i="13"/>
  <c r="Z8" i="13"/>
  <c r="AA9" i="13"/>
  <c r="AA10" i="13"/>
  <c r="L6" i="13"/>
  <c r="Y10" i="13"/>
  <c r="Y9" i="13"/>
  <c r="X6" i="13"/>
  <c r="Y7" i="13"/>
  <c r="Y8" i="13"/>
  <c r="Y4" i="13"/>
  <c r="AA4" i="13"/>
  <c r="AC4" i="13"/>
  <c r="W5" i="13"/>
  <c r="Z4" i="13"/>
  <c r="AB4" i="13"/>
  <c r="A60" i="13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13" i="13" l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G9" i="15"/>
  <c r="G8" i="15"/>
  <c r="G7" i="15"/>
  <c r="G6" i="15"/>
  <c r="G4" i="15"/>
  <c r="C47" i="14" l="1"/>
  <c r="C48" i="14" s="1"/>
  <c r="D47" i="14" l="1"/>
  <c r="D48" i="14" s="1"/>
  <c r="E4" i="16"/>
  <c r="F4" i="16" s="1"/>
  <c r="G4" i="16" s="1"/>
  <c r="H4" i="16" s="1"/>
  <c r="I4" i="16" s="1"/>
  <c r="J4" i="16" s="1"/>
  <c r="K4" i="16" s="1"/>
  <c r="L4" i="16" s="1"/>
  <c r="M4" i="16" s="1"/>
  <c r="N4" i="16" s="1"/>
  <c r="O4" i="16" s="1"/>
  <c r="P4" i="16" s="1"/>
  <c r="Q4" i="16" s="1"/>
  <c r="R4" i="16" s="1"/>
  <c r="S4" i="16" s="1"/>
  <c r="T4" i="16" s="1"/>
  <c r="U4" i="16" s="1"/>
  <c r="V4" i="16" s="1"/>
  <c r="W4" i="16" s="1"/>
  <c r="X4" i="16" s="1"/>
  <c r="C44" i="14"/>
  <c r="D44" i="14" s="1"/>
  <c r="E44" i="14" s="1"/>
  <c r="F44" i="14" s="1"/>
  <c r="G44" i="14" s="1"/>
  <c r="E47" i="14" l="1"/>
  <c r="E48" i="14" s="1"/>
  <c r="F47" i="14" l="1"/>
  <c r="F48" i="14" s="1"/>
  <c r="G47" i="14" l="1"/>
  <c r="G48" i="14" s="1"/>
  <c r="B49" i="14" s="1"/>
  <c r="B50" i="14" s="1"/>
  <c r="B51" i="14" s="1"/>
  <c r="B52" i="14" s="1"/>
</calcChain>
</file>

<file path=xl/sharedStrings.xml><?xml version="1.0" encoding="utf-8"?>
<sst xmlns="http://schemas.openxmlformats.org/spreadsheetml/2006/main" count="241" uniqueCount="167">
  <si>
    <t>DATE</t>
  </si>
  <si>
    <r>
      <t>E(r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) = r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+ </t>
    </r>
    <r>
      <rPr>
        <sz val="11"/>
        <color theme="1"/>
        <rFont val="Calibri"/>
        <family val="2"/>
      </rPr>
      <t>β[E(r</t>
    </r>
    <r>
      <rPr>
        <vertAlign val="subscript"/>
        <sz val="11"/>
        <color theme="1"/>
        <rFont val="Calibri"/>
        <family val="2"/>
      </rPr>
      <t>m</t>
    </r>
    <r>
      <rPr>
        <sz val="11"/>
        <color theme="1"/>
        <rFont val="Calibri"/>
        <family val="2"/>
      </rPr>
      <t>) - r</t>
    </r>
    <r>
      <rPr>
        <vertAlign val="subscript"/>
        <sz val="11"/>
        <color theme="1"/>
        <rFont val="Calibri"/>
        <family val="2"/>
      </rPr>
      <t>f</t>
    </r>
    <r>
      <rPr>
        <sz val="11"/>
        <color theme="1"/>
        <rFont val="Calibri"/>
        <family val="2"/>
      </rPr>
      <t>]</t>
    </r>
    <r>
      <rPr>
        <sz val="11"/>
        <color theme="1"/>
        <rFont val="Calibri"/>
        <family val="2"/>
        <scheme val="minor"/>
      </rPr>
      <t xml:space="preserve"> </t>
    </r>
  </si>
  <si>
    <t>CAPM</t>
  </si>
  <si>
    <t>Beta Estimate</t>
  </si>
  <si>
    <t>Single-factor Pricing Analysis / CAPM</t>
  </si>
  <si>
    <t>Security / Market Profiles</t>
  </si>
  <si>
    <t>Student name:</t>
  </si>
  <si>
    <t>LT Risk-free Security</t>
  </si>
  <si>
    <t>Market Index</t>
  </si>
  <si>
    <t>Ticker</t>
  </si>
  <si>
    <r>
      <t>LT Expected Return E(r</t>
    </r>
    <r>
      <rPr>
        <vertAlign val="sub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)</t>
    </r>
  </si>
  <si>
    <t>Source</t>
  </si>
  <si>
    <t>Security #1</t>
  </si>
  <si>
    <t>Exchange</t>
  </si>
  <si>
    <t>Share Price</t>
  </si>
  <si>
    <t>Market Value of Equity ($MMs)</t>
  </si>
  <si>
    <t>Shares Outstanding (MMs)</t>
  </si>
  <si>
    <t>Beta</t>
  </si>
  <si>
    <t>Enterprise Value ($MMs)</t>
  </si>
  <si>
    <t>Revenue ($MMs)</t>
  </si>
  <si>
    <t>EBITDA ($MMs)</t>
  </si>
  <si>
    <t>5-yr EPS Growth Rate Projection</t>
  </si>
  <si>
    <t>Security #2</t>
  </si>
  <si>
    <t>Security #3</t>
  </si>
  <si>
    <t>Security #4</t>
  </si>
  <si>
    <t>Security #5</t>
  </si>
  <si>
    <t>Trading Data and Statistical Analysis</t>
  </si>
  <si>
    <t>Correlation Matrix</t>
  </si>
  <si>
    <t>Summary Stats:</t>
  </si>
  <si>
    <t>AVERAGE</t>
  </si>
  <si>
    <t>STDEV</t>
  </si>
  <si>
    <t>SHARPE RATIO</t>
  </si>
  <si>
    <t>Trading Data:</t>
  </si>
  <si>
    <t>Date</t>
  </si>
  <si>
    <t>% Return</t>
  </si>
  <si>
    <t>Adj Close</t>
  </si>
  <si>
    <t>Discounted Cash Flow Analysis</t>
  </si>
  <si>
    <t>Current Price and Market Data</t>
  </si>
  <si>
    <t>LT US Treasury Yield (risk-free rate)</t>
  </si>
  <si>
    <t>US Equity Market Expected Return</t>
  </si>
  <si>
    <t>Interest Expense ($MMs)</t>
  </si>
  <si>
    <t>Average Cost of Debt (%)</t>
  </si>
  <si>
    <t>Capital Spending ($MMs)</t>
  </si>
  <si>
    <t>Working Capital Growth ($MMs)</t>
  </si>
  <si>
    <r>
      <t>Market Capitalization Rate (</t>
    </r>
    <r>
      <rPr>
        <i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)</t>
    </r>
  </si>
  <si>
    <t>Total Capitalization (Debt + Market Value of Equity)($MMs)</t>
  </si>
  <si>
    <t>Debt as a % of Total Capitalization</t>
  </si>
  <si>
    <t>Equity as a % of Total Capitalization</t>
  </si>
  <si>
    <t>Weighted Average Cost of Capital (WACC)</t>
  </si>
  <si>
    <t>EBIT x (1 - t)</t>
  </si>
  <si>
    <t>plus: Depreciation &amp; Amortization</t>
  </si>
  <si>
    <t>less: CapEx</t>
  </si>
  <si>
    <t>less: Δ in Working Capital</t>
  </si>
  <si>
    <r>
      <t>FCF</t>
    </r>
    <r>
      <rPr>
        <vertAlign val="subscript"/>
        <sz val="11"/>
        <color theme="1"/>
        <rFont val="Calibri"/>
        <family val="2"/>
        <scheme val="minor"/>
      </rPr>
      <t>1</t>
    </r>
  </si>
  <si>
    <r>
      <t>FCF</t>
    </r>
    <r>
      <rPr>
        <vertAlign val="subscript"/>
        <sz val="11"/>
        <color theme="1"/>
        <rFont val="Calibri"/>
        <family val="2"/>
        <scheme val="minor"/>
      </rPr>
      <t>2</t>
    </r>
  </si>
  <si>
    <r>
      <t>FCF</t>
    </r>
    <r>
      <rPr>
        <vertAlign val="subscript"/>
        <sz val="11"/>
        <color theme="1"/>
        <rFont val="Calibri"/>
        <family val="2"/>
        <scheme val="minor"/>
      </rPr>
      <t>3</t>
    </r>
  </si>
  <si>
    <r>
      <t>FCF</t>
    </r>
    <r>
      <rPr>
        <vertAlign val="subscript"/>
        <sz val="11"/>
        <color theme="1"/>
        <rFont val="Calibri"/>
        <family val="2"/>
        <scheme val="minor"/>
      </rPr>
      <t>4</t>
    </r>
  </si>
  <si>
    <r>
      <t>FCF</t>
    </r>
    <r>
      <rPr>
        <vertAlign val="subscript"/>
        <sz val="11"/>
        <color theme="1"/>
        <rFont val="Calibri"/>
        <family val="2"/>
        <scheme val="minor"/>
      </rPr>
      <t>5</t>
    </r>
  </si>
  <si>
    <t>FCFF Growth Rate</t>
  </si>
  <si>
    <t>Terminal Value Estimates</t>
  </si>
  <si>
    <t>Projected FCFF ($MMs)</t>
  </si>
  <si>
    <t>Perpetuity of CF Method</t>
  </si>
  <si>
    <t>2026 Terminal Enterprise Value ($MMs)</t>
  </si>
  <si>
    <t xml:space="preserve">    ROE</t>
  </si>
  <si>
    <t>Total Annual Cash Flow ($MMs)</t>
  </si>
  <si>
    <r>
      <t xml:space="preserve">    Plowback Ratio (</t>
    </r>
    <r>
      <rPr>
        <i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) (1 - Payout %)</t>
    </r>
  </si>
  <si>
    <r>
      <t xml:space="preserve">    Sustainable Growth Rate (</t>
    </r>
    <r>
      <rPr>
        <i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)</t>
    </r>
  </si>
  <si>
    <t>Intrinsic Equity Value ($MMs)</t>
  </si>
  <si>
    <t>Intrinsic Price per share</t>
  </si>
  <si>
    <t>Multiple of Terminal EBITDA</t>
  </si>
  <si>
    <t>% Current Share Price Undervalued / (Overvalued)</t>
  </si>
  <si>
    <t>Comparables Analysis</t>
  </si>
  <si>
    <t>Comps</t>
  </si>
  <si>
    <t>Price / Sales (TTM)</t>
  </si>
  <si>
    <t>EV / EBITDA (TTM)</t>
  </si>
  <si>
    <t xml:space="preserve">    AVERAGE</t>
  </si>
  <si>
    <t>price per share</t>
  </si>
  <si>
    <t>Implied Price based on:</t>
  </si>
  <si>
    <t>Price Earnings</t>
  </si>
  <si>
    <t>Price / Sales</t>
  </si>
  <si>
    <t>EV / EBITDA</t>
  </si>
  <si>
    <t xml:space="preserve">    Average</t>
  </si>
  <si>
    <t>sales per share</t>
  </si>
  <si>
    <t xml:space="preserve">    High</t>
  </si>
  <si>
    <t xml:space="preserve">    Low</t>
  </si>
  <si>
    <t>Estimate Range</t>
  </si>
  <si>
    <t>Low-end</t>
  </si>
  <si>
    <t>High-end</t>
  </si>
  <si>
    <t>Average</t>
  </si>
  <si>
    <t>% U / (O) -valued</t>
  </si>
  <si>
    <t>SUMMARY</t>
  </si>
  <si>
    <t>Valuation Method</t>
  </si>
  <si>
    <t>Price Range</t>
  </si>
  <si>
    <t>Comparable Company Analysis</t>
  </si>
  <si>
    <t>Discounted Free Cash Flow</t>
  </si>
  <si>
    <t>Estimated Fair Value Range</t>
  </si>
  <si>
    <t>Equity Valuation Summary</t>
  </si>
  <si>
    <t>Depreciation &amp; Amortization ($MMs)</t>
  </si>
  <si>
    <t>($MMs)</t>
  </si>
  <si>
    <t>PV of Annual Cash Flows ($MMs)</t>
  </si>
  <si>
    <t>Total Enterprise Value ($MMs)</t>
  </si>
  <si>
    <r>
      <t xml:space="preserve">    FCF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(</t>
    </r>
    <r>
      <rPr>
        <i/>
        <sz val="11"/>
        <color theme="1"/>
        <rFont val="Calibri"/>
        <family val="2"/>
        <scheme val="minor"/>
      </rPr>
      <t>FCF</t>
    </r>
    <r>
      <rPr>
        <i/>
        <vertAlign val="subscript"/>
        <sz val="11"/>
        <color theme="1"/>
        <rFont val="Calibri"/>
        <family val="2"/>
        <scheme val="minor"/>
      </rPr>
      <t>5</t>
    </r>
    <r>
      <rPr>
        <i/>
        <sz val="11"/>
        <color theme="1"/>
        <rFont val="Calibri"/>
        <family val="2"/>
        <scheme val="minor"/>
      </rPr>
      <t xml:space="preserve"> x [1 + g]</t>
    </r>
    <r>
      <rPr>
        <sz val="11"/>
        <color theme="1"/>
        <rFont val="Calibri"/>
        <family val="2"/>
        <scheme val="minor"/>
      </rPr>
      <t>) ($MMs)</t>
    </r>
  </si>
  <si>
    <t xml:space="preserve">    Terminal Value Estimate ($MMs)</t>
  </si>
  <si>
    <t xml:space="preserve">    Terminal EBITDA ($MMs)</t>
  </si>
  <si>
    <t>Average Terminal Value Estimate ($MMs)</t>
  </si>
  <si>
    <t>% Yield</t>
  </si>
  <si>
    <t>Beta (published)</t>
  </si>
  <si>
    <t>Revenue (latest FYE, $MMs)</t>
  </si>
  <si>
    <t>EBITDA (latest FYE, $MMs)</t>
  </si>
  <si>
    <t>Excess Returns</t>
  </si>
  <si>
    <t xml:space="preserve">    Current EV/EBITDA Multiple</t>
  </si>
  <si>
    <t>Quick Company Data Reference</t>
  </si>
  <si>
    <t>shares outstanding (MMs)</t>
  </si>
  <si>
    <t>total debt ($MMs)</t>
  </si>
  <si>
    <t>EBIT ($MMs)</t>
  </si>
  <si>
    <t>Revenue per share</t>
  </si>
  <si>
    <t>Price / Earnings (forward)</t>
  </si>
  <si>
    <r>
      <t>WEIGHT P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</si>
  <si>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WEIGHT P</t>
    </r>
    <r>
      <rPr>
        <b/>
        <vertAlign val="subscript"/>
        <sz val="11"/>
        <color theme="1"/>
        <rFont val="Calibri"/>
        <family val="2"/>
        <scheme val="minor"/>
      </rPr>
      <t>2</t>
    </r>
  </si>
  <si>
    <t>T-Bill Yield</t>
  </si>
  <si>
    <t>PORTFOLIOS (annualized)</t>
  </si>
  <si>
    <r>
      <t>P</t>
    </r>
    <r>
      <rPr>
        <b/>
        <u/>
        <vertAlign val="subscript"/>
        <sz val="11"/>
        <color theme="1"/>
        <rFont val="Calibri"/>
        <family val="2"/>
        <scheme val="minor"/>
      </rPr>
      <t>1</t>
    </r>
    <r>
      <rPr>
        <b/>
        <u/>
        <sz val="11"/>
        <color theme="1"/>
        <rFont val="Calibri"/>
        <family val="2"/>
        <scheme val="minor"/>
      </rPr>
      <t xml:space="preserve"> (low </t>
    </r>
    <r>
      <rPr>
        <b/>
        <u/>
        <sz val="11"/>
        <color theme="1"/>
        <rFont val="Calibri"/>
        <family val="2"/>
      </rPr>
      <t>ρ)</t>
    </r>
  </si>
  <si>
    <r>
      <t>P</t>
    </r>
    <r>
      <rPr>
        <b/>
        <u/>
        <vertAlign val="subscript"/>
        <sz val="11"/>
        <color theme="1"/>
        <rFont val="Calibri"/>
        <family val="2"/>
        <scheme val="minor"/>
      </rPr>
      <t>2</t>
    </r>
    <r>
      <rPr>
        <b/>
        <u/>
        <sz val="11"/>
        <color theme="1"/>
        <rFont val="Calibri"/>
        <family val="2"/>
        <scheme val="minor"/>
      </rPr>
      <t xml:space="preserve"> (high </t>
    </r>
    <r>
      <rPr>
        <b/>
        <u/>
        <sz val="11"/>
        <color theme="1"/>
        <rFont val="Calibri"/>
        <family val="2"/>
      </rPr>
      <t>ρ)</t>
    </r>
  </si>
  <si>
    <t>3-yr Historical Revenue Growth Rate</t>
  </si>
  <si>
    <t>earnings per share (forward)</t>
  </si>
  <si>
    <t>Additional Financial Information (FY22, or, most recent FY)</t>
  </si>
  <si>
    <t>Net Debt ($MMs)</t>
  </si>
  <si>
    <t>Forward EPS</t>
  </si>
  <si>
    <t>Forward P/E</t>
  </si>
  <si>
    <t>Company Name (Exchange:Ticker)</t>
  </si>
  <si>
    <t xml:space="preserve"> $## / share</t>
  </si>
  <si>
    <t>$## / share</t>
  </si>
  <si>
    <t>Current share price: $##</t>
  </si>
  <si>
    <t>$##/share differential (##% discount to intrinsic value)</t>
  </si>
  <si>
    <t>$## - $##</t>
  </si>
  <si>
    <t>Date of Data Retrieval</t>
  </si>
  <si>
    <t>Net Debt (latest quarter-end, $MMs)</t>
  </si>
  <si>
    <t>Effective Tax Rate</t>
  </si>
  <si>
    <t>Rowan Hiner</t>
  </si>
  <si>
    <t>J &amp; J Snack Foods Corp</t>
  </si>
  <si>
    <t>Korn Ferry</t>
  </si>
  <si>
    <t xml:space="preserve">Advanced Energy Industries, Inc. </t>
  </si>
  <si>
    <t>AEIS</t>
  </si>
  <si>
    <t>ASO</t>
  </si>
  <si>
    <t xml:space="preserve">Academy Sports and Outdoors Inc </t>
  </si>
  <si>
    <t>EDR</t>
  </si>
  <si>
    <t>JJSF</t>
  </si>
  <si>
    <t>KFY</t>
  </si>
  <si>
    <t>NasdaqGS</t>
  </si>
  <si>
    <t>US 10-year Treasury Note</t>
  </si>
  <si>
    <t>NYSE</t>
  </si>
  <si>
    <t xml:space="preserve"> NasdaqGS</t>
  </si>
  <si>
    <t>S&amp;P 500</t>
  </si>
  <si>
    <t>^GSPC</t>
  </si>
  <si>
    <t>JP Morgan LT Capital Markets Assumptions</t>
  </si>
  <si>
    <t xml:space="preserve">Endeavor Group Holdings Inc </t>
  </si>
  <si>
    <t>Skechers USA Inc</t>
  </si>
  <si>
    <t>SKX</t>
  </si>
  <si>
    <t>Crocs, Inc.</t>
  </si>
  <si>
    <t>CROX</t>
  </si>
  <si>
    <r>
      <t>E(r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) = </t>
    </r>
    <r>
      <rPr>
        <i/>
        <sz val="11"/>
        <color rgb="FFFF0000"/>
        <rFont val="Calibri"/>
        <family val="2"/>
        <scheme val="minor"/>
      </rPr>
      <t>T-Bill Yield+β 5yr ​×(LT Expected Return−T-Bill Yield)</t>
    </r>
  </si>
  <si>
    <t>Annualized 3-year return JJSF</t>
  </si>
  <si>
    <t>Advanced Energy Industries, Inc. (NasdaqGS:AEIS)</t>
  </si>
  <si>
    <t>Total FCFF (TTM)</t>
  </si>
  <si>
    <t>John B. Sanfilippo &amp; Son, Inc. (NasdaqGS:JBSS)</t>
  </si>
  <si>
    <t>Lancaster Colony Corporation (NasdaqGS:LANC)</t>
  </si>
  <si>
    <t>TreeHouse Foods, Inc. (NYSE:THS)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</si>
</sst>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0.0%"/>
    <numFmt numFmtId="166" formatCode="[$-409]d\-mmm\-yy;@"/>
    <numFmt numFmtId="167" formatCode="_(&quot;$&quot;* #,##0_);_(&quot;$&quot;* \(#,##0\);_(&quot;$&quot;* &quot;-&quot;??_);_(@_)"/>
    <numFmt numFmtId="168" formatCode="_(* #,##0_);_(* \(#,##0\);_(* &quot;-&quot;??_);_(@_)"/>
    <numFmt numFmtId="169" formatCode="0.0\x"/>
    <numFmt numFmtId="170" formatCode="_(* #,##0.0_);_(* \(#,##0.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u/>
      <vertAlign val="subscript"/>
      <sz val="11"/>
      <color theme="1"/>
      <name val="Calibri"/>
      <family val="2"/>
      <scheme val="minor"/>
    </font>
    <font>
      <b/>
      <u/>
      <sz val="11"/>
      <color theme="1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3" fillId="0" borderId="0" applyNumberFormat="0" applyFill="0" applyBorder="0" applyAlignment="0" applyProtection="0"/>
  </cellStyleXfs>
  <cellXfs count="172">
    <xf numFmtId="0" fontId="0" fillId="0" borderId="0" xfId="0"/>
    <xf numFmtId="165" fontId="0" fillId="0" borderId="0" xfId="1" applyNumberFormat="1" applyFont="1"/>
    <xf numFmtId="10" fontId="0" fillId="0" borderId="0" xfId="1" applyNumberFormat="1" applyFont="1"/>
    <xf numFmtId="0" fontId="2" fillId="0" borderId="0" xfId="0" applyFont="1"/>
    <xf numFmtId="0" fontId="3" fillId="0" borderId="0" xfId="0" applyFont="1" applyAlignment="1">
      <alignment horizontal="right"/>
    </xf>
    <xf numFmtId="10" fontId="0" fillId="0" borderId="1" xfId="1" applyNumberFormat="1" applyFont="1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0" fontId="0" fillId="0" borderId="0" xfId="1" applyNumberFormat="1" applyFont="1" applyBorder="1" applyAlignment="1">
      <alignment horizontal="right"/>
    </xf>
    <xf numFmtId="43" fontId="0" fillId="0" borderId="0" xfId="2" applyFont="1"/>
    <xf numFmtId="44" fontId="0" fillId="0" borderId="0" xfId="3" applyFont="1"/>
    <xf numFmtId="10" fontId="0" fillId="0" borderId="0" xfId="1" applyNumberFormat="1" applyFont="1" applyBorder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/>
    <xf numFmtId="0" fontId="0" fillId="0" borderId="2" xfId="0" applyBorder="1"/>
    <xf numFmtId="44" fontId="2" fillId="0" borderId="0" xfId="3" applyFont="1" applyBorder="1" applyAlignment="1">
      <alignment horizontal="center"/>
    </xf>
    <xf numFmtId="0" fontId="7" fillId="0" borderId="0" xfId="0" applyFont="1" applyAlignment="1">
      <alignment horizontal="right"/>
    </xf>
    <xf numFmtId="10" fontId="1" fillId="0" borderId="0" xfId="1" applyNumberFormat="1" applyFont="1" applyBorder="1" applyAlignment="1">
      <alignment horizontal="right"/>
    </xf>
    <xf numFmtId="164" fontId="2" fillId="0" borderId="0" xfId="0" applyNumberFormat="1" applyFont="1" applyAlignment="1">
      <alignment horizontal="right"/>
    </xf>
    <xf numFmtId="10" fontId="1" fillId="0" borderId="1" xfId="1" applyNumberFormat="1" applyFont="1" applyBorder="1" applyAlignment="1">
      <alignment horizontal="right"/>
    </xf>
    <xf numFmtId="44" fontId="2" fillId="0" borderId="0" xfId="3" applyFont="1" applyBorder="1" applyAlignment="1">
      <alignment horizontal="right"/>
    </xf>
    <xf numFmtId="43" fontId="1" fillId="0" borderId="1" xfId="2" applyFont="1" applyBorder="1" applyAlignment="1">
      <alignment horizontal="center"/>
    </xf>
    <xf numFmtId="43" fontId="1" fillId="0" borderId="0" xfId="2" applyFont="1" applyBorder="1" applyAlignment="1">
      <alignment horizontal="right"/>
    </xf>
    <xf numFmtId="43" fontId="2" fillId="0" borderId="0" xfId="2" applyFont="1" applyBorder="1" applyAlignment="1">
      <alignment horizontal="center"/>
    </xf>
    <xf numFmtId="164" fontId="7" fillId="0" borderId="0" xfId="0" applyNumberFormat="1" applyFont="1" applyAlignment="1">
      <alignment horizontal="left"/>
    </xf>
    <xf numFmtId="43" fontId="7" fillId="0" borderId="0" xfId="2" applyFont="1" applyAlignment="1">
      <alignment horizontal="right"/>
    </xf>
    <xf numFmtId="44" fontId="7" fillId="0" borderId="0" xfId="3" applyFont="1" applyAlignment="1">
      <alignment horizontal="right"/>
    </xf>
    <xf numFmtId="0" fontId="0" fillId="0" borderId="0" xfId="0" applyAlignment="1">
      <alignment horizontal="right"/>
    </xf>
    <xf numFmtId="10" fontId="0" fillId="0" borderId="1" xfId="0" applyNumberFormat="1" applyBorder="1"/>
    <xf numFmtId="165" fontId="0" fillId="0" borderId="0" xfId="0" applyNumberFormat="1"/>
    <xf numFmtId="0" fontId="2" fillId="0" borderId="1" xfId="0" applyFont="1" applyBorder="1"/>
    <xf numFmtId="0" fontId="2" fillId="0" borderId="6" xfId="0" applyFont="1" applyBorder="1"/>
    <xf numFmtId="0" fontId="0" fillId="0" borderId="6" xfId="0" applyBorder="1" applyAlignment="1">
      <alignment horizontal="right"/>
    </xf>
    <xf numFmtId="44" fontId="0" fillId="0" borderId="3" xfId="3" applyFont="1" applyBorder="1" applyAlignment="1">
      <alignment horizontal="right"/>
    </xf>
    <xf numFmtId="44" fontId="0" fillId="0" borderId="1" xfId="3" applyFont="1" applyBorder="1" applyAlignment="1">
      <alignment horizontal="right"/>
    </xf>
    <xf numFmtId="43" fontId="0" fillId="0" borderId="1" xfId="2" applyFont="1" applyBorder="1" applyAlignment="1">
      <alignment horizontal="right"/>
    </xf>
    <xf numFmtId="165" fontId="0" fillId="0" borderId="0" xfId="1" applyNumberFormat="1" applyFont="1" applyAlignment="1">
      <alignment horizontal="right"/>
    </xf>
    <xf numFmtId="165" fontId="2" fillId="0" borderId="6" xfId="1" applyNumberFormat="1" applyFont="1" applyBorder="1"/>
    <xf numFmtId="165" fontId="0" fillId="0" borderId="6" xfId="1" applyNumberFormat="1" applyFont="1" applyBorder="1" applyAlignment="1">
      <alignment horizontal="right"/>
    </xf>
    <xf numFmtId="165" fontId="0" fillId="0" borderId="0" xfId="1" applyNumberFormat="1" applyFont="1" applyFill="1" applyBorder="1"/>
    <xf numFmtId="165" fontId="0" fillId="0" borderId="0" xfId="1" applyNumberFormat="1" applyFont="1" applyAlignment="1">
      <alignment vertical="center"/>
    </xf>
    <xf numFmtId="0" fontId="0" fillId="0" borderId="1" xfId="0" applyBorder="1"/>
    <xf numFmtId="8" fontId="0" fillId="0" borderId="1" xfId="0" applyNumberFormat="1" applyBorder="1"/>
    <xf numFmtId="8" fontId="0" fillId="0" borderId="0" xfId="0" applyNumberFormat="1"/>
    <xf numFmtId="3" fontId="0" fillId="0" borderId="0" xfId="0" applyNumberFormat="1"/>
    <xf numFmtId="14" fontId="0" fillId="0" borderId="0" xfId="0" applyNumberFormat="1"/>
    <xf numFmtId="0" fontId="2" fillId="0" borderId="6" xfId="0" applyFont="1" applyBorder="1" applyAlignment="1">
      <alignment horizontal="right" wrapText="1"/>
    </xf>
    <xf numFmtId="0" fontId="2" fillId="0" borderId="3" xfId="0" applyFont="1" applyBorder="1"/>
    <xf numFmtId="43" fontId="0" fillId="0" borderId="3" xfId="2" applyFont="1" applyBorder="1" applyAlignment="1">
      <alignment horizontal="right"/>
    </xf>
    <xf numFmtId="43" fontId="0" fillId="0" borderId="0" xfId="2" applyFont="1" applyBorder="1" applyAlignment="1">
      <alignment horizontal="right"/>
    </xf>
    <xf numFmtId="43" fontId="2" fillId="0" borderId="6" xfId="2" applyFont="1" applyBorder="1" applyAlignment="1">
      <alignment horizontal="right" wrapText="1"/>
    </xf>
    <xf numFmtId="43" fontId="0" fillId="0" borderId="0" xfId="0" applyNumberFormat="1" applyAlignment="1">
      <alignment horizontal="right"/>
    </xf>
    <xf numFmtId="43" fontId="0" fillId="0" borderId="0" xfId="2" applyFont="1" applyFill="1" applyAlignment="1">
      <alignment horizontal="right"/>
    </xf>
    <xf numFmtId="0" fontId="2" fillId="0" borderId="6" xfId="0" applyFont="1" applyBorder="1" applyAlignment="1">
      <alignment horizontal="center"/>
    </xf>
    <xf numFmtId="44" fontId="0" fillId="0" borderId="3" xfId="3" applyFont="1" applyBorder="1" applyAlignment="1">
      <alignment horizontal="center"/>
    </xf>
    <xf numFmtId="44" fontId="2" fillId="0" borderId="3" xfId="3" applyFont="1" applyBorder="1" applyAlignment="1">
      <alignment horizontal="center"/>
    </xf>
    <xf numFmtId="165" fontId="2" fillId="0" borderId="3" xfId="1" applyNumberFormat="1" applyFont="1" applyBorder="1" applyAlignment="1"/>
    <xf numFmtId="0" fontId="11" fillId="0" borderId="0" xfId="0" applyFont="1"/>
    <xf numFmtId="0" fontId="12" fillId="0" borderId="0" xfId="0" applyFont="1"/>
    <xf numFmtId="170" fontId="12" fillId="0" borderId="0" xfId="2" applyNumberFormat="1" applyFont="1" applyAlignment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12" xfId="0" applyFont="1" applyBorder="1"/>
    <xf numFmtId="0" fontId="2" fillId="0" borderId="13" xfId="0" applyFont="1" applyBorder="1"/>
    <xf numFmtId="0" fontId="2" fillId="0" borderId="8" xfId="0" applyFont="1" applyBorder="1"/>
    <xf numFmtId="0" fontId="2" fillId="0" borderId="4" xfId="0" applyFont="1" applyBorder="1"/>
    <xf numFmtId="0" fontId="0" fillId="0" borderId="14" xfId="0" applyBorder="1"/>
    <xf numFmtId="0" fontId="0" fillId="0" borderId="15" xfId="0" applyBorder="1"/>
    <xf numFmtId="0" fontId="0" fillId="3" borderId="0" xfId="0" applyFill="1"/>
    <xf numFmtId="0" fontId="0" fillId="0" borderId="4" xfId="0" applyBorder="1"/>
    <xf numFmtId="0" fontId="8" fillId="0" borderId="0" xfId="0" applyFont="1"/>
    <xf numFmtId="0" fontId="13" fillId="0" borderId="12" xfId="0" applyFont="1" applyBorder="1"/>
    <xf numFmtId="0" fontId="13" fillId="0" borderId="13" xfId="0" applyFont="1" applyBorder="1"/>
    <xf numFmtId="0" fontId="0" fillId="0" borderId="16" xfId="0" applyBorder="1"/>
    <xf numFmtId="0" fontId="12" fillId="0" borderId="10" xfId="0" applyFont="1" applyBorder="1"/>
    <xf numFmtId="0" fontId="14" fillId="0" borderId="0" xfId="0" applyFont="1"/>
    <xf numFmtId="0" fontId="15" fillId="0" borderId="0" xfId="0" applyFont="1"/>
    <xf numFmtId="44" fontId="0" fillId="0" borderId="3" xfId="3" applyFont="1" applyFill="1" applyBorder="1" applyAlignment="1">
      <alignment horizontal="right"/>
    </xf>
    <xf numFmtId="44" fontId="0" fillId="0" borderId="1" xfId="3" applyFont="1" applyFill="1" applyBorder="1" applyAlignment="1">
      <alignment horizontal="right"/>
    </xf>
    <xf numFmtId="10" fontId="0" fillId="0" borderId="17" xfId="1" applyNumberFormat="1" applyFont="1" applyBorder="1" applyAlignment="1">
      <alignment horizontal="right"/>
    </xf>
    <xf numFmtId="0" fontId="2" fillId="0" borderId="17" xfId="0" applyFont="1" applyBorder="1" applyAlignment="1">
      <alignment horizontal="right"/>
    </xf>
    <xf numFmtId="0" fontId="0" fillId="0" borderId="17" xfId="0" applyBorder="1" applyAlignment="1">
      <alignment horizontal="right"/>
    </xf>
    <xf numFmtId="44" fontId="0" fillId="0" borderId="17" xfId="3" applyFont="1" applyBorder="1" applyAlignment="1">
      <alignment horizontal="right"/>
    </xf>
    <xf numFmtId="168" fontId="0" fillId="0" borderId="17" xfId="2" applyNumberFormat="1" applyFont="1" applyBorder="1" applyAlignment="1">
      <alignment horizontal="right"/>
    </xf>
    <xf numFmtId="43" fontId="0" fillId="0" borderId="17" xfId="2" applyFont="1" applyBorder="1" applyAlignment="1">
      <alignment horizontal="right"/>
    </xf>
    <xf numFmtId="166" fontId="0" fillId="0" borderId="0" xfId="0" applyNumberFormat="1" applyAlignment="1">
      <alignment horizontal="left"/>
    </xf>
    <xf numFmtId="10" fontId="0" fillId="0" borderId="0" xfId="0" applyNumberFormat="1"/>
    <xf numFmtId="0" fontId="16" fillId="0" borderId="0" xfId="0" applyFont="1"/>
    <xf numFmtId="166" fontId="0" fillId="0" borderId="0" xfId="0" applyNumberFormat="1" applyAlignment="1">
      <alignment horizontal="right"/>
    </xf>
    <xf numFmtId="0" fontId="3" fillId="0" borderId="3" xfId="0" applyFont="1" applyBorder="1" applyAlignment="1">
      <alignment horizontal="right"/>
    </xf>
    <xf numFmtId="0" fontId="0" fillId="0" borderId="1" xfId="0" applyBorder="1" applyAlignment="1">
      <alignment horizontal="right"/>
    </xf>
    <xf numFmtId="43" fontId="9" fillId="0" borderId="18" xfId="2" applyFont="1" applyBorder="1" applyAlignment="1">
      <alignment horizontal="right"/>
    </xf>
    <xf numFmtId="43" fontId="2" fillId="0" borderId="17" xfId="2" applyFont="1" applyBorder="1" applyAlignment="1">
      <alignment horizontal="right"/>
    </xf>
    <xf numFmtId="0" fontId="2" fillId="0" borderId="17" xfId="0" applyFont="1" applyBorder="1"/>
    <xf numFmtId="9" fontId="0" fillId="0" borderId="0" xfId="1" applyFont="1" applyAlignment="1">
      <alignment horizontal="right"/>
    </xf>
    <xf numFmtId="2" fontId="0" fillId="0" borderId="0" xfId="2" quotePrefix="1" applyNumberFormat="1" applyFont="1" applyAlignment="1">
      <alignment horizontal="center" vertical="center"/>
    </xf>
    <xf numFmtId="2" fontId="0" fillId="0" borderId="1" xfId="2" applyNumberFormat="1" applyFont="1" applyBorder="1" applyAlignment="1">
      <alignment horizontal="center" vertical="center"/>
    </xf>
    <xf numFmtId="9" fontId="2" fillId="0" borderId="0" xfId="1" applyFont="1" applyBorder="1" applyAlignment="1">
      <alignment horizontal="right"/>
    </xf>
    <xf numFmtId="9" fontId="1" fillId="0" borderId="1" xfId="1" applyFont="1" applyBorder="1" applyAlignment="1">
      <alignment horizontal="right"/>
    </xf>
    <xf numFmtId="9" fontId="2" fillId="0" borderId="0" xfId="1" applyFont="1" applyAlignment="1">
      <alignment horizontal="right"/>
    </xf>
    <xf numFmtId="170" fontId="0" fillId="0" borderId="1" xfId="2" applyNumberFormat="1" applyFont="1" applyBorder="1" applyAlignment="1">
      <alignment horizontal="right"/>
    </xf>
    <xf numFmtId="2" fontId="0" fillId="0" borderId="1" xfId="2" applyNumberFormat="1" applyFont="1" applyFill="1" applyBorder="1" applyAlignment="1">
      <alignment horizontal="center" vertical="center"/>
    </xf>
    <xf numFmtId="170" fontId="0" fillId="0" borderId="1" xfId="2" applyNumberFormat="1" applyFont="1" applyFill="1" applyBorder="1" applyAlignment="1">
      <alignment horizontal="right"/>
    </xf>
    <xf numFmtId="0" fontId="20" fillId="0" borderId="6" xfId="0" applyFont="1" applyBorder="1"/>
    <xf numFmtId="168" fontId="21" fillId="0" borderId="6" xfId="2" applyNumberFormat="1" applyFont="1" applyBorder="1"/>
    <xf numFmtId="170" fontId="0" fillId="0" borderId="3" xfId="2" applyNumberFormat="1" applyFont="1" applyFill="1" applyBorder="1" applyAlignment="1">
      <alignment horizontal="right"/>
    </xf>
    <xf numFmtId="10" fontId="0" fillId="0" borderId="1" xfId="1" applyNumberFormat="1" applyFont="1" applyFill="1" applyBorder="1" applyAlignment="1">
      <alignment horizontal="right"/>
    </xf>
    <xf numFmtId="43" fontId="0" fillId="0" borderId="0" xfId="0" applyNumberFormat="1"/>
    <xf numFmtId="168" fontId="0" fillId="0" borderId="0" xfId="0" applyNumberFormat="1"/>
    <xf numFmtId="168" fontId="0" fillId="0" borderId="0" xfId="2" applyNumberFormat="1" applyFont="1" applyFill="1" applyAlignment="1">
      <alignment horizontal="right"/>
    </xf>
    <xf numFmtId="10" fontId="0" fillId="0" borderId="1" xfId="1" applyNumberFormat="1" applyFont="1" applyFill="1" applyBorder="1" applyAlignment="1">
      <alignment horizontal="right" vertical="center"/>
    </xf>
    <xf numFmtId="165" fontId="0" fillId="0" borderId="0" xfId="1" applyNumberFormat="1" applyFont="1" applyFill="1"/>
    <xf numFmtId="165" fontId="0" fillId="0" borderId="0" xfId="1" applyNumberFormat="1" applyFont="1" applyFill="1" applyAlignment="1">
      <alignment horizontal="right"/>
    </xf>
    <xf numFmtId="0" fontId="7" fillId="0" borderId="0" xfId="2" applyNumberFormat="1" applyFont="1" applyFill="1" applyAlignment="1">
      <alignment horizontal="right"/>
    </xf>
    <xf numFmtId="170" fontId="9" fillId="0" borderId="1" xfId="2" applyNumberFormat="1" applyFont="1" applyFill="1" applyBorder="1" applyAlignment="1">
      <alignment horizontal="right"/>
    </xf>
    <xf numFmtId="44" fontId="0" fillId="0" borderId="0" xfId="3" applyFont="1" applyFill="1" applyBorder="1" applyAlignment="1">
      <alignment horizontal="right"/>
    </xf>
    <xf numFmtId="0" fontId="7" fillId="0" borderId="0" xfId="0" applyFont="1"/>
    <xf numFmtId="170" fontId="0" fillId="0" borderId="1" xfId="0" applyNumberFormat="1" applyBorder="1"/>
    <xf numFmtId="165" fontId="0" fillId="0" borderId="1" xfId="1" applyNumberFormat="1" applyFont="1" applyFill="1" applyBorder="1"/>
    <xf numFmtId="0" fontId="7" fillId="0" borderId="0" xfId="0" quotePrefix="1" applyFont="1" applyAlignment="1">
      <alignment horizontal="right"/>
    </xf>
    <xf numFmtId="168" fontId="7" fillId="0" borderId="1" xfId="0" applyNumberFormat="1" applyFont="1" applyBorder="1"/>
    <xf numFmtId="10" fontId="0" fillId="0" borderId="1" xfId="1" applyNumberFormat="1" applyFont="1" applyFill="1" applyBorder="1"/>
    <xf numFmtId="170" fontId="0" fillId="0" borderId="1" xfId="2" applyNumberFormat="1" applyFont="1" applyFill="1" applyBorder="1"/>
    <xf numFmtId="168" fontId="0" fillId="0" borderId="1" xfId="2" applyNumberFormat="1" applyFont="1" applyFill="1" applyBorder="1" applyAlignment="1">
      <alignment horizontal="right"/>
    </xf>
    <xf numFmtId="168" fontId="0" fillId="0" borderId="1" xfId="2" applyNumberFormat="1" applyFont="1" applyFill="1" applyBorder="1"/>
    <xf numFmtId="168" fontId="2" fillId="0" borderId="0" xfId="0" applyNumberFormat="1" applyFont="1"/>
    <xf numFmtId="168" fontId="0" fillId="0" borderId="7" xfId="0" applyNumberFormat="1" applyBorder="1"/>
    <xf numFmtId="44" fontId="2" fillId="0" borderId="1" xfId="3" applyFont="1" applyFill="1" applyBorder="1" applyAlignment="1">
      <alignment horizontal="right"/>
    </xf>
    <xf numFmtId="10" fontId="2" fillId="0" borderId="1" xfId="1" applyNumberFormat="1" applyFont="1" applyFill="1" applyBorder="1" applyAlignment="1">
      <alignment horizontal="right"/>
    </xf>
    <xf numFmtId="169" fontId="0" fillId="0" borderId="1" xfId="0" applyNumberFormat="1" applyBorder="1"/>
    <xf numFmtId="4" fontId="0" fillId="0" borderId="1" xfId="0" applyNumberFormat="1" applyBorder="1"/>
    <xf numFmtId="2" fontId="0" fillId="0" borderId="3" xfId="2" applyNumberFormat="1" applyFont="1" applyBorder="1" applyAlignment="1">
      <alignment horizontal="center"/>
    </xf>
    <xf numFmtId="2" fontId="0" fillId="0" borderId="3" xfId="2" applyNumberFormat="1" applyFont="1" applyFill="1" applyBorder="1" applyAlignment="1">
      <alignment horizontal="center"/>
    </xf>
    <xf numFmtId="170" fontId="0" fillId="0" borderId="20" xfId="0" applyNumberFormat="1" applyBorder="1"/>
    <xf numFmtId="170" fontId="0" fillId="0" borderId="7" xfId="0" applyNumberForma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66" fontId="0" fillId="0" borderId="17" xfId="0" applyNumberFormat="1" applyBorder="1" applyAlignment="1">
      <alignment horizontal="right"/>
    </xf>
    <xf numFmtId="0" fontId="0" fillId="0" borderId="0" xfId="0" applyAlignment="1">
      <alignment vertical="center"/>
    </xf>
    <xf numFmtId="2" fontId="0" fillId="0" borderId="25" xfId="2" quotePrefix="1" applyNumberFormat="1" applyFont="1" applyBorder="1" applyAlignment="1">
      <alignment horizontal="center" vertical="center"/>
    </xf>
    <xf numFmtId="2" fontId="0" fillId="2" borderId="0" xfId="2" applyNumberFormat="1" applyFont="1" applyFill="1" applyBorder="1" applyAlignment="1">
      <alignment horizontal="center"/>
    </xf>
    <xf numFmtId="2" fontId="0" fillId="0" borderId="27" xfId="2" quotePrefix="1" applyNumberFormat="1" applyFont="1" applyBorder="1" applyAlignment="1">
      <alignment horizontal="center" vertical="center"/>
    </xf>
    <xf numFmtId="9" fontId="1" fillId="0" borderId="27" xfId="1" applyFont="1" applyBorder="1" applyAlignment="1">
      <alignment horizontal="right"/>
    </xf>
    <xf numFmtId="9" fontId="0" fillId="0" borderId="0" xfId="1" applyFont="1" applyBorder="1" applyAlignment="1">
      <alignment horizontal="right"/>
    </xf>
    <xf numFmtId="0" fontId="3" fillId="0" borderId="25" xfId="0" applyFont="1" applyBorder="1" applyAlignment="1">
      <alignment horizontal="right"/>
    </xf>
    <xf numFmtId="10" fontId="0" fillId="0" borderId="27" xfId="1" applyNumberFormat="1" applyFont="1" applyBorder="1" applyAlignment="1">
      <alignment horizontal="right"/>
    </xf>
    <xf numFmtId="167" fontId="1" fillId="0" borderId="1" xfId="3" applyNumberFormat="1" applyFont="1" applyFill="1" applyBorder="1"/>
    <xf numFmtId="44" fontId="0" fillId="4" borderId="1" xfId="3" applyFont="1" applyFill="1" applyBorder="1" applyAlignment="1">
      <alignment horizontal="right"/>
    </xf>
    <xf numFmtId="0" fontId="2" fillId="0" borderId="26" xfId="3" applyNumberFormat="1" applyFont="1" applyBorder="1" applyAlignment="1">
      <alignment horizontal="center"/>
    </xf>
    <xf numFmtId="0" fontId="2" fillId="0" borderId="24" xfId="3" applyNumberFormat="1" applyFont="1" applyBorder="1" applyAlignment="1">
      <alignment horizontal="center"/>
    </xf>
    <xf numFmtId="0" fontId="2" fillId="0" borderId="24" xfId="2" applyNumberFormat="1" applyFont="1" applyFill="1" applyBorder="1" applyAlignment="1">
      <alignment horizontal="center" vertical="center"/>
    </xf>
    <xf numFmtId="0" fontId="2" fillId="0" borderId="0" xfId="3" applyNumberFormat="1" applyFont="1" applyBorder="1" applyAlignment="1">
      <alignment horizontal="center"/>
    </xf>
    <xf numFmtId="165" fontId="22" fillId="0" borderId="19" xfId="1" applyNumberFormat="1" applyFont="1" applyBorder="1"/>
    <xf numFmtId="44" fontId="0" fillId="0" borderId="0" xfId="3" applyFont="1" applyBorder="1"/>
    <xf numFmtId="168" fontId="0" fillId="0" borderId="0" xfId="2" applyNumberFormat="1" applyFont="1" applyBorder="1"/>
    <xf numFmtId="0" fontId="23" fillId="0" borderId="17" xfId="4" applyBorder="1" applyAlignment="1">
      <alignment horizontal="right"/>
    </xf>
    <xf numFmtId="3" fontId="0" fillId="0" borderId="0" xfId="0" applyNumberFormat="1" applyAlignment="1">
      <alignment horizontal="right"/>
    </xf>
    <xf numFmtId="10" fontId="0" fillId="3" borderId="1" xfId="1" applyNumberFormat="1" applyFont="1" applyFill="1" applyBorder="1"/>
    <xf numFmtId="0" fontId="0" fillId="0" borderId="1" xfId="0" applyBorder="1" applyAlignment="1">
      <alignment wrapText="1"/>
    </xf>
    <xf numFmtId="170" fontId="0" fillId="0" borderId="0" xfId="0" applyNumberFormat="1" applyAlignment="1">
      <alignment horizontal="right"/>
    </xf>
    <xf numFmtId="44" fontId="0" fillId="3" borderId="1" xfId="3" applyFon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/>
    <xf numFmtId="0" fontId="2" fillId="0" borderId="7" xfId="0" applyFont="1" applyBorder="1"/>
    <xf numFmtId="0" fontId="2" fillId="0" borderId="19" xfId="0" applyFont="1" applyBorder="1"/>
    <xf numFmtId="0" fontId="7" fillId="0" borderId="0" xfId="0" applyFont="1" applyAlignment="1">
      <alignment horizontal="left" wrapText="1"/>
    </xf>
  </cellXfs>
  <cellStyles count="5">
    <cellStyle name="Comma" xfId="2" builtinId="3"/>
    <cellStyle name="Currency" xfId="3" builtinId="4"/>
    <cellStyle name="Hyperlink" xfId="4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S&amp;P</a:t>
            </a:r>
            <a:r>
              <a:rPr lang="en-US" baseline="0"/>
              <a:t> vs. STOCK: 5-YR PERIOD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3256464510455882E-2"/>
                  <c:y val="0.2174068916804254"/>
                </c:manualLayout>
              </c:layout>
              <c:numFmt formatCode="General" sourceLinked="0"/>
              <c:spPr>
                <a:noFill/>
                <a:ln w="12700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'REGRESSION | CAPM'!$C$5:$C$40</c:f>
              <c:numCache>
                <c:formatCode>0.00%</c:formatCode>
                <c:ptCount val="36"/>
                <c:pt idx="0">
                  <c:v>1.6999999999999998E-2</c:v>
                </c:pt>
                <c:pt idx="1">
                  <c:v>1.0963218631603999E-2</c:v>
                </c:pt>
                <c:pt idx="2">
                  <c:v>-1.5205699081860528E-2</c:v>
                </c:pt>
                <c:pt idx="3">
                  <c:v>-9.070335897981463E-2</c:v>
                </c:pt>
                <c:pt idx="4">
                  <c:v>-4.2406182008598546E-3</c:v>
                </c:pt>
                <c:pt idx="5">
                  <c:v>-0.1147769557672173</c:v>
                </c:pt>
                <c:pt idx="6">
                  <c:v>5.4684404731036966E-2</c:v>
                </c:pt>
                <c:pt idx="7">
                  <c:v>5.6289301431159643E-3</c:v>
                </c:pt>
                <c:pt idx="8">
                  <c:v>-6.4757122489215897E-3</c:v>
                </c:pt>
                <c:pt idx="9">
                  <c:v>1.5113434942139368E-2</c:v>
                </c:pt>
                <c:pt idx="10">
                  <c:v>-8.9977726481161507E-2</c:v>
                </c:pt>
                <c:pt idx="11">
                  <c:v>4.5330183208215039E-2</c:v>
                </c:pt>
                <c:pt idx="12">
                  <c:v>-8.5718046339606606E-3</c:v>
                </c:pt>
                <c:pt idx="13">
                  <c:v>-3.9191652742267782E-2</c:v>
                </c:pt>
                <c:pt idx="14">
                  <c:v>-3.8188323093431183E-3</c:v>
                </c:pt>
                <c:pt idx="15">
                  <c:v>2.5317474821449533E-3</c:v>
                </c:pt>
                <c:pt idx="16">
                  <c:v>1.8247064090915102E-2</c:v>
                </c:pt>
                <c:pt idx="17">
                  <c:v>1.2589803182446301E-2</c:v>
                </c:pt>
                <c:pt idx="18">
                  <c:v>-1.6928089811129268E-2</c:v>
                </c:pt>
                <c:pt idx="19">
                  <c:v>-9.9710469009648112E-2</c:v>
                </c:pt>
                <c:pt idx="20">
                  <c:v>-0.13921932083595659</c:v>
                </c:pt>
                <c:pt idx="21">
                  <c:v>0.12654410293315368</c:v>
                </c:pt>
                <c:pt idx="22">
                  <c:v>4.4281775012618367E-2</c:v>
                </c:pt>
                <c:pt idx="23">
                  <c:v>1.7188403283502671E-2</c:v>
                </c:pt>
                <c:pt idx="24">
                  <c:v>5.3901296975444213E-2</c:v>
                </c:pt>
                <c:pt idx="25">
                  <c:v>6.9164687324219251E-2</c:v>
                </c:pt>
                <c:pt idx="26">
                  <c:v>-4.0127954095494384E-2</c:v>
                </c:pt>
                <c:pt idx="27">
                  <c:v>-2.8565774606006532E-2</c:v>
                </c:pt>
                <c:pt idx="28">
                  <c:v>0.10664565805086303</c:v>
                </c:pt>
                <c:pt idx="29">
                  <c:v>3.6421406659432373E-2</c:v>
                </c:pt>
                <c:pt idx="30">
                  <c:v>-1.2036640158463601E-2</c:v>
                </c:pt>
                <c:pt idx="31">
                  <c:v>2.5491474971999741E-2</c:v>
                </c:pt>
                <c:pt idx="32">
                  <c:v>4.2138634008107731E-2</c:v>
                </c:pt>
                <c:pt idx="33">
                  <c:v>5.2225312555847309E-2</c:v>
                </c:pt>
                <c:pt idx="34">
                  <c:v>5.2865025818131291E-3</c:v>
                </c:pt>
                <c:pt idx="35">
                  <c:v>2.2113976323169551E-2</c:v>
                </c:pt>
              </c:numCache>
            </c:numRef>
          </c:xVal>
          <c:yVal>
            <c:numRef>
              <c:f>'REGRESSION | CAPM'!$D$5:$D$40</c:f>
              <c:numCache>
                <c:formatCode>0.00%</c:formatCode>
                <c:ptCount val="36"/>
                <c:pt idx="0">
                  <c:v>-6.5299999999999997E-2</c:v>
                </c:pt>
                <c:pt idx="1">
                  <c:v>-1.5575272161974973E-2</c:v>
                </c:pt>
                <c:pt idx="2">
                  <c:v>1.7544672076808449E-2</c:v>
                </c:pt>
                <c:pt idx="3">
                  <c:v>1.6744067365486538E-2</c:v>
                </c:pt>
                <c:pt idx="4">
                  <c:v>-1.7553384383451956E-2</c:v>
                </c:pt>
                <c:pt idx="5">
                  <c:v>-0.1012814072106849</c:v>
                </c:pt>
                <c:pt idx="6">
                  <c:v>4.698442394931953E-2</c:v>
                </c:pt>
                <c:pt idx="7">
                  <c:v>-1.8074914768919342E-2</c:v>
                </c:pt>
                <c:pt idx="8">
                  <c:v>-1.4735294846996289E-3</c:v>
                </c:pt>
                <c:pt idx="9">
                  <c:v>-3.1381559661354932E-2</c:v>
                </c:pt>
                <c:pt idx="10">
                  <c:v>-8.5082944720088829E-4</c:v>
                </c:pt>
                <c:pt idx="11">
                  <c:v>-2.2978359385070403E-2</c:v>
                </c:pt>
                <c:pt idx="12">
                  <c:v>0.13646534821447262</c:v>
                </c:pt>
                <c:pt idx="13">
                  <c:v>1.7750758307027843E-2</c:v>
                </c:pt>
                <c:pt idx="14">
                  <c:v>-2.6490636160470114E-2</c:v>
                </c:pt>
                <c:pt idx="15">
                  <c:v>-2.1777696833670028E-2</c:v>
                </c:pt>
                <c:pt idx="16">
                  <c:v>-4.5994749474025834E-2</c:v>
                </c:pt>
                <c:pt idx="17">
                  <c:v>-1.9946181194584311E-2</c:v>
                </c:pt>
                <c:pt idx="18">
                  <c:v>-0.11248118793039594</c:v>
                </c:pt>
                <c:pt idx="19">
                  <c:v>-4.5870177212836247E-2</c:v>
                </c:pt>
                <c:pt idx="20">
                  <c:v>-0.26170602582380459</c:v>
                </c:pt>
                <c:pt idx="21">
                  <c:v>5.4025462346035176E-2</c:v>
                </c:pt>
                <c:pt idx="22">
                  <c:v>1.1595347040340355E-2</c:v>
                </c:pt>
                <c:pt idx="23">
                  <c:v>-1.2861450747804357E-2</c:v>
                </c:pt>
                <c:pt idx="24">
                  <c:v>-2.8156499767516153E-2</c:v>
                </c:pt>
                <c:pt idx="25">
                  <c:v>0.1032175267442825</c:v>
                </c:pt>
                <c:pt idx="26">
                  <c:v>-4.1797191938674448E-2</c:v>
                </c:pt>
                <c:pt idx="27">
                  <c:v>4.3486305219983007E-2</c:v>
                </c:pt>
                <c:pt idx="28">
                  <c:v>7.1534623664131866E-2</c:v>
                </c:pt>
                <c:pt idx="29">
                  <c:v>6.7943232322822733E-2</c:v>
                </c:pt>
                <c:pt idx="30">
                  <c:v>-1.4669511505063893E-2</c:v>
                </c:pt>
                <c:pt idx="31">
                  <c:v>3.9358050866777121E-2</c:v>
                </c:pt>
                <c:pt idx="32">
                  <c:v>-1.1197013365020424E-2</c:v>
                </c:pt>
                <c:pt idx="33">
                  <c:v>5.1801644069067697E-2</c:v>
                </c:pt>
                <c:pt idx="34">
                  <c:v>6.6442248194379092E-2</c:v>
                </c:pt>
                <c:pt idx="35">
                  <c:v>-6.7634565726026972E-3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FD-4BF6-8F66-8578D9421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461744"/>
        <c:axId val="399460080"/>
      </c:scatterChart>
      <c:valAx>
        <c:axId val="39946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Index</a:t>
                </a:r>
                <a:r>
                  <a:rPr lang="en-US" b="1" baseline="0"/>
                  <a:t> Excess Return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60080"/>
        <c:crosses val="autoZero"/>
        <c:crossBetween val="midCat"/>
      </c:valAx>
      <c:valAx>
        <c:axId val="39946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Security</a:t>
                </a:r>
                <a:r>
                  <a:rPr lang="en-US" b="1" baseline="0"/>
                  <a:t> Excess Return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6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S&amp;P</a:t>
            </a:r>
            <a:r>
              <a:rPr lang="en-US" baseline="0"/>
              <a:t> vs. STOCK: JUL18-JUN20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419017620130403E-2"/>
                  <c:y val="0.19898330417031204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ln>
                        <a:noFill/>
                      </a:ln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'REGRESSION | CAPM'!$C$5:$C$16</c:f>
              <c:numCache>
                <c:formatCode>0.00%</c:formatCode>
                <c:ptCount val="12"/>
                <c:pt idx="0">
                  <c:v>1.6999999999999998E-2</c:v>
                </c:pt>
                <c:pt idx="1">
                  <c:v>1.0963218631603999E-2</c:v>
                </c:pt>
                <c:pt idx="2">
                  <c:v>-1.5205699081860528E-2</c:v>
                </c:pt>
                <c:pt idx="3">
                  <c:v>-9.070335897981463E-2</c:v>
                </c:pt>
                <c:pt idx="4">
                  <c:v>-4.2406182008598546E-3</c:v>
                </c:pt>
                <c:pt idx="5">
                  <c:v>-0.1147769557672173</c:v>
                </c:pt>
                <c:pt idx="6">
                  <c:v>5.4684404731036966E-2</c:v>
                </c:pt>
                <c:pt idx="7">
                  <c:v>5.6289301431159643E-3</c:v>
                </c:pt>
                <c:pt idx="8">
                  <c:v>-6.4757122489215897E-3</c:v>
                </c:pt>
                <c:pt idx="9">
                  <c:v>1.5113434942139368E-2</c:v>
                </c:pt>
                <c:pt idx="10">
                  <c:v>-8.9977726481161507E-2</c:v>
                </c:pt>
                <c:pt idx="11">
                  <c:v>4.5330183208215039E-2</c:v>
                </c:pt>
              </c:numCache>
            </c:numRef>
          </c:xVal>
          <c:yVal>
            <c:numRef>
              <c:f>'REGRESSION | CAPM'!$D$5:$D$16</c:f>
              <c:numCache>
                <c:formatCode>0.00%</c:formatCode>
                <c:ptCount val="12"/>
                <c:pt idx="0">
                  <c:v>-6.5299999999999997E-2</c:v>
                </c:pt>
                <c:pt idx="1">
                  <c:v>-1.5575272161974973E-2</c:v>
                </c:pt>
                <c:pt idx="2">
                  <c:v>1.7544672076808449E-2</c:v>
                </c:pt>
                <c:pt idx="3">
                  <c:v>1.6744067365486538E-2</c:v>
                </c:pt>
                <c:pt idx="4">
                  <c:v>-1.7553384383451956E-2</c:v>
                </c:pt>
                <c:pt idx="5">
                  <c:v>-0.1012814072106849</c:v>
                </c:pt>
                <c:pt idx="6">
                  <c:v>4.698442394931953E-2</c:v>
                </c:pt>
                <c:pt idx="7">
                  <c:v>-1.8074914768919342E-2</c:v>
                </c:pt>
                <c:pt idx="8">
                  <c:v>-1.4735294846996289E-3</c:v>
                </c:pt>
                <c:pt idx="9">
                  <c:v>-3.1381559661354932E-2</c:v>
                </c:pt>
                <c:pt idx="10">
                  <c:v>-8.5082944720088829E-4</c:v>
                </c:pt>
                <c:pt idx="11">
                  <c:v>-2.2978359385070403E-2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3E-45B6-860F-1C64CCF25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461744"/>
        <c:axId val="399460080"/>
      </c:scatterChart>
      <c:valAx>
        <c:axId val="39946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Index</a:t>
                </a:r>
                <a:r>
                  <a:rPr lang="en-US" b="1" baseline="0"/>
                  <a:t> Excess Return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60080"/>
        <c:crosses val="autoZero"/>
        <c:crossBetween val="midCat"/>
      </c:valAx>
      <c:valAx>
        <c:axId val="39946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Security</a:t>
                </a:r>
                <a:r>
                  <a:rPr lang="en-US" b="1" baseline="0"/>
                  <a:t> Excess Return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61744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S&amp;P</a:t>
            </a:r>
            <a:r>
              <a:rPr lang="en-US" baseline="0"/>
              <a:t> vs. STOCK: JUL22-JUN23</a:t>
            </a:r>
            <a:endParaRPr lang="en-US"/>
          </a:p>
        </c:rich>
      </c:tx>
      <c:layout>
        <c:manualLayout>
          <c:xMode val="edge"/>
          <c:yMode val="edge"/>
          <c:x val="0.26610411198600176"/>
          <c:y val="5.26315789473684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2688757655293094E-2"/>
                  <c:y val="0.23133142448103078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ln>
                        <a:noFill/>
                      </a:ln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'REGRESSION | CAPM'!$C$29:$C$40</c:f>
              <c:numCache>
                <c:formatCode>0.00%</c:formatCode>
                <c:ptCount val="12"/>
                <c:pt idx="0">
                  <c:v>5.3901296975444213E-2</c:v>
                </c:pt>
                <c:pt idx="1">
                  <c:v>6.9164687324219251E-2</c:v>
                </c:pt>
                <c:pt idx="2">
                  <c:v>-4.0127954095494384E-2</c:v>
                </c:pt>
                <c:pt idx="3">
                  <c:v>-2.8565774606006532E-2</c:v>
                </c:pt>
                <c:pt idx="4">
                  <c:v>0.10664565805086303</c:v>
                </c:pt>
                <c:pt idx="5">
                  <c:v>3.6421406659432373E-2</c:v>
                </c:pt>
                <c:pt idx="6">
                  <c:v>-1.2036640158463601E-2</c:v>
                </c:pt>
                <c:pt idx="7">
                  <c:v>2.5491474971999741E-2</c:v>
                </c:pt>
                <c:pt idx="8">
                  <c:v>4.2138634008107731E-2</c:v>
                </c:pt>
                <c:pt idx="9">
                  <c:v>5.2225312555847309E-2</c:v>
                </c:pt>
                <c:pt idx="10">
                  <c:v>5.2865025818131291E-3</c:v>
                </c:pt>
                <c:pt idx="11">
                  <c:v>2.2113976323169551E-2</c:v>
                </c:pt>
              </c:numCache>
            </c:numRef>
          </c:xVal>
          <c:yVal>
            <c:numRef>
              <c:f>'REGRESSION | CAPM'!$D$29:$D$40</c:f>
              <c:numCache>
                <c:formatCode>0.00%</c:formatCode>
                <c:ptCount val="12"/>
                <c:pt idx="0">
                  <c:v>-2.8156499767516153E-2</c:v>
                </c:pt>
                <c:pt idx="1">
                  <c:v>0.1032175267442825</c:v>
                </c:pt>
                <c:pt idx="2">
                  <c:v>-4.1797191938674448E-2</c:v>
                </c:pt>
                <c:pt idx="3">
                  <c:v>4.3486305219983007E-2</c:v>
                </c:pt>
                <c:pt idx="4">
                  <c:v>7.1534623664131866E-2</c:v>
                </c:pt>
                <c:pt idx="5">
                  <c:v>6.7943232322822733E-2</c:v>
                </c:pt>
                <c:pt idx="6">
                  <c:v>-1.4669511505063893E-2</c:v>
                </c:pt>
                <c:pt idx="7">
                  <c:v>3.9358050866777121E-2</c:v>
                </c:pt>
                <c:pt idx="8">
                  <c:v>-1.1197013365020424E-2</c:v>
                </c:pt>
                <c:pt idx="9">
                  <c:v>5.1801644069067697E-2</c:v>
                </c:pt>
                <c:pt idx="10">
                  <c:v>6.6442248194379092E-2</c:v>
                </c:pt>
                <c:pt idx="11">
                  <c:v>-6.7634565726026972E-3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A6-48AF-8DD4-B7588352A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461744"/>
        <c:axId val="399460080"/>
      </c:scatterChart>
      <c:valAx>
        <c:axId val="39946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Index Excess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60080"/>
        <c:crosses val="autoZero"/>
        <c:crossBetween val="midCat"/>
      </c:valAx>
      <c:valAx>
        <c:axId val="39946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Security</a:t>
                </a:r>
                <a:r>
                  <a:rPr lang="en-US" b="1" baseline="0"/>
                  <a:t> Excess Return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6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</xdr:colOff>
      <xdr:row>1</xdr:row>
      <xdr:rowOff>25400</xdr:rowOff>
    </xdr:from>
    <xdr:ext cx="6845300" cy="491467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A2C8AB2-ED25-4E9C-A28C-BF59C99C881C}"/>
            </a:ext>
          </a:extLst>
        </xdr:cNvPr>
        <xdr:cNvSpPr txBox="1"/>
      </xdr:nvSpPr>
      <xdr:spPr>
        <a:xfrm>
          <a:off x="5147310" y="208280"/>
          <a:ext cx="6845300" cy="4914679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 Academy Sports and Outdoors Inc (ASO):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Academy Sports and Outdoors is a leading sporting goods and outdoor recreation retailer in the United States. It offers a broad assortment of hunting, fishing, and camping equipment, along with sports and leisure products, footwear, and apparel. Comparable publicly-traded companies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include,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Dick's Sporting Goods (DKS),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Big 5 Sporting Goods (BGFV)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and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Cabela's (CAB).</a:t>
          </a:r>
        </a:p>
        <a:p>
          <a:r>
            <a:rPr 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Advanced Energy Industries, Inc. (AEIS):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Advanced Energy Industries is a global leader in innovative power and control technologies for high-growth, precision power solutions for thin films processes and industrial applications. Their products convert electrical power into various usable forms. Comparable publicly-traded companies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include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MKS Instruments, Inc. (MKSI),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Brooks Automation (BRKS)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and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Coherent, Inc. (COHR).</a:t>
          </a:r>
        </a:p>
        <a:p>
          <a:r>
            <a:rPr 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 Endeavor Group Holdings, Inc. (EDR):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Endeavor Group Holdings operates as an entertainment, sports, and content company. It engages in talent representation, marketing, event management, and other segments, making it a diverse player in the entertainment industry. Comparable publicly-traded companies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include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Live Nation Entertainment (LYV),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Madison Square Garden Company (MSG), and ViacomCBS Inc. (VIAC).</a:t>
          </a:r>
        </a:p>
        <a:p>
          <a:r>
            <a:rPr 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4. J &amp; J Snack Foods Corp (JJSF):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J &amp; J Snack Foods manufactures, markets, and distributes snack foods and beverages to foodservice and retail supermarket outlets. Their products range from soft pretzels to frozen beverages. Comparable publicly-traded companies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include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Hostess Brands, Inc. (TWNK),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Flowers Foods (FLO), and Tootsie Roll Industries (TR).</a:t>
          </a:r>
        </a:p>
        <a:p>
          <a:r>
            <a:rPr 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5. Korn Ferry (KFY):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Korn Ferry is a global organizational consulting firm that helps companies align their organization and talent with strategy. They offer solutions in executive search, consulting, and recruitment process outsourcing. Comparable publicly-traded companies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include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Robert Half International (RHI),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Heidrick &amp; Struggles International (HSII),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ManpowerGroup (MAN).</a:t>
          </a:r>
        </a:p>
        <a:p>
          <a:endParaRPr lang="en-US" sz="1100" b="0" baseline="0"/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S&amp;P 500 is a market-capitalization-weighted index representing the performance of 500 major U.S. companies. It's calculated by summing the adjusted market capitalization of all its stocks and dividing by a special divisor to ensure consistency. The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S&amp;P 500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gives a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broad representation of the U.S. stock market across several sectors and industries.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Its comprehensive nature offers a strong baseline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broader market health and direction. Using the S&amp;P 500 as a benchmark allows for a meaningful comparison, which helps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to assess how the selected securities will perform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by comparing them to the broader markerplace.</a:t>
          </a:r>
          <a:endParaRPr lang="en-US" sz="1100" b="0" baseline="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19051</xdr:colOff>
      <xdr:row>13</xdr:row>
      <xdr:rowOff>12700</xdr:rowOff>
    </xdr:from>
    <xdr:ext cx="5238749" cy="542635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381699B-9C10-4C25-97E3-FA501B784984}"/>
            </a:ext>
          </a:extLst>
        </xdr:cNvPr>
        <xdr:cNvSpPr txBox="1"/>
      </xdr:nvSpPr>
      <xdr:spPr>
        <a:xfrm>
          <a:off x="13003531" y="2588260"/>
          <a:ext cx="5238749" cy="5426357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Question 1:  Which of the hypothetical portfolios has the highest Sharpe Ratio?  Explain why this may</a:t>
          </a:r>
          <a:r>
            <a:rPr lang="en-US" sz="1100" baseline="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be</a:t>
          </a:r>
          <a:r>
            <a:rPr lang="en-US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the case. (2-3 sentences).</a:t>
          </a:r>
        </a:p>
        <a:p>
          <a:pPr marL="0" marR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-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hypothetical portfolio P1 has the highest Sharpe Ratio of 0.57, compared to P2's Sharpe Ratio of 0.45. This may be the case because the Sharpe Ratio measures the risk-adjusted return of an investment, and P1 might be offering a better return for the level of risk it carries compared to P2.</a:t>
          </a:r>
          <a:endParaRPr lang="en-US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0" marR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endParaRPr lang="en-US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0" marR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Question 2:  Eyeball the Sharpe ratio for 2-3 of your stocks based on the average return</a:t>
          </a:r>
          <a:r>
            <a:rPr lang="en-US" sz="1100" baseline="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and standard deviation outputs (annualized) </a:t>
          </a:r>
          <a:r>
            <a:rPr lang="en-US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and compare the general</a:t>
          </a:r>
          <a:r>
            <a:rPr lang="en-US" sz="1100" baseline="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levels with the Sharpe ratios of your two hypothetical portfolios.  Comment on what you observe. </a:t>
          </a:r>
        </a:p>
        <a:p>
          <a:pPr marL="0" marR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100" baseline="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-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Both portfolios have a much higher Sharpe Ratio than the individual stocks. This suggests that diversifying investments across multiple assets/stocks can provide a better risk-adjusted return than investing in individual stocks.</a:t>
          </a:r>
          <a:endParaRPr lang="en-US" sz="1100" baseline="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0" marR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endParaRPr lang="en-US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0" marR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Question 3:  Identify the stock pairings that have the highest and lowest correlation and give a plausible reason why they are high/low.</a:t>
          </a:r>
        </a:p>
        <a:p>
          <a:pPr marL="0" marR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-The</a:t>
          </a:r>
          <a:r>
            <a:rPr lang="en-US" sz="1100" baseline="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highest correlation is AEIS and ^GPSC. This suggests that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Advanced Energy and the S&amp;P 500 move in the same direction most of the time. This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could be beacause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AEIS is heavily influenced by the broader market trends S&amp;P 500.</a:t>
          </a:r>
        </a:p>
        <a:p>
          <a:pPr marL="0" marR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-The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lowest correlation is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JJSF and AEIS with a correlation of 0.27. This indicates that the stock of J &amp; J and Advanced Energy do not move in tandem/might be influenced by different market factors. This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could be because that they belong to different sectors or industries, and their business models respond differently compared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to each other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r>
            <a:rPr lang="en-US" sz="1100" b="0" baseline="0"/>
            <a:t> </a:t>
          </a:r>
          <a:endParaRPr lang="en-US" sz="1100" b="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11208</xdr:colOff>
      <xdr:row>3</xdr:row>
      <xdr:rowOff>9805</xdr:rowOff>
    </xdr:from>
    <xdr:to>
      <xdr:col>12</xdr:col>
      <xdr:colOff>0</xdr:colOff>
      <xdr:row>16</xdr:row>
      <xdr:rowOff>86005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4B024D-4C11-0E36-FDEB-E205836E1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610720</xdr:colOff>
      <xdr:row>19</xdr:row>
      <xdr:rowOff>0</xdr:rowOff>
    </xdr:from>
    <xdr:to>
      <xdr:col>12</xdr:col>
      <xdr:colOff>0</xdr:colOff>
      <xdr:row>33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6E8579-7E39-4372-9B50-F5540D6A5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610720</xdr:colOff>
      <xdr:row>36</xdr:row>
      <xdr:rowOff>0</xdr:rowOff>
    </xdr:from>
    <xdr:to>
      <xdr:col>12</xdr:col>
      <xdr:colOff>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408C573-A889-4FD7-9860-427F4153C2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15</xdr:col>
      <xdr:colOff>142876</xdr:colOff>
      <xdr:row>0</xdr:row>
      <xdr:rowOff>188768</xdr:rowOff>
    </xdr:from>
    <xdr:ext cx="6304684" cy="75074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0BE059B-0F4C-DEE3-E3FB-6A90BC78DD13}"/>
            </a:ext>
          </a:extLst>
        </xdr:cNvPr>
        <xdr:cNvSpPr txBox="1"/>
      </xdr:nvSpPr>
      <xdr:spPr>
        <a:xfrm>
          <a:off x="11439526" y="188768"/>
          <a:ext cx="6304684" cy="7507431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Question 1: Describe how much variation there is in the beta estimates across the three time intervals and provide a plausible explanation for the differences. (2-3 sentences)</a:t>
          </a:r>
        </a:p>
        <a:p>
          <a:pPr marL="0" marR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-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beta estimates across the three time intervals show considerable variation, with the 5-year beta at 0.3211, the JUL18-JUL20 beta at 0.0866, and the JUL22-JUL23 beta at 0.2271. This variation might be due to different market conditions, company-specific events, or broader economic factors that affected JJSF's stock price relative to the market.</a:t>
          </a:r>
          <a:endParaRPr lang="en-US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0" marR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Question 2: Describe your method of estimating the market beta and provide rationale.  </a:t>
          </a:r>
        </a:p>
        <a:p>
          <a:pPr marL="0" marR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-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My method for estimating the market beta is based on a regression analysis of the historical excess returns of JJSF against the historical excess returns of the market index (^GSPC). This approach is based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off of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Capital Asset Pricing Model (CAPM) and captures the sensitivity of JJSF's returns to market movements. Using historical data provides a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long term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view of how the stock has reacted to market changes in the past, which can predict future behavior, especially when using longer time frames like the 5-year time period.</a:t>
          </a:r>
          <a:endParaRPr lang="en-US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0" marR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Question 3: Compare your security's CAPM expected return with its actual annualized 3-year historical return (annualized average monthly return from the TRADING DATA tab) and provide a plausible explanation for the difference.</a:t>
          </a:r>
        </a:p>
        <a:p>
          <a:r>
            <a:rPr lang="en-US" sz="1100" b="0"/>
            <a:t>-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actual annualized 3-year historical return for JJSF is 5.47%. This means that the actual return is slightly below the CAPM expected return using the 5-year beta (5.6%).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difference could be that while the CAPM provides a theoretical expected return based on market risk, the actual return can be influenced by various  factors. For JJSF, these might include operational challenges, competitive pressures, or other industry-specific events that weren't reflected in the broader market. It's also possible that the market had slightly overestimated the return for JJSF during this period, leading to a higher expected return than what was actually realized.</a:t>
          </a:r>
        </a:p>
        <a:p>
          <a:endParaRPr lang="en-US" sz="1100" b="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317501</xdr:colOff>
      <xdr:row>1</xdr:row>
      <xdr:rowOff>6350</xdr:rowOff>
    </xdr:from>
    <xdr:ext cx="8693149" cy="2111284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C893E69-2F8A-49CE-B3E2-1D6EB8033A02}"/>
            </a:ext>
          </a:extLst>
        </xdr:cNvPr>
        <xdr:cNvSpPr txBox="1"/>
      </xdr:nvSpPr>
      <xdr:spPr>
        <a:xfrm>
          <a:off x="5049521" y="189230"/>
          <a:ext cx="8693149" cy="211128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>
            <a:lnSpc>
              <a:spcPct val="107000"/>
            </a:lnSpc>
            <a:spcBef>
              <a:spcPts val="0"/>
            </a:spcBef>
            <a:spcAft>
              <a:spcPts val="0"/>
            </a:spcAft>
          </a:pPr>
          <a:r>
            <a:rPr lang="en-US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Part </a:t>
          </a:r>
          <a:r>
            <a:rPr lang="en-US" sz="1100" baseline="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1 (DCF):</a:t>
          </a:r>
          <a:endParaRPr lang="en-US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0" marR="0">
            <a:lnSpc>
              <a:spcPct val="107000"/>
            </a:lnSpc>
            <a:spcBef>
              <a:spcPts val="0"/>
            </a:spcBef>
            <a:spcAft>
              <a:spcPts val="0"/>
            </a:spcAft>
          </a:pPr>
          <a:endParaRPr lang="en-US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0" marR="0">
            <a:lnSpc>
              <a:spcPct val="107000"/>
            </a:lnSpc>
            <a:spcBef>
              <a:spcPts val="0"/>
            </a:spcBef>
            <a:spcAft>
              <a:spcPts val="0"/>
            </a:spcAft>
          </a:pPr>
          <a:r>
            <a:rPr lang="en-US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Question 1: Which assumptions / inputs have the biggest impact on the outcome of your</a:t>
          </a:r>
          <a:r>
            <a:rPr lang="en-US" sz="1100" baseline="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DCF valuation </a:t>
          </a:r>
          <a:r>
            <a:rPr lang="en-US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analysis?</a:t>
          </a:r>
        </a:p>
        <a:p>
          <a:pPr marL="0" marR="0">
            <a:lnSpc>
              <a:spcPct val="107000"/>
            </a:lnSpc>
            <a:spcBef>
              <a:spcPts val="0"/>
            </a:spcBef>
            <a:spcAft>
              <a:spcPts val="0"/>
            </a:spcAft>
          </a:pPr>
          <a:r>
            <a:rPr lang="en-US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</a:p>
        <a:p>
          <a:pPr marL="0" marR="0">
            <a:lnSpc>
              <a:spcPct val="107000"/>
            </a:lnSpc>
            <a:spcBef>
              <a:spcPts val="0"/>
            </a:spcBef>
            <a:spcAft>
              <a:spcPts val="0"/>
            </a:spcAft>
          </a:pPr>
          <a:r>
            <a:rPr lang="en-US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-The assumptions</a:t>
          </a:r>
          <a:r>
            <a:rPr lang="en-US" sz="1100" baseline="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that have the largest impact will be the your FCFF growth rate, the EV/EBITDA Multiple and the terminal value estimate. </a:t>
          </a:r>
          <a:endParaRPr lang="en-US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0" marR="0">
            <a:lnSpc>
              <a:spcPct val="107000"/>
            </a:lnSpc>
            <a:spcBef>
              <a:spcPts val="0"/>
            </a:spcBef>
            <a:spcAft>
              <a:spcPts val="0"/>
            </a:spcAft>
          </a:pPr>
          <a:endParaRPr lang="en-US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0" marR="0">
            <a:lnSpc>
              <a:spcPct val="107000"/>
            </a:lnSpc>
            <a:spcBef>
              <a:spcPts val="0"/>
            </a:spcBef>
            <a:spcAft>
              <a:spcPts val="0"/>
            </a:spcAft>
          </a:pPr>
          <a:r>
            <a:rPr lang="en-US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Question 2: Does the output of this analysis cause you to be convinced that the security’s current trading value is mispriced?  Why (not)?</a:t>
          </a:r>
        </a:p>
        <a:p>
          <a:pPr marL="0" marR="0">
            <a:lnSpc>
              <a:spcPct val="107000"/>
            </a:lnSpc>
            <a:spcBef>
              <a:spcPts val="0"/>
            </a:spcBef>
            <a:spcAft>
              <a:spcPts val="0"/>
            </a:spcAft>
          </a:pPr>
          <a:endParaRPr lang="en-US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0" marR="0">
            <a:lnSpc>
              <a:spcPct val="107000"/>
            </a:lnSpc>
            <a:spcBef>
              <a:spcPts val="0"/>
            </a:spcBef>
            <a:spcAft>
              <a:spcPts val="0"/>
            </a:spcAft>
          </a:pPr>
          <a:r>
            <a:rPr lang="en-US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-Considering</a:t>
          </a:r>
          <a:r>
            <a:rPr lang="en-US" sz="1100" baseline="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that I got an over-evaluation of 18% and that was considering I was being generous with the FCFF growth rate and EV/EBITDA multiple. I would be inclined to say that the securities current trading value is mispriced. </a:t>
          </a:r>
          <a:endParaRPr lang="en-US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0" marR="0">
            <a:lnSpc>
              <a:spcPct val="107000"/>
            </a:lnSpc>
            <a:spcBef>
              <a:spcPts val="0"/>
            </a:spcBef>
            <a:spcAft>
              <a:spcPts val="0"/>
            </a:spcAft>
          </a:pPr>
          <a:endParaRPr lang="en-US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1</xdr:row>
      <xdr:rowOff>28575</xdr:rowOff>
    </xdr:from>
    <xdr:to>
      <xdr:col>15</xdr:col>
      <xdr:colOff>390525</xdr:colOff>
      <xdr:row>23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F51E681-8171-47C3-8A9B-9706097A1AEF}"/>
            </a:ext>
          </a:extLst>
        </xdr:cNvPr>
        <xdr:cNvSpPr txBox="1"/>
      </xdr:nvSpPr>
      <xdr:spPr>
        <a:xfrm>
          <a:off x="12353925" y="314325"/>
          <a:ext cx="4933950" cy="63817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Module 3 (cont.)</a:t>
          </a:r>
        </a:p>
        <a:p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Part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 (COMPS ANALYSIS):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Question 1: Discuss any outliers in your ratio calculations and explain why they may exist (2-3 sentences).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Lancaster Colony Corporation (NasdaqGS:LANC) stands out with a high Price/Earnings ratio of 39.16. This may be due to its superior growth prospects or earnings stability, distinguishing it from peers like John B. Sanfilippo &amp; Son, Inc. and TreeHouse Foods, Inc.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Question 2: What are some factors that would explain why your security would trade at a relative premium or discount to the comps group (2-3 sentences)?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Advanced Energy Industries, Inc. (NasdaqGS:AEIS) could trade at a premium due to factors like higher growth potential or stronger profitability. Conversely, a discount might reflect perceived risks/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industry specific issues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 weaker financials when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looked at in relation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its comparable companies.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177800</xdr:colOff>
      <xdr:row>12</xdr:row>
      <xdr:rowOff>95250</xdr:rowOff>
    </xdr:from>
    <xdr:to>
      <xdr:col>9</xdr:col>
      <xdr:colOff>101600</xdr:colOff>
      <xdr:row>13</xdr:row>
      <xdr:rowOff>133350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AF3BC069-F960-DD43-C3DD-84890A745821}"/>
            </a:ext>
          </a:extLst>
        </xdr:cNvPr>
        <xdr:cNvSpPr/>
      </xdr:nvSpPr>
      <xdr:spPr>
        <a:xfrm rot="5400000">
          <a:off x="5191125" y="3559175"/>
          <a:ext cx="349250" cy="1270000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390525</xdr:colOff>
      <xdr:row>2</xdr:row>
      <xdr:rowOff>9525</xdr:rowOff>
    </xdr:from>
    <xdr:to>
      <xdr:col>35</xdr:col>
      <xdr:colOff>381000</xdr:colOff>
      <xdr:row>7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02E066B-AEE7-42EF-83B9-B40DDB07A041}"/>
            </a:ext>
          </a:extLst>
        </xdr:cNvPr>
        <xdr:cNvSpPr txBox="1"/>
      </xdr:nvSpPr>
      <xdr:spPr>
        <a:xfrm>
          <a:off x="11439525" y="390525"/>
          <a:ext cx="6086475" cy="18288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Module X (up to 5 pts EXTRA CREDIT - out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of 100 notional points for the course project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Part 3 (FOOTBALL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FIELD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):</a:t>
          </a:r>
        </a:p>
        <a:p>
          <a:pPr lvl="0"/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Present the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findings of your DCF and Comparable Ratio analyses using a modification of the "Football Field" on this worksheet.  If you want to illustrate your findings using different charts/graphics, go for it.</a:t>
          </a:r>
        </a:p>
        <a:p>
          <a:pPr lvl="0"/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 instructions, steps or tips on this part of the assignment.  You have to figure it out on your own.</a:t>
          </a:r>
        </a:p>
        <a:p>
          <a:pPr lvl="0"/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483BC-E1B7-425B-9C0C-440C448807D0}">
  <dimension ref="A1:F86"/>
  <sheetViews>
    <sheetView zoomScaleNormal="100" workbookViewId="0">
      <selection activeCell="S38" sqref="S38"/>
    </sheetView>
  </sheetViews>
  <sheetFormatPr defaultRowHeight="14.4" x14ac:dyDescent="0.3"/>
  <cols>
    <col min="1" max="1" width="34.5546875" customWidth="1"/>
    <col min="2" max="2" width="31.33203125" style="28" bestFit="1" customWidth="1"/>
    <col min="3" max="3" width="30.6640625" bestFit="1" customWidth="1"/>
  </cols>
  <sheetData>
    <row r="1" spans="1:6" x14ac:dyDescent="0.3">
      <c r="A1" s="3" t="s">
        <v>5</v>
      </c>
    </row>
    <row r="2" spans="1:6" x14ac:dyDescent="0.3">
      <c r="A2" t="s">
        <v>6</v>
      </c>
      <c r="B2" s="84" t="s">
        <v>138</v>
      </c>
    </row>
    <row r="4" spans="1:6" x14ac:dyDescent="0.3">
      <c r="A4" s="3" t="s">
        <v>135</v>
      </c>
      <c r="B4" s="142">
        <v>45188</v>
      </c>
    </row>
    <row r="6" spans="1:6" x14ac:dyDescent="0.3">
      <c r="A6" s="7" t="s">
        <v>7</v>
      </c>
      <c r="B6" s="85" t="s">
        <v>149</v>
      </c>
    </row>
    <row r="7" spans="1:6" x14ac:dyDescent="0.3">
      <c r="A7" t="s">
        <v>105</v>
      </c>
      <c r="B7" s="83">
        <v>4.3200000000000002E-2</v>
      </c>
    </row>
    <row r="9" spans="1:6" x14ac:dyDescent="0.3">
      <c r="A9" s="7" t="s">
        <v>8</v>
      </c>
      <c r="B9" s="84" t="s">
        <v>152</v>
      </c>
    </row>
    <row r="10" spans="1:6" x14ac:dyDescent="0.3">
      <c r="A10" t="s">
        <v>9</v>
      </c>
      <c r="B10" s="85" t="s">
        <v>153</v>
      </c>
    </row>
    <row r="11" spans="1:6" ht="15.6" x14ac:dyDescent="0.35">
      <c r="A11" t="s">
        <v>10</v>
      </c>
      <c r="B11" s="83">
        <v>0.08</v>
      </c>
    </row>
    <row r="12" spans="1:6" x14ac:dyDescent="0.3">
      <c r="A12" t="s">
        <v>11</v>
      </c>
      <c r="B12" s="160" t="s">
        <v>154</v>
      </c>
    </row>
    <row r="14" spans="1:6" x14ac:dyDescent="0.3">
      <c r="A14" s="3" t="s">
        <v>12</v>
      </c>
      <c r="B14" s="84" t="s">
        <v>156</v>
      </c>
      <c r="C14" s="84" t="s">
        <v>144</v>
      </c>
      <c r="F14" s="42"/>
    </row>
    <row r="15" spans="1:6" x14ac:dyDescent="0.3">
      <c r="A15" t="s">
        <v>9</v>
      </c>
      <c r="B15" s="85" t="s">
        <v>157</v>
      </c>
      <c r="C15" s="85" t="s">
        <v>143</v>
      </c>
    </row>
    <row r="16" spans="1:6" x14ac:dyDescent="0.3">
      <c r="A16" t="s">
        <v>13</v>
      </c>
      <c r="B16" s="85" t="s">
        <v>148</v>
      </c>
    </row>
    <row r="17" spans="1:2" x14ac:dyDescent="0.3">
      <c r="A17" t="s">
        <v>14</v>
      </c>
      <c r="B17" s="86">
        <v>49.55</v>
      </c>
    </row>
    <row r="18" spans="1:2" x14ac:dyDescent="0.3">
      <c r="A18" t="s">
        <v>15</v>
      </c>
      <c r="B18" s="87">
        <v>3690</v>
      </c>
    </row>
    <row r="19" spans="1:2" x14ac:dyDescent="0.3">
      <c r="A19" t="s">
        <v>16</v>
      </c>
      <c r="B19" s="87">
        <v>74.53</v>
      </c>
    </row>
    <row r="20" spans="1:2" x14ac:dyDescent="0.3">
      <c r="A20" t="s">
        <v>106</v>
      </c>
      <c r="B20" s="88">
        <v>1.2</v>
      </c>
    </row>
    <row r="21" spans="1:2" x14ac:dyDescent="0.3">
      <c r="A21" t="s">
        <v>127</v>
      </c>
      <c r="B21" s="86">
        <v>7.19</v>
      </c>
    </row>
    <row r="22" spans="1:2" x14ac:dyDescent="0.3">
      <c r="A22" t="s">
        <v>136</v>
      </c>
      <c r="B22" s="87">
        <v>1448</v>
      </c>
    </row>
    <row r="23" spans="1:2" x14ac:dyDescent="0.3">
      <c r="A23" t="s">
        <v>18</v>
      </c>
      <c r="B23" s="87">
        <v>5140</v>
      </c>
    </row>
    <row r="24" spans="1:2" x14ac:dyDescent="0.3">
      <c r="A24" t="s">
        <v>107</v>
      </c>
      <c r="B24" s="87">
        <v>6210</v>
      </c>
    </row>
    <row r="25" spans="1:2" x14ac:dyDescent="0.3">
      <c r="A25" t="s">
        <v>108</v>
      </c>
      <c r="B25" s="87">
        <v>828.41</v>
      </c>
    </row>
    <row r="26" spans="1:2" x14ac:dyDescent="0.3">
      <c r="A26" t="s">
        <v>21</v>
      </c>
      <c r="B26" s="83">
        <v>0.11</v>
      </c>
    </row>
    <row r="28" spans="1:2" x14ac:dyDescent="0.3">
      <c r="A28" s="3" t="s">
        <v>22</v>
      </c>
      <c r="B28" s="84" t="s">
        <v>141</v>
      </c>
    </row>
    <row r="29" spans="1:2" x14ac:dyDescent="0.3">
      <c r="A29" t="s">
        <v>9</v>
      </c>
      <c r="B29" s="85" t="s">
        <v>142</v>
      </c>
    </row>
    <row r="30" spans="1:2" x14ac:dyDescent="0.3">
      <c r="A30" t="s">
        <v>13</v>
      </c>
      <c r="B30" s="85" t="s">
        <v>148</v>
      </c>
    </row>
    <row r="31" spans="1:2" x14ac:dyDescent="0.3">
      <c r="A31" t="s">
        <v>14</v>
      </c>
      <c r="B31" s="86">
        <v>102.04</v>
      </c>
    </row>
    <row r="32" spans="1:2" x14ac:dyDescent="0.3">
      <c r="A32" t="s">
        <v>15</v>
      </c>
      <c r="B32" s="87">
        <v>3890</v>
      </c>
    </row>
    <row r="33" spans="1:3" x14ac:dyDescent="0.3">
      <c r="A33" t="s">
        <v>16</v>
      </c>
      <c r="B33" s="87">
        <v>37.65</v>
      </c>
    </row>
    <row r="34" spans="1:3" x14ac:dyDescent="0.3">
      <c r="A34" t="s">
        <v>106</v>
      </c>
      <c r="B34" s="88">
        <v>1.58</v>
      </c>
    </row>
    <row r="35" spans="1:3" x14ac:dyDescent="0.3">
      <c r="A35" t="s">
        <v>127</v>
      </c>
      <c r="B35" s="86">
        <v>4.6900000000000004</v>
      </c>
    </row>
    <row r="36" spans="1:3" x14ac:dyDescent="0.3">
      <c r="A36" t="s">
        <v>136</v>
      </c>
      <c r="B36" s="87">
        <v>11.29</v>
      </c>
    </row>
    <row r="37" spans="1:3" x14ac:dyDescent="0.3">
      <c r="A37" t="s">
        <v>18</v>
      </c>
      <c r="B37" s="87">
        <v>3910</v>
      </c>
    </row>
    <row r="38" spans="1:3" x14ac:dyDescent="0.3">
      <c r="A38" t="s">
        <v>107</v>
      </c>
      <c r="B38" s="87">
        <v>1850</v>
      </c>
    </row>
    <row r="39" spans="1:3" x14ac:dyDescent="0.3">
      <c r="A39" t="s">
        <v>108</v>
      </c>
      <c r="B39" s="87">
        <v>284</v>
      </c>
    </row>
    <row r="40" spans="1:3" x14ac:dyDescent="0.3">
      <c r="A40" t="s">
        <v>21</v>
      </c>
      <c r="B40" s="83">
        <v>0.1</v>
      </c>
    </row>
    <row r="41" spans="1:3" x14ac:dyDescent="0.3">
      <c r="B41" s="8"/>
    </row>
    <row r="42" spans="1:3" x14ac:dyDescent="0.3">
      <c r="B42" s="8"/>
    </row>
    <row r="43" spans="1:3" x14ac:dyDescent="0.3">
      <c r="A43" s="3" t="s">
        <v>23</v>
      </c>
      <c r="B43" s="84" t="s">
        <v>158</v>
      </c>
      <c r="C43" s="84" t="s">
        <v>155</v>
      </c>
    </row>
    <row r="44" spans="1:3" x14ac:dyDescent="0.3">
      <c r="A44" t="s">
        <v>9</v>
      </c>
      <c r="B44" s="85" t="s">
        <v>159</v>
      </c>
      <c r="C44" s="85" t="s">
        <v>145</v>
      </c>
    </row>
    <row r="45" spans="1:3" x14ac:dyDescent="0.3">
      <c r="A45" t="s">
        <v>13</v>
      </c>
      <c r="B45" s="85" t="s">
        <v>150</v>
      </c>
    </row>
    <row r="46" spans="1:3" x14ac:dyDescent="0.3">
      <c r="A46" t="s">
        <v>14</v>
      </c>
      <c r="B46" s="86">
        <v>22.37</v>
      </c>
    </row>
    <row r="47" spans="1:3" x14ac:dyDescent="0.3">
      <c r="A47" t="s">
        <v>15</v>
      </c>
      <c r="B47" s="87">
        <v>6600</v>
      </c>
    </row>
    <row r="48" spans="1:3" x14ac:dyDescent="0.3">
      <c r="A48" t="s">
        <v>16</v>
      </c>
      <c r="B48" s="87">
        <v>303.76</v>
      </c>
    </row>
    <row r="49" spans="1:2" x14ac:dyDescent="0.3">
      <c r="A49" t="s">
        <v>106</v>
      </c>
      <c r="B49" s="88">
        <v>0.9</v>
      </c>
    </row>
    <row r="50" spans="1:2" x14ac:dyDescent="0.3">
      <c r="A50" t="s">
        <v>127</v>
      </c>
      <c r="B50" s="86">
        <v>0.66</v>
      </c>
    </row>
    <row r="51" spans="1:2" x14ac:dyDescent="0.3">
      <c r="A51" t="s">
        <v>136</v>
      </c>
      <c r="B51" s="87">
        <v>3870</v>
      </c>
    </row>
    <row r="52" spans="1:2" x14ac:dyDescent="0.3">
      <c r="A52" t="s">
        <v>18</v>
      </c>
      <c r="B52" s="87">
        <v>10470</v>
      </c>
    </row>
    <row r="53" spans="1:2" x14ac:dyDescent="0.3">
      <c r="A53" t="s">
        <v>107</v>
      </c>
      <c r="B53" s="87">
        <v>5510</v>
      </c>
    </row>
    <row r="54" spans="1:2" x14ac:dyDescent="0.3">
      <c r="A54" t="s">
        <v>108</v>
      </c>
      <c r="B54" s="87">
        <v>862.93</v>
      </c>
    </row>
    <row r="55" spans="1:2" x14ac:dyDescent="0.3">
      <c r="A55" t="s">
        <v>21</v>
      </c>
      <c r="B55" s="83">
        <v>0.2555</v>
      </c>
    </row>
    <row r="56" spans="1:2" x14ac:dyDescent="0.3">
      <c r="B56" s="8"/>
    </row>
    <row r="57" spans="1:2" x14ac:dyDescent="0.3">
      <c r="B57" s="8"/>
    </row>
    <row r="58" spans="1:2" x14ac:dyDescent="0.3">
      <c r="A58" s="3" t="s">
        <v>24</v>
      </c>
      <c r="B58" s="84" t="s">
        <v>139</v>
      </c>
    </row>
    <row r="59" spans="1:2" x14ac:dyDescent="0.3">
      <c r="A59" t="s">
        <v>9</v>
      </c>
      <c r="B59" s="85" t="s">
        <v>146</v>
      </c>
    </row>
    <row r="60" spans="1:2" x14ac:dyDescent="0.3">
      <c r="A60" t="s">
        <v>13</v>
      </c>
      <c r="B60" s="85" t="s">
        <v>151</v>
      </c>
    </row>
    <row r="61" spans="1:2" x14ac:dyDescent="0.3">
      <c r="A61" t="s">
        <v>14</v>
      </c>
      <c r="B61" s="86">
        <v>167.33</v>
      </c>
    </row>
    <row r="62" spans="1:2" x14ac:dyDescent="0.3">
      <c r="A62" t="s">
        <v>15</v>
      </c>
      <c r="B62" s="87">
        <v>3290</v>
      </c>
    </row>
    <row r="63" spans="1:2" x14ac:dyDescent="0.3">
      <c r="A63" t="s">
        <v>16</v>
      </c>
      <c r="B63" s="87">
        <v>19.29</v>
      </c>
    </row>
    <row r="64" spans="1:2" x14ac:dyDescent="0.3">
      <c r="A64" t="s">
        <v>106</v>
      </c>
      <c r="B64" s="88">
        <v>0.56000000000000005</v>
      </c>
    </row>
    <row r="65" spans="1:2" x14ac:dyDescent="0.3">
      <c r="A65" t="s">
        <v>127</v>
      </c>
      <c r="B65" s="86">
        <v>4.51</v>
      </c>
    </row>
    <row r="66" spans="1:2" x14ac:dyDescent="0.3">
      <c r="A66" t="s">
        <v>136</v>
      </c>
      <c r="B66" s="87">
        <v>106.23</v>
      </c>
    </row>
    <row r="67" spans="1:2" x14ac:dyDescent="0.3">
      <c r="A67" t="s">
        <v>18</v>
      </c>
      <c r="B67" s="87">
        <v>3400</v>
      </c>
    </row>
    <row r="68" spans="1:2" x14ac:dyDescent="0.3">
      <c r="A68" t="s">
        <v>107</v>
      </c>
      <c r="B68" s="87">
        <v>1520</v>
      </c>
    </row>
    <row r="69" spans="1:2" x14ac:dyDescent="0.3">
      <c r="A69" t="s">
        <v>108</v>
      </c>
      <c r="B69" s="87">
        <v>154.97</v>
      </c>
    </row>
    <row r="70" spans="1:2" x14ac:dyDescent="0.3">
      <c r="A70" t="s">
        <v>21</v>
      </c>
      <c r="B70" s="83">
        <v>0.73099999999999998</v>
      </c>
    </row>
    <row r="71" spans="1:2" x14ac:dyDescent="0.3">
      <c r="B71" s="8"/>
    </row>
    <row r="72" spans="1:2" x14ac:dyDescent="0.3">
      <c r="B72" s="8"/>
    </row>
    <row r="73" spans="1:2" x14ac:dyDescent="0.3">
      <c r="A73" s="3" t="s">
        <v>25</v>
      </c>
      <c r="B73" s="84" t="s">
        <v>140</v>
      </c>
    </row>
    <row r="74" spans="1:2" x14ac:dyDescent="0.3">
      <c r="A74" t="s">
        <v>9</v>
      </c>
      <c r="B74" s="85" t="s">
        <v>147</v>
      </c>
    </row>
    <row r="75" spans="1:2" x14ac:dyDescent="0.3">
      <c r="A75" t="s">
        <v>13</v>
      </c>
      <c r="B75" s="85" t="s">
        <v>150</v>
      </c>
    </row>
    <row r="76" spans="1:2" x14ac:dyDescent="0.3">
      <c r="A76" t="s">
        <v>14</v>
      </c>
      <c r="B76" s="86">
        <v>48.69</v>
      </c>
    </row>
    <row r="77" spans="1:2" x14ac:dyDescent="0.3">
      <c r="A77" t="s">
        <v>15</v>
      </c>
      <c r="B77" s="87">
        <v>2520</v>
      </c>
    </row>
    <row r="78" spans="1:2" x14ac:dyDescent="0.3">
      <c r="A78" t="s">
        <v>16</v>
      </c>
      <c r="B78" s="87">
        <v>52.7</v>
      </c>
    </row>
    <row r="79" spans="1:2" x14ac:dyDescent="0.3">
      <c r="A79" t="s">
        <v>106</v>
      </c>
      <c r="B79" s="88">
        <v>1.49</v>
      </c>
    </row>
    <row r="80" spans="1:2" x14ac:dyDescent="0.3">
      <c r="A80" t="s">
        <v>127</v>
      </c>
      <c r="B80" s="86">
        <v>3.82</v>
      </c>
    </row>
    <row r="81" spans="1:2" x14ac:dyDescent="0.3">
      <c r="A81" t="s">
        <v>136</v>
      </c>
      <c r="B81" s="87">
        <v>-25.69</v>
      </c>
    </row>
    <row r="82" spans="1:2" x14ac:dyDescent="0.3">
      <c r="A82" t="s">
        <v>18</v>
      </c>
      <c r="B82" s="87">
        <v>2480</v>
      </c>
    </row>
    <row r="83" spans="1:2" x14ac:dyDescent="0.3">
      <c r="A83" t="s">
        <v>107</v>
      </c>
      <c r="B83" s="161">
        <v>2840</v>
      </c>
    </row>
    <row r="84" spans="1:2" x14ac:dyDescent="0.3">
      <c r="A84" t="s">
        <v>108</v>
      </c>
      <c r="B84" s="87">
        <v>355.15</v>
      </c>
    </row>
    <row r="85" spans="1:2" x14ac:dyDescent="0.3">
      <c r="A85" t="s">
        <v>21</v>
      </c>
      <c r="B85" s="83">
        <v>0.15</v>
      </c>
    </row>
    <row r="86" spans="1:2" x14ac:dyDescent="0.3">
      <c r="B86" s="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BAB93-6600-42EF-9B21-0389FA051566}">
  <dimension ref="A1:AC91"/>
  <sheetViews>
    <sheetView zoomScale="70" zoomScaleNormal="70" workbookViewId="0">
      <selection activeCell="S15" sqref="S15"/>
    </sheetView>
  </sheetViews>
  <sheetFormatPr defaultRowHeight="14.4" x14ac:dyDescent="0.3"/>
  <cols>
    <col min="1" max="1" width="15.109375" customWidth="1"/>
    <col min="2" max="2" width="14.88671875" style="9" customWidth="1"/>
    <col min="3" max="3" width="9.6640625" customWidth="1"/>
    <col min="4" max="4" width="2.6640625" customWidth="1"/>
    <col min="5" max="5" width="9.6640625" style="10" customWidth="1"/>
    <col min="6" max="6" width="9.6640625" customWidth="1"/>
    <col min="7" max="7" width="2.6640625" customWidth="1"/>
    <col min="8" max="8" width="9.6640625" style="10" customWidth="1"/>
    <col min="9" max="9" width="9.6640625" customWidth="1"/>
    <col min="10" max="10" width="2.6640625" customWidth="1"/>
    <col min="11" max="11" width="9.6640625" style="10" customWidth="1"/>
    <col min="12" max="12" width="9.6640625" customWidth="1"/>
    <col min="13" max="13" width="2.6640625" customWidth="1"/>
    <col min="14" max="14" width="9.6640625" style="10" customWidth="1"/>
    <col min="15" max="15" width="10" bestFit="1" customWidth="1"/>
    <col min="16" max="16" width="2.6640625" customWidth="1"/>
    <col min="17" max="17" width="9.6640625" style="10" customWidth="1"/>
    <col min="18" max="18" width="9.6640625" customWidth="1"/>
    <col min="19" max="19" width="14" customWidth="1"/>
    <col min="20" max="21" width="11.33203125" customWidth="1"/>
    <col min="22" max="22" width="2.6640625" customWidth="1"/>
    <col min="23" max="23" width="12.6640625" customWidth="1"/>
  </cols>
  <sheetData>
    <row r="1" spans="1:29" ht="15.75" customHeight="1" x14ac:dyDescent="0.3">
      <c r="A1" s="3" t="s">
        <v>26</v>
      </c>
    </row>
    <row r="2" spans="1:29" ht="15.75" customHeight="1" x14ac:dyDescent="0.3">
      <c r="S2" s="91"/>
    </row>
    <row r="3" spans="1:29" ht="15.75" customHeight="1" x14ac:dyDescent="0.3">
      <c r="A3" s="11"/>
      <c r="B3" s="167" t="str">
        <f>+SECURITIES!B9</f>
        <v>S&amp;P 500</v>
      </c>
      <c r="C3" s="167"/>
      <c r="E3" s="167" t="str">
        <f>+SECURITIES!B14</f>
        <v>Skechers USA Inc</v>
      </c>
      <c r="F3" s="167"/>
      <c r="H3" s="167" t="str">
        <f>+SECURITIES!B28</f>
        <v xml:space="preserve">Advanced Energy Industries, Inc. </v>
      </c>
      <c r="I3" s="167"/>
      <c r="K3" s="167" t="str">
        <f>+SECURITIES!B43</f>
        <v>Crocs, Inc.</v>
      </c>
      <c r="L3" s="167"/>
      <c r="N3" s="167" t="str">
        <f>+SECURITIES!B58</f>
        <v>J &amp; J Snack Foods Corp</v>
      </c>
      <c r="O3" s="167"/>
      <c r="Q3" s="167" t="str">
        <f>+SECURITIES!B73</f>
        <v>Korn Ferry</v>
      </c>
      <c r="R3" s="167"/>
      <c r="S3" s="166" t="s">
        <v>120</v>
      </c>
      <c r="T3" s="166"/>
      <c r="U3" s="166"/>
      <c r="W3" s="14" t="s">
        <v>27</v>
      </c>
      <c r="X3" s="15"/>
      <c r="Y3" s="15"/>
      <c r="Z3" s="15"/>
      <c r="AA3" s="15"/>
      <c r="AB3" s="15"/>
      <c r="AC3" s="15"/>
    </row>
    <row r="4" spans="1:29" ht="15.75" customHeight="1" x14ac:dyDescent="0.3">
      <c r="B4" s="166" t="str">
        <f>+SECURITIES!B10</f>
        <v>^GSPC</v>
      </c>
      <c r="C4" s="166"/>
      <c r="E4" s="166" t="str">
        <f>+SECURITIES!B15</f>
        <v>SKX</v>
      </c>
      <c r="F4" s="166"/>
      <c r="G4" s="12"/>
      <c r="H4" s="166" t="str">
        <f>+SECURITIES!B29</f>
        <v>AEIS</v>
      </c>
      <c r="I4" s="166"/>
      <c r="K4" s="166" t="str">
        <f>+SECURITIES!B44</f>
        <v>CROX</v>
      </c>
      <c r="L4" s="166"/>
      <c r="N4" s="166" t="str">
        <f>+SECURITIES!B59</f>
        <v>JJSF</v>
      </c>
      <c r="O4" s="166"/>
      <c r="Q4" s="166" t="str">
        <f>+SECURITIES!B74</f>
        <v>KFY</v>
      </c>
      <c r="R4" s="166"/>
      <c r="V4" s="13"/>
      <c r="W4" s="143"/>
      <c r="X4" s="153" t="str">
        <f>+B4</f>
        <v>^GSPC</v>
      </c>
      <c r="Y4" s="154" t="str">
        <f>+E4</f>
        <v>SKX</v>
      </c>
      <c r="Z4" s="154" t="str">
        <f>+H4</f>
        <v>AEIS</v>
      </c>
      <c r="AA4" s="154" t="str">
        <f>+K4</f>
        <v>CROX</v>
      </c>
      <c r="AB4" s="154" t="str">
        <f>+N4</f>
        <v>JJSF</v>
      </c>
      <c r="AC4" s="155" t="str">
        <f>+Q4</f>
        <v>KFY</v>
      </c>
    </row>
    <row r="5" spans="1:29" ht="15.75" customHeight="1" x14ac:dyDescent="0.35">
      <c r="B5" s="13"/>
      <c r="C5" s="13"/>
      <c r="E5" s="16"/>
      <c r="F5" s="12"/>
      <c r="G5" s="12"/>
      <c r="H5" s="16"/>
      <c r="I5" s="12"/>
      <c r="K5" s="16"/>
      <c r="L5" s="13"/>
      <c r="N5" s="16"/>
      <c r="O5" s="13"/>
      <c r="Q5" s="16"/>
      <c r="R5" s="13"/>
      <c r="T5" s="4" t="s">
        <v>121</v>
      </c>
      <c r="U5" s="4" t="s">
        <v>122</v>
      </c>
      <c r="V5" s="17"/>
      <c r="W5" s="156" t="str">
        <f>+B4</f>
        <v>^GSPC</v>
      </c>
      <c r="X5" s="144">
        <v>1</v>
      </c>
      <c r="Y5" s="136"/>
      <c r="Z5" s="136"/>
      <c r="AA5" s="136"/>
      <c r="AB5" s="136"/>
      <c r="AC5" s="135"/>
    </row>
    <row r="6" spans="1:29" ht="15.75" customHeight="1" x14ac:dyDescent="0.3">
      <c r="A6" s="3" t="s">
        <v>28</v>
      </c>
      <c r="B6" s="19" t="s">
        <v>29</v>
      </c>
      <c r="C6" s="20">
        <f>AVERAGE(C12:C71)</f>
        <v>9.7084570624397515E-3</v>
      </c>
      <c r="E6" s="21"/>
      <c r="F6" s="20">
        <f>AVERAGE(F40:F71)</f>
        <v>2.0172799766120863E-2</v>
      </c>
      <c r="G6" s="12"/>
      <c r="H6" s="21"/>
      <c r="I6" s="20">
        <f>AVERAGE(I12:I71)</f>
        <v>1.7316210060524046E-2</v>
      </c>
      <c r="K6" s="21"/>
      <c r="L6" s="20">
        <f>AVERAGE(L46:L71)</f>
        <v>1.6536862715770317E-2</v>
      </c>
      <c r="N6" s="21"/>
      <c r="O6" s="20">
        <f>AVERAGE(O12:O71)</f>
        <v>4.5573693699875462E-3</v>
      </c>
      <c r="Q6" s="21"/>
      <c r="R6" s="20">
        <f>AVERAGE(R12:R71)</f>
        <v>3.8786010062549902E-3</v>
      </c>
      <c r="S6" s="19" t="s">
        <v>29</v>
      </c>
      <c r="T6" s="20">
        <f>AVERAGE(T12:T71)*12</f>
        <v>0.12387148066617328</v>
      </c>
      <c r="U6" s="20">
        <f>AVERAGE(U12:U71)*12</f>
        <v>0.12183517557497561</v>
      </c>
      <c r="V6" s="18"/>
      <c r="W6" s="156" t="str">
        <f>+E4</f>
        <v>SKX</v>
      </c>
      <c r="X6" s="145">
        <f>CORREL(F12:F71,C$12:C$71)</f>
        <v>0.64157194615937696</v>
      </c>
      <c r="Y6" s="99">
        <v>1</v>
      </c>
      <c r="Z6" s="105"/>
      <c r="AA6" s="100"/>
      <c r="AB6" s="100"/>
      <c r="AC6" s="100"/>
    </row>
    <row r="7" spans="1:29" ht="15.75" customHeight="1" x14ac:dyDescent="0.3">
      <c r="B7" s="19" t="s">
        <v>30</v>
      </c>
      <c r="C7" s="20">
        <f>STDEV(C12:C71)</f>
        <v>5.4229571506294628E-2</v>
      </c>
      <c r="E7" s="21"/>
      <c r="F7" s="20">
        <f>STDEV(F12:F71)</f>
        <v>0.10992329911900628</v>
      </c>
      <c r="G7" s="12"/>
      <c r="H7" s="21"/>
      <c r="I7" s="20">
        <f>STDEV(I12:I71)</f>
        <v>0.11506776581715596</v>
      </c>
      <c r="K7" s="21"/>
      <c r="L7" s="20">
        <f>STDEV(L12:L71)</f>
        <v>0.17181913466460266</v>
      </c>
      <c r="N7" s="21"/>
      <c r="O7" s="20">
        <f>STDEV(O12:O71)</f>
        <v>7.2076335834823063E-2</v>
      </c>
      <c r="Q7" s="21"/>
      <c r="R7" s="20">
        <f>STDEV(R12:R71)</f>
        <v>0.11662013521508655</v>
      </c>
      <c r="S7" s="19" t="s">
        <v>30</v>
      </c>
      <c r="T7" s="20">
        <f>STDEV(T12:T71)*12^0.5</f>
        <v>0.21133888375348728</v>
      </c>
      <c r="U7" s="20">
        <f>STDEV(U12:U71)*12^0.5</f>
        <v>0.26328011158559517</v>
      </c>
      <c r="V7" s="18"/>
      <c r="W7" s="156" t="str">
        <f>+H4</f>
        <v>AEIS</v>
      </c>
      <c r="X7" s="145">
        <f>CORREL(I$12:I$71,C$12:C$71)</f>
        <v>0.73212800210732054</v>
      </c>
      <c r="Y7" s="145">
        <f>CORREL(I$12:I$71,F$12:F$71)</f>
        <v>0.49522116651360526</v>
      </c>
      <c r="Z7" s="99">
        <v>1</v>
      </c>
      <c r="AA7" s="100"/>
      <c r="AB7" s="105"/>
      <c r="AC7" s="100"/>
    </row>
    <row r="8" spans="1:29" ht="15.75" customHeight="1" x14ac:dyDescent="0.35">
      <c r="B8" s="19" t="s">
        <v>117</v>
      </c>
      <c r="C8" s="147">
        <v>0.5</v>
      </c>
      <c r="E8" s="21"/>
      <c r="F8" s="102">
        <v>0</v>
      </c>
      <c r="G8" s="103"/>
      <c r="H8" s="101"/>
      <c r="I8" s="102">
        <v>0.25</v>
      </c>
      <c r="J8" s="98"/>
      <c r="K8" s="101"/>
      <c r="L8" s="102">
        <v>0</v>
      </c>
      <c r="M8" s="98"/>
      <c r="N8" s="101"/>
      <c r="O8" s="102">
        <v>0.25</v>
      </c>
      <c r="P8" s="98"/>
      <c r="Q8" s="101"/>
      <c r="R8" s="102">
        <v>0</v>
      </c>
      <c r="S8" s="19" t="s">
        <v>31</v>
      </c>
      <c r="T8" s="22">
        <f>(T6-0.03)/T7</f>
        <v>0.44417515129713708</v>
      </c>
      <c r="U8" s="22">
        <f>(U6-0.03)/U7</f>
        <v>0.34881167066475899</v>
      </c>
      <c r="V8" s="23"/>
      <c r="W8" s="156" t="str">
        <f>+K4</f>
        <v>CROX</v>
      </c>
      <c r="X8" s="145">
        <f>CORREL(L$12:L$71,C$12:C$71)</f>
        <v>0.59847509540224586</v>
      </c>
      <c r="Y8" s="145">
        <f>CORREL(L$12:L$71,F$12:F$71)</f>
        <v>0.5487897626146373</v>
      </c>
      <c r="Z8" s="145">
        <f>CORREL(L$12:L$71,I$12:I$71)</f>
        <v>0.54228245391473107</v>
      </c>
      <c r="AA8" s="99">
        <v>1</v>
      </c>
      <c r="AB8" s="100"/>
      <c r="AC8" s="105"/>
    </row>
    <row r="9" spans="1:29" ht="15.75" customHeight="1" x14ac:dyDescent="0.35">
      <c r="B9" s="19" t="s">
        <v>118</v>
      </c>
      <c r="C9" s="148">
        <v>0.5</v>
      </c>
      <c r="E9" s="21"/>
      <c r="F9" s="102">
        <v>0</v>
      </c>
      <c r="G9" s="103"/>
      <c r="H9" s="101"/>
      <c r="I9" s="102">
        <v>0.25</v>
      </c>
      <c r="J9" s="98"/>
      <c r="K9" s="101"/>
      <c r="L9" s="102">
        <v>0</v>
      </c>
      <c r="M9" s="98"/>
      <c r="N9" s="101"/>
      <c r="O9" s="102">
        <v>0</v>
      </c>
      <c r="P9" s="98"/>
      <c r="Q9" s="101"/>
      <c r="R9" s="102">
        <v>0.25</v>
      </c>
      <c r="W9" s="156" t="str">
        <f>+N4</f>
        <v>JJSF</v>
      </c>
      <c r="X9" s="145">
        <f>CORREL(O$12:O$71,C$12:C$71)</f>
        <v>0.41968430248229027</v>
      </c>
      <c r="Y9" s="145">
        <f>CORREL(O$12:O$71,F$12:F$71)</f>
        <v>0.49486357521222935</v>
      </c>
      <c r="Z9" s="145">
        <f>CORREL(O$12:O$71,I$12:I$71)</f>
        <v>0.27234204391298622</v>
      </c>
      <c r="AA9" s="145">
        <f>CORREL(O$12:O$71,L$12:L$71)</f>
        <v>0.26499745664540336</v>
      </c>
      <c r="AB9" s="99">
        <v>1</v>
      </c>
      <c r="AC9" s="100"/>
    </row>
    <row r="10" spans="1:29" ht="15.75" customHeight="1" x14ac:dyDescent="0.3">
      <c r="A10" s="3" t="s">
        <v>32</v>
      </c>
      <c r="B10" s="13"/>
      <c r="C10" s="13"/>
      <c r="E10" s="16"/>
      <c r="G10" s="24"/>
      <c r="H10" s="16"/>
      <c r="J10" s="9"/>
      <c r="K10" s="16"/>
      <c r="M10" s="9"/>
      <c r="N10" s="16"/>
      <c r="P10" s="9"/>
      <c r="Q10" s="16"/>
      <c r="W10" s="156" t="str">
        <f>+Q4</f>
        <v>KFY</v>
      </c>
      <c r="X10" s="145">
        <f>CORREL(R$12:R$71,C$12:C$71)</f>
        <v>0.69694992690272883</v>
      </c>
      <c r="Y10" s="145">
        <f>CORREL(R$12:R$71,F$12:F$71)</f>
        <v>0.50081130759058712</v>
      </c>
      <c r="Z10" s="145">
        <f>CORREL(R$12:R$71,I$12:I$71)</f>
        <v>0.66742898598303912</v>
      </c>
      <c r="AA10" s="145">
        <f>CORREL(R$12:R$71,L$12:L$71)</f>
        <v>0.49338533726917533</v>
      </c>
      <c r="AB10" s="145">
        <f>CORREL(R$12:R$71,O$12:O$71)</f>
        <v>0.43828148757551988</v>
      </c>
      <c r="AC10" s="146">
        <v>1</v>
      </c>
    </row>
    <row r="11" spans="1:29" ht="15.75" customHeight="1" x14ac:dyDescent="0.3">
      <c r="A11" s="25" t="s">
        <v>33</v>
      </c>
      <c r="B11" s="26" t="s">
        <v>35</v>
      </c>
      <c r="C11" s="17" t="s">
        <v>34</v>
      </c>
      <c r="E11" s="27" t="s">
        <v>35</v>
      </c>
      <c r="F11" s="17" t="s">
        <v>34</v>
      </c>
      <c r="G11" s="28"/>
      <c r="H11" s="27" t="s">
        <v>35</v>
      </c>
      <c r="I11" s="17" t="s">
        <v>34</v>
      </c>
      <c r="K11" s="27" t="s">
        <v>35</v>
      </c>
      <c r="L11" s="17" t="s">
        <v>34</v>
      </c>
      <c r="N11" s="27" t="s">
        <v>35</v>
      </c>
      <c r="O11" s="17" t="s">
        <v>34</v>
      </c>
      <c r="Q11" s="27" t="s">
        <v>35</v>
      </c>
      <c r="R11" s="17" t="s">
        <v>34</v>
      </c>
      <c r="T11" s="17" t="s">
        <v>34</v>
      </c>
      <c r="U11" s="17" t="s">
        <v>34</v>
      </c>
    </row>
    <row r="12" spans="1:29" ht="15.75" customHeight="1" x14ac:dyDescent="0.3">
      <c r="A12" s="89">
        <v>43282</v>
      </c>
      <c r="B12" s="134">
        <v>2816.29</v>
      </c>
      <c r="C12" s="162">
        <v>3.5999999999999997E-2</v>
      </c>
      <c r="E12" s="134">
        <v>27.719999000000001</v>
      </c>
      <c r="F12" s="5">
        <f>(E12-30.01)/30.01</f>
        <v>-7.6307930689770084E-2</v>
      </c>
      <c r="H12" s="134">
        <v>60.516651000000003</v>
      </c>
      <c r="I12" s="162">
        <v>5.4300000000000001E-2</v>
      </c>
      <c r="K12" s="134">
        <v>18.110001</v>
      </c>
      <c r="L12" s="5">
        <f>(K12-17.61)/17.61</f>
        <v>2.8393015332197673E-2</v>
      </c>
      <c r="N12" s="134">
        <v>133.36947599999999</v>
      </c>
      <c r="O12" s="162">
        <v>-4.6300000000000001E-2</v>
      </c>
      <c r="Q12" s="134">
        <v>62.436275000000002</v>
      </c>
      <c r="R12" s="162">
        <v>6.88E-2</v>
      </c>
      <c r="S12" s="30"/>
      <c r="T12" s="29">
        <f>0.5*C12+0.25*O12+0.25*I12</f>
        <v>1.9999999999999997E-2</v>
      </c>
      <c r="U12" s="29">
        <f>0.5*C12+0.25*R12+0.25*I12</f>
        <v>4.8774999999999999E-2</v>
      </c>
      <c r="V12" s="2"/>
    </row>
    <row r="13" spans="1:29" ht="15.75" customHeight="1" x14ac:dyDescent="0.3">
      <c r="A13" s="89">
        <f t="shared" ref="A13:A71" si="0">EDATE(A12,1)</f>
        <v>43313</v>
      </c>
      <c r="B13" s="134">
        <v>2901.52</v>
      </c>
      <c r="C13" s="5">
        <f>(B13-B12)/B12</f>
        <v>3.0263218631603996E-2</v>
      </c>
      <c r="E13" s="134">
        <v>29.48</v>
      </c>
      <c r="F13" s="5">
        <f>(E13-E12)/E12</f>
        <v>6.3492101857579392E-2</v>
      </c>
      <c r="H13" s="134">
        <v>58.876255</v>
      </c>
      <c r="I13" s="5">
        <f>(H13-H12)/H12</f>
        <v>-2.7106523128651031E-2</v>
      </c>
      <c r="K13" s="134">
        <v>20.66</v>
      </c>
      <c r="L13" s="5">
        <f>(K13-K12)/K12</f>
        <v>0.14080612143533286</v>
      </c>
      <c r="N13" s="134">
        <v>133.866241</v>
      </c>
      <c r="O13" s="5">
        <f>(N13-N12)/N12</f>
        <v>3.7247278380250258E-3</v>
      </c>
      <c r="Q13" s="134">
        <v>63.524498000000001</v>
      </c>
      <c r="R13" s="5">
        <f>(Q13-Q12)/Q12</f>
        <v>1.7429338953997484E-2</v>
      </c>
      <c r="T13" s="29">
        <f t="shared" ref="T13:T71" si="1">0.5*C13+0.25*O13+0.25*I13</f>
        <v>9.2861604931454983E-3</v>
      </c>
      <c r="U13" s="29">
        <f t="shared" ref="U13:U71" si="2">0.5*C13+0.25*R13+0.25*I13</f>
        <v>1.2712313272138613E-2</v>
      </c>
      <c r="V13" s="2"/>
    </row>
    <row r="14" spans="1:29" x14ac:dyDescent="0.3">
      <c r="A14" s="89">
        <f t="shared" si="0"/>
        <v>43344</v>
      </c>
      <c r="B14" s="134">
        <v>2913.98</v>
      </c>
      <c r="C14" s="5">
        <f t="shared" ref="C14:C70" si="3">(B14-B13)/B13</f>
        <v>4.2943009181394707E-3</v>
      </c>
      <c r="E14" s="134">
        <v>27.93</v>
      </c>
      <c r="F14" s="5">
        <f t="shared" ref="F14:F39" si="4">(E14-E13)/E13</f>
        <v>-5.2578018995929468E-2</v>
      </c>
      <c r="H14" s="134">
        <v>51.039921</v>
      </c>
      <c r="I14" s="5">
        <f t="shared" ref="I14:I71" si="5">(H14-H13)/H13</f>
        <v>-0.13309837726601328</v>
      </c>
      <c r="K14" s="134">
        <v>21.290001</v>
      </c>
      <c r="L14" s="5">
        <f t="shared" ref="L14:L46" si="6">(K14-K13)/K13</f>
        <v>3.049375605033882E-2</v>
      </c>
      <c r="N14" s="134">
        <v>138.82527200000001</v>
      </c>
      <c r="O14" s="5">
        <f t="shared" ref="O14:O71" si="7">(N14-N13)/N13</f>
        <v>3.7044672076808449E-2</v>
      </c>
      <c r="Q14" s="134">
        <v>46.595356000000002</v>
      </c>
      <c r="R14" s="5">
        <f t="shared" ref="R14:R71" si="8">(Q14-Q13)/Q13</f>
        <v>-0.26649784780668395</v>
      </c>
      <c r="T14" s="29">
        <f t="shared" si="1"/>
        <v>-2.1866275838231475E-2</v>
      </c>
      <c r="U14" s="29">
        <f t="shared" si="2"/>
        <v>-9.7751905809104561E-2</v>
      </c>
      <c r="V14" s="2"/>
    </row>
    <row r="15" spans="1:29" x14ac:dyDescent="0.3">
      <c r="A15" s="89">
        <f t="shared" si="0"/>
        <v>43374</v>
      </c>
      <c r="B15" s="134">
        <v>2711.74</v>
      </c>
      <c r="C15" s="5">
        <f t="shared" si="3"/>
        <v>-6.9403358979814631E-2</v>
      </c>
      <c r="E15" s="134">
        <v>28.57</v>
      </c>
      <c r="F15" s="5">
        <f t="shared" si="4"/>
        <v>2.2914428929466543E-2</v>
      </c>
      <c r="H15" s="134">
        <v>42.521743999999998</v>
      </c>
      <c r="I15" s="5">
        <f t="shared" si="5"/>
        <v>-0.16689244091894267</v>
      </c>
      <c r="K15" s="134">
        <v>20.540001</v>
      </c>
      <c r="L15" s="5">
        <f t="shared" si="6"/>
        <v>-3.5227804827252004E-2</v>
      </c>
      <c r="N15" s="134">
        <v>144.10675000000001</v>
      </c>
      <c r="O15" s="5">
        <f t="shared" si="7"/>
        <v>3.8044067365486538E-2</v>
      </c>
      <c r="Q15" s="134">
        <v>42.802264999999998</v>
      </c>
      <c r="R15" s="5">
        <f t="shared" si="8"/>
        <v>-8.1404915116433579E-2</v>
      </c>
      <c r="T15" s="29">
        <f t="shared" si="1"/>
        <v>-6.6913772878271355E-2</v>
      </c>
      <c r="U15" s="29">
        <f t="shared" si="2"/>
        <v>-9.6776018498751379E-2</v>
      </c>
      <c r="V15" s="2"/>
    </row>
    <row r="16" spans="1:29" x14ac:dyDescent="0.3">
      <c r="A16" s="89">
        <f t="shared" si="0"/>
        <v>43405</v>
      </c>
      <c r="B16" s="134">
        <v>2760.17</v>
      </c>
      <c r="C16" s="5">
        <f t="shared" si="3"/>
        <v>1.7859381799140144E-2</v>
      </c>
      <c r="E16" s="134">
        <v>27</v>
      </c>
      <c r="F16" s="5">
        <f t="shared" si="4"/>
        <v>-5.495274763738188E-2</v>
      </c>
      <c r="H16" s="134">
        <v>46.484375</v>
      </c>
      <c r="I16" s="5">
        <f t="shared" si="5"/>
        <v>9.3190697916811741E-2</v>
      </c>
      <c r="K16" s="134">
        <v>27.799999</v>
      </c>
      <c r="L16" s="5">
        <f t="shared" si="6"/>
        <v>0.35345655533317644</v>
      </c>
      <c r="N16" s="134">
        <v>144.76194799999999</v>
      </c>
      <c r="O16" s="5">
        <f t="shared" si="7"/>
        <v>4.5466156165480404E-3</v>
      </c>
      <c r="Q16" s="134">
        <v>46.433928999999999</v>
      </c>
      <c r="R16" s="5">
        <f t="shared" si="8"/>
        <v>8.4847472441002852E-2</v>
      </c>
      <c r="T16" s="29">
        <f t="shared" si="1"/>
        <v>3.3364019282910017E-2</v>
      </c>
      <c r="U16" s="29">
        <f t="shared" si="2"/>
        <v>5.343923348902372E-2</v>
      </c>
      <c r="V16" s="2"/>
    </row>
    <row r="17" spans="1:22" x14ac:dyDescent="0.3">
      <c r="A17" s="89">
        <f t="shared" si="0"/>
        <v>43435</v>
      </c>
      <c r="B17" s="134">
        <v>2506.85</v>
      </c>
      <c r="C17" s="5">
        <f t="shared" si="3"/>
        <v>-9.1776955767217297E-2</v>
      </c>
      <c r="E17" s="134">
        <v>22.889999</v>
      </c>
      <c r="F17" s="5">
        <f t="shared" si="4"/>
        <v>-0.15222225925925928</v>
      </c>
      <c r="H17" s="134">
        <v>42.422927999999999</v>
      </c>
      <c r="I17" s="5">
        <f t="shared" si="5"/>
        <v>-8.7372305210084059E-2</v>
      </c>
      <c r="K17" s="134">
        <v>25.98</v>
      </c>
      <c r="L17" s="5">
        <f t="shared" si="6"/>
        <v>-6.5467592283006887E-2</v>
      </c>
      <c r="N17" s="134">
        <v>133.429779</v>
      </c>
      <c r="O17" s="5">
        <f t="shared" si="7"/>
        <v>-7.8281407210684911E-2</v>
      </c>
      <c r="Q17" s="134">
        <v>37.492294000000001</v>
      </c>
      <c r="R17" s="5">
        <f t="shared" si="8"/>
        <v>-0.19256684051009335</v>
      </c>
      <c r="T17" s="29">
        <f t="shared" si="1"/>
        <v>-8.7301905988800887E-2</v>
      </c>
      <c r="U17" s="29">
        <f t="shared" si="2"/>
        <v>-0.115873264313653</v>
      </c>
      <c r="V17" s="2"/>
    </row>
    <row r="18" spans="1:22" x14ac:dyDescent="0.3">
      <c r="A18" s="89">
        <f t="shared" si="0"/>
        <v>43466</v>
      </c>
      <c r="B18" s="134">
        <v>2704.1</v>
      </c>
      <c r="C18" s="5">
        <f t="shared" si="3"/>
        <v>7.8684404731036967E-2</v>
      </c>
      <c r="E18" s="134">
        <v>27.17</v>
      </c>
      <c r="F18" s="5">
        <f t="shared" si="4"/>
        <v>0.18698126636003795</v>
      </c>
      <c r="H18" s="134">
        <v>50.684176999999998</v>
      </c>
      <c r="I18" s="5">
        <f t="shared" si="5"/>
        <v>0.19473547417566273</v>
      </c>
      <c r="K18" s="134">
        <v>28.719999000000001</v>
      </c>
      <c r="L18" s="5">
        <f t="shared" si="6"/>
        <v>0.1054657043879908</v>
      </c>
      <c r="N18" s="134">
        <v>142.90121500000001</v>
      </c>
      <c r="O18" s="5">
        <f t="shared" si="7"/>
        <v>7.0984423949319531E-2</v>
      </c>
      <c r="Q18" s="134">
        <v>43.339024000000002</v>
      </c>
      <c r="R18" s="5">
        <f t="shared" si="8"/>
        <v>0.15594484562614389</v>
      </c>
      <c r="T18" s="29">
        <f t="shared" si="1"/>
        <v>0.10577217689676405</v>
      </c>
      <c r="U18" s="29">
        <f t="shared" si="2"/>
        <v>0.12701228231597014</v>
      </c>
      <c r="V18" s="2"/>
    </row>
    <row r="19" spans="1:22" x14ac:dyDescent="0.3">
      <c r="A19" s="89">
        <f t="shared" si="0"/>
        <v>43497</v>
      </c>
      <c r="B19" s="134">
        <v>2784.49</v>
      </c>
      <c r="C19" s="5">
        <f t="shared" si="3"/>
        <v>2.9728930143115964E-2</v>
      </c>
      <c r="E19" s="134">
        <v>33.630001</v>
      </c>
      <c r="F19" s="5">
        <f t="shared" si="4"/>
        <v>0.23776227456753765</v>
      </c>
      <c r="H19" s="134">
        <v>49.775042999999997</v>
      </c>
      <c r="I19" s="5">
        <f t="shared" si="5"/>
        <v>-1.7937235125668544E-2</v>
      </c>
      <c r="K19" s="134">
        <v>25.68</v>
      </c>
      <c r="L19" s="5">
        <f t="shared" si="6"/>
        <v>-0.10584955103932983</v>
      </c>
      <c r="N19" s="134">
        <v>143.76220699999999</v>
      </c>
      <c r="O19" s="5">
        <f t="shared" si="7"/>
        <v>6.0250852310806575E-3</v>
      </c>
      <c r="Q19" s="134">
        <v>46.370868999999999</v>
      </c>
      <c r="R19" s="5">
        <f t="shared" si="8"/>
        <v>6.995646694766354E-2</v>
      </c>
      <c r="T19" s="29">
        <f t="shared" si="1"/>
        <v>1.188642759791101E-2</v>
      </c>
      <c r="U19" s="29">
        <f t="shared" si="2"/>
        <v>2.7869273027056728E-2</v>
      </c>
      <c r="V19" s="2"/>
    </row>
    <row r="20" spans="1:22" x14ac:dyDescent="0.3">
      <c r="A20" s="89">
        <f t="shared" si="0"/>
        <v>43525</v>
      </c>
      <c r="B20" s="134">
        <v>2834.4</v>
      </c>
      <c r="C20" s="5">
        <f t="shared" si="3"/>
        <v>1.7924287751078408E-2</v>
      </c>
      <c r="E20" s="134">
        <v>33.610000999999997</v>
      </c>
      <c r="F20" s="5">
        <f t="shared" si="4"/>
        <v>-5.9470708906619201E-4</v>
      </c>
      <c r="H20" s="134">
        <v>49.093197000000004</v>
      </c>
      <c r="I20" s="5">
        <f t="shared" si="5"/>
        <v>-1.3698551701903967E-2</v>
      </c>
      <c r="K20" s="134">
        <v>25.75</v>
      </c>
      <c r="L20" s="5">
        <f t="shared" si="6"/>
        <v>2.7258566978193258E-3</v>
      </c>
      <c r="N20" s="134">
        <v>147.058167</v>
      </c>
      <c r="O20" s="5">
        <f t="shared" si="7"/>
        <v>2.2926470515300369E-2</v>
      </c>
      <c r="Q20" s="134">
        <v>42.559688999999999</v>
      </c>
      <c r="R20" s="5">
        <f t="shared" si="8"/>
        <v>-8.2189100230146653E-2</v>
      </c>
      <c r="T20" s="29">
        <f t="shared" si="1"/>
        <v>1.1269123578888304E-2</v>
      </c>
      <c r="U20" s="29">
        <f t="shared" si="2"/>
        <v>-1.5009769107473451E-2</v>
      </c>
      <c r="V20" s="2"/>
    </row>
    <row r="21" spans="1:22" x14ac:dyDescent="0.3">
      <c r="A21" s="89">
        <f t="shared" si="0"/>
        <v>43556</v>
      </c>
      <c r="B21" s="134">
        <v>2945.83</v>
      </c>
      <c r="C21" s="5">
        <f t="shared" si="3"/>
        <v>3.9313434942139368E-2</v>
      </c>
      <c r="E21" s="134">
        <v>31.66</v>
      </c>
      <c r="F21" s="5">
        <f t="shared" si="4"/>
        <v>-5.8018474917629334E-2</v>
      </c>
      <c r="H21" s="134">
        <v>57.077750999999999</v>
      </c>
      <c r="I21" s="5">
        <f t="shared" si="5"/>
        <v>0.16264074226007313</v>
      </c>
      <c r="K21" s="134">
        <v>27.85</v>
      </c>
      <c r="L21" s="5">
        <f t="shared" si="6"/>
        <v>8.1553398058252485E-2</v>
      </c>
      <c r="N21" s="134">
        <v>146.00206</v>
      </c>
      <c r="O21" s="5">
        <f t="shared" si="7"/>
        <v>-7.1815596613549332E-3</v>
      </c>
      <c r="Q21" s="134">
        <v>44.788573999999997</v>
      </c>
      <c r="R21" s="5">
        <f t="shared" si="8"/>
        <v>5.2370800923850692E-2</v>
      </c>
      <c r="T21" s="29">
        <f t="shared" si="1"/>
        <v>5.8521513120749234E-2</v>
      </c>
      <c r="U21" s="29">
        <f t="shared" si="2"/>
        <v>7.3409603267050649E-2</v>
      </c>
      <c r="V21" s="2"/>
    </row>
    <row r="22" spans="1:22" x14ac:dyDescent="0.3">
      <c r="A22" s="89">
        <f t="shared" si="0"/>
        <v>43586</v>
      </c>
      <c r="B22" s="134">
        <v>2752.06</v>
      </c>
      <c r="C22" s="5">
        <f t="shared" si="3"/>
        <v>-6.5777726481161508E-2</v>
      </c>
      <c r="E22" s="134">
        <v>27.93</v>
      </c>
      <c r="F22" s="5">
        <f t="shared" si="4"/>
        <v>-0.11781427668982945</v>
      </c>
      <c r="H22" s="134">
        <v>49.577404000000001</v>
      </c>
      <c r="I22" s="5">
        <f t="shared" si="5"/>
        <v>-0.13140579067314684</v>
      </c>
      <c r="K22" s="134">
        <v>19.32</v>
      </c>
      <c r="L22" s="5">
        <f t="shared" si="6"/>
        <v>-0.30628366247755839</v>
      </c>
      <c r="N22" s="134">
        <v>149.41108700000001</v>
      </c>
      <c r="O22" s="5">
        <f t="shared" si="7"/>
        <v>2.3349170552799111E-2</v>
      </c>
      <c r="Q22" s="134">
        <v>41.035556999999997</v>
      </c>
      <c r="R22" s="5">
        <f t="shared" si="8"/>
        <v>-8.3794072122055058E-2</v>
      </c>
      <c r="T22" s="29">
        <f t="shared" si="1"/>
        <v>-5.9903018270667685E-2</v>
      </c>
      <c r="U22" s="29">
        <f t="shared" si="2"/>
        <v>-8.6688828939381235E-2</v>
      </c>
      <c r="V22" s="2"/>
    </row>
    <row r="23" spans="1:22" x14ac:dyDescent="0.3">
      <c r="A23" s="89">
        <f t="shared" si="0"/>
        <v>43617</v>
      </c>
      <c r="B23" s="134">
        <v>2941.76</v>
      </c>
      <c r="C23" s="5">
        <f t="shared" si="3"/>
        <v>6.8930183208215035E-2</v>
      </c>
      <c r="E23" s="134">
        <v>31.49</v>
      </c>
      <c r="F23" s="5">
        <f t="shared" si="4"/>
        <v>0.12746151092015751</v>
      </c>
      <c r="H23" s="134">
        <v>55.605353999999998</v>
      </c>
      <c r="I23" s="5">
        <f t="shared" si="5"/>
        <v>0.12158664055907399</v>
      </c>
      <c r="K23" s="134">
        <v>19.75</v>
      </c>
      <c r="L23" s="5">
        <f t="shared" si="6"/>
        <v>2.2256728778467894E-2</v>
      </c>
      <c r="N23" s="134">
        <v>149.50396699999999</v>
      </c>
      <c r="O23" s="5">
        <f t="shared" si="7"/>
        <v>6.2164061492959782E-4</v>
      </c>
      <c r="Q23" s="134">
        <v>38.168399999999998</v>
      </c>
      <c r="R23" s="5">
        <f t="shared" si="8"/>
        <v>-6.9870064149488681E-2</v>
      </c>
      <c r="T23" s="29">
        <f t="shared" si="1"/>
        <v>6.5017161897608408E-2</v>
      </c>
      <c r="U23" s="29">
        <f t="shared" si="2"/>
        <v>4.7394235706503848E-2</v>
      </c>
      <c r="V23" s="2"/>
    </row>
    <row r="24" spans="1:22" x14ac:dyDescent="0.3">
      <c r="A24" s="89">
        <f t="shared" si="0"/>
        <v>43647</v>
      </c>
      <c r="B24" s="134">
        <v>2980.38</v>
      </c>
      <c r="C24" s="5">
        <f t="shared" si="3"/>
        <v>1.312819536603934E-2</v>
      </c>
      <c r="E24" s="134">
        <v>37.939999</v>
      </c>
      <c r="F24" s="5">
        <f t="shared" si="4"/>
        <v>0.20482689742775492</v>
      </c>
      <c r="H24" s="134">
        <v>57.710197000000001</v>
      </c>
      <c r="I24" s="5">
        <f t="shared" si="5"/>
        <v>3.78532434124959E-2</v>
      </c>
      <c r="K24" s="134">
        <v>22.85</v>
      </c>
      <c r="L24" s="5">
        <f t="shared" si="6"/>
        <v>0.15696202531645576</v>
      </c>
      <c r="N24" s="134">
        <v>173.15031400000001</v>
      </c>
      <c r="O24" s="5">
        <f t="shared" si="7"/>
        <v>0.15816534821447262</v>
      </c>
      <c r="Q24" s="134">
        <v>37.415889999999997</v>
      </c>
      <c r="R24" s="5">
        <f t="shared" si="8"/>
        <v>-1.9715523836472081E-2</v>
      </c>
      <c r="T24" s="29">
        <f t="shared" si="1"/>
        <v>5.5568745589761798E-2</v>
      </c>
      <c r="U24" s="29">
        <f t="shared" si="2"/>
        <v>1.1098527577025626E-2</v>
      </c>
      <c r="V24" s="2"/>
    </row>
    <row r="25" spans="1:22" x14ac:dyDescent="0.3">
      <c r="A25" s="89">
        <f t="shared" si="0"/>
        <v>43678</v>
      </c>
      <c r="B25" s="134">
        <v>2926.46</v>
      </c>
      <c r="C25" s="5">
        <f t="shared" si="3"/>
        <v>-1.8091652742267789E-2</v>
      </c>
      <c r="E25" s="134">
        <v>31.66</v>
      </c>
      <c r="F25" s="5">
        <f t="shared" si="4"/>
        <v>-0.16552449039337086</v>
      </c>
      <c r="H25" s="134">
        <v>51.030040999999997</v>
      </c>
      <c r="I25" s="5">
        <f t="shared" si="5"/>
        <v>-0.11575347767397161</v>
      </c>
      <c r="K25" s="134">
        <v>22.299999</v>
      </c>
      <c r="L25" s="5">
        <f t="shared" si="6"/>
        <v>-2.4070065645514296E-2</v>
      </c>
      <c r="N25" s="134">
        <v>179.87733499999999</v>
      </c>
      <c r="O25" s="5">
        <f t="shared" si="7"/>
        <v>3.885075830702784E-2</v>
      </c>
      <c r="Q25" s="134">
        <v>37.318527000000003</v>
      </c>
      <c r="R25" s="5">
        <f t="shared" si="8"/>
        <v>-2.602183190082992E-3</v>
      </c>
      <c r="T25" s="29">
        <f t="shared" si="1"/>
        <v>-2.8271506212869835E-2</v>
      </c>
      <c r="U25" s="29">
        <f t="shared" si="2"/>
        <v>-3.8634741587147546E-2</v>
      </c>
      <c r="V25" s="2"/>
    </row>
    <row r="26" spans="1:22" x14ac:dyDescent="0.3">
      <c r="A26" s="89">
        <f t="shared" si="0"/>
        <v>43709</v>
      </c>
      <c r="B26" s="134">
        <v>2976.74</v>
      </c>
      <c r="C26" s="5">
        <f t="shared" si="3"/>
        <v>1.7181167690656883E-2</v>
      </c>
      <c r="E26" s="134">
        <v>37.349997999999999</v>
      </c>
      <c r="F26" s="5">
        <f t="shared" si="4"/>
        <v>0.17972198357548955</v>
      </c>
      <c r="H26" s="134">
        <v>56.731895000000002</v>
      </c>
      <c r="I26" s="5">
        <f t="shared" si="5"/>
        <v>0.11173524238399113</v>
      </c>
      <c r="K26" s="134">
        <v>27.76</v>
      </c>
      <c r="L26" s="5">
        <f t="shared" si="6"/>
        <v>0.24484310514991511</v>
      </c>
      <c r="N26" s="134">
        <v>178.88969399999999</v>
      </c>
      <c r="O26" s="5">
        <f t="shared" si="7"/>
        <v>-5.4906361604701139E-3</v>
      </c>
      <c r="Q26" s="134">
        <v>36.898350000000001</v>
      </c>
      <c r="R26" s="5">
        <f t="shared" si="8"/>
        <v>-1.1259206452602012E-2</v>
      </c>
      <c r="T26" s="29">
        <f t="shared" si="1"/>
        <v>3.5151735401208695E-2</v>
      </c>
      <c r="U26" s="29">
        <f t="shared" si="2"/>
        <v>3.3709592828175719E-2</v>
      </c>
      <c r="V26" s="2"/>
    </row>
    <row r="27" spans="1:22" x14ac:dyDescent="0.3">
      <c r="A27" s="89">
        <f t="shared" si="0"/>
        <v>43739</v>
      </c>
      <c r="B27" s="134">
        <v>3037.56</v>
      </c>
      <c r="C27" s="5">
        <f t="shared" si="3"/>
        <v>2.0431747482144953E-2</v>
      </c>
      <c r="E27" s="134">
        <v>37.369999</v>
      </c>
      <c r="F27" s="5">
        <f t="shared" si="4"/>
        <v>5.3550203670695246E-4</v>
      </c>
      <c r="H27" s="134">
        <v>58.401927999999998</v>
      </c>
      <c r="I27" s="5">
        <f t="shared" si="5"/>
        <v>2.9437285675015731E-2</v>
      </c>
      <c r="K27" s="134">
        <v>34.990001999999997</v>
      </c>
      <c r="L27" s="5">
        <f t="shared" si="6"/>
        <v>0.26044675792507188</v>
      </c>
      <c r="N27" s="134">
        <v>178.19601399999999</v>
      </c>
      <c r="O27" s="5">
        <f t="shared" si="7"/>
        <v>-3.8776968336700301E-3</v>
      </c>
      <c r="Q27" s="134">
        <v>35.125670999999997</v>
      </c>
      <c r="R27" s="5">
        <f t="shared" si="8"/>
        <v>-4.8042229530588863E-2</v>
      </c>
      <c r="T27" s="29">
        <f t="shared" si="1"/>
        <v>1.6605770951408902E-2</v>
      </c>
      <c r="U27" s="29">
        <f t="shared" si="2"/>
        <v>5.5646377771791933E-3</v>
      </c>
      <c r="V27" s="2"/>
    </row>
    <row r="28" spans="1:22" x14ac:dyDescent="0.3">
      <c r="A28" s="89">
        <f t="shared" si="0"/>
        <v>43770</v>
      </c>
      <c r="B28" s="134">
        <v>3140.98</v>
      </c>
      <c r="C28" s="5">
        <f t="shared" si="3"/>
        <v>3.4047064090915104E-2</v>
      </c>
      <c r="E28" s="134">
        <v>40.220001000000003</v>
      </c>
      <c r="F28" s="5">
        <f t="shared" si="4"/>
        <v>7.6264438754734876E-2</v>
      </c>
      <c r="H28" s="134">
        <v>63.451560999999998</v>
      </c>
      <c r="I28" s="5">
        <f t="shared" si="5"/>
        <v>8.6463464014407201E-2</v>
      </c>
      <c r="K28" s="134">
        <v>34.900002000000001</v>
      </c>
      <c r="L28" s="5">
        <f t="shared" si="6"/>
        <v>-2.5721633282557777E-3</v>
      </c>
      <c r="N28" s="134">
        <v>172.81542999999999</v>
      </c>
      <c r="O28" s="5">
        <f t="shared" si="7"/>
        <v>-3.0194749474025829E-2</v>
      </c>
      <c r="Q28" s="134">
        <v>37.605235999999998</v>
      </c>
      <c r="R28" s="5">
        <f t="shared" si="8"/>
        <v>7.0591249345813234E-2</v>
      </c>
      <c r="T28" s="29">
        <f t="shared" si="1"/>
        <v>3.1090710680552896E-2</v>
      </c>
      <c r="U28" s="29">
        <f t="shared" si="2"/>
        <v>5.6287210385512654E-2</v>
      </c>
      <c r="V28" s="2"/>
    </row>
    <row r="29" spans="1:22" x14ac:dyDescent="0.3">
      <c r="A29" s="89">
        <f t="shared" si="0"/>
        <v>43800</v>
      </c>
      <c r="B29" s="134">
        <v>3230.78</v>
      </c>
      <c r="C29" s="5">
        <f t="shared" si="3"/>
        <v>2.8589803182446302E-2</v>
      </c>
      <c r="E29" s="134">
        <v>43.189999</v>
      </c>
      <c r="F29" s="5">
        <f t="shared" si="4"/>
        <v>7.3843807214226481E-2</v>
      </c>
      <c r="H29" s="134">
        <v>70.359001000000006</v>
      </c>
      <c r="I29" s="5">
        <f t="shared" si="5"/>
        <v>0.10886162438147122</v>
      </c>
      <c r="K29" s="134">
        <v>41.889999000000003</v>
      </c>
      <c r="L29" s="5">
        <f t="shared" si="6"/>
        <v>0.2002864355136714</v>
      </c>
      <c r="N29" s="134">
        <v>172.13346899999999</v>
      </c>
      <c r="O29" s="5">
        <f t="shared" si="7"/>
        <v>-3.9461811945843096E-3</v>
      </c>
      <c r="Q29" s="134">
        <v>40.592213000000001</v>
      </c>
      <c r="R29" s="5">
        <f t="shared" si="8"/>
        <v>7.9429816635109091E-2</v>
      </c>
      <c r="T29" s="29">
        <f t="shared" si="1"/>
        <v>4.0523762387944876E-2</v>
      </c>
      <c r="U29" s="29">
        <f t="shared" si="2"/>
        <v>6.1367761845368227E-2</v>
      </c>
      <c r="V29" s="2"/>
    </row>
    <row r="30" spans="1:22" x14ac:dyDescent="0.3">
      <c r="A30" s="89">
        <f t="shared" si="0"/>
        <v>43831</v>
      </c>
      <c r="B30" s="134">
        <v>3225.52</v>
      </c>
      <c r="C30" s="5">
        <f t="shared" si="3"/>
        <v>-1.6280898111292685E-3</v>
      </c>
      <c r="E30" s="134">
        <v>37.389999000000003</v>
      </c>
      <c r="F30" s="5">
        <f t="shared" si="4"/>
        <v>-0.13429034809655813</v>
      </c>
      <c r="H30" s="134">
        <v>69.113892000000007</v>
      </c>
      <c r="I30" s="5">
        <f t="shared" si="5"/>
        <v>-1.7696513343047598E-2</v>
      </c>
      <c r="K30" s="134">
        <v>37.909999999999997</v>
      </c>
      <c r="L30" s="5">
        <f t="shared" si="6"/>
        <v>-9.501072081668005E-2</v>
      </c>
      <c r="N30" s="134">
        <v>155.40533400000001</v>
      </c>
      <c r="O30" s="5">
        <f t="shared" si="7"/>
        <v>-9.7181187930395929E-2</v>
      </c>
      <c r="Q30" s="134">
        <v>39.327660000000002</v>
      </c>
      <c r="R30" s="5">
        <f t="shared" si="8"/>
        <v>-3.1152600623178622E-2</v>
      </c>
      <c r="T30" s="29">
        <f t="shared" si="1"/>
        <v>-2.9533470223925516E-2</v>
      </c>
      <c r="U30" s="29">
        <f t="shared" si="2"/>
        <v>-1.3026323397121189E-2</v>
      </c>
      <c r="V30" s="2"/>
    </row>
    <row r="31" spans="1:22" x14ac:dyDescent="0.3">
      <c r="A31" s="89">
        <f t="shared" si="0"/>
        <v>43862</v>
      </c>
      <c r="B31" s="134">
        <v>2954.22</v>
      </c>
      <c r="C31" s="5">
        <f t="shared" si="3"/>
        <v>-8.4110469009648109E-2</v>
      </c>
      <c r="E31" s="134">
        <v>33.080002</v>
      </c>
      <c r="F31" s="5">
        <f t="shared" si="4"/>
        <v>-0.11527138580560012</v>
      </c>
      <c r="H31" s="134">
        <v>58.777434999999997</v>
      </c>
      <c r="I31" s="5">
        <f t="shared" si="5"/>
        <v>-0.14955686477618724</v>
      </c>
      <c r="K31" s="134">
        <v>26.17</v>
      </c>
      <c r="L31" s="5">
        <f t="shared" si="6"/>
        <v>-0.30968082300184635</v>
      </c>
      <c r="N31" s="134">
        <v>150.701187</v>
      </c>
      <c r="O31" s="5">
        <f t="shared" si="7"/>
        <v>-3.0270177212836244E-2</v>
      </c>
      <c r="Q31" s="134">
        <v>33.569580000000002</v>
      </c>
      <c r="R31" s="5">
        <f t="shared" si="8"/>
        <v>-0.14641298261834035</v>
      </c>
      <c r="T31" s="29">
        <f t="shared" si="1"/>
        <v>-8.7011995002079928E-2</v>
      </c>
      <c r="U31" s="29">
        <f t="shared" si="2"/>
        <v>-0.11604769635345595</v>
      </c>
      <c r="V31" s="2"/>
    </row>
    <row r="32" spans="1:22" x14ac:dyDescent="0.3">
      <c r="A32" s="89">
        <f t="shared" si="0"/>
        <v>43891</v>
      </c>
      <c r="B32" s="134">
        <v>2584.59</v>
      </c>
      <c r="C32" s="5">
        <f t="shared" si="3"/>
        <v>-0.12511932083595659</v>
      </c>
      <c r="E32" s="134">
        <v>23.74</v>
      </c>
      <c r="F32" s="5">
        <f t="shared" si="4"/>
        <v>-0.28234587168404651</v>
      </c>
      <c r="H32" s="134">
        <v>47.917248000000001</v>
      </c>
      <c r="I32" s="5">
        <f t="shared" si="5"/>
        <v>-0.18476796410050891</v>
      </c>
      <c r="K32" s="134">
        <v>16.989999999999998</v>
      </c>
      <c r="L32" s="5">
        <f t="shared" si="6"/>
        <v>-0.35078333970194892</v>
      </c>
      <c r="N32" s="134">
        <v>113.38666499999999</v>
      </c>
      <c r="O32" s="5">
        <f t="shared" si="7"/>
        <v>-0.24760602582380462</v>
      </c>
      <c r="Q32" s="134">
        <v>23.339399</v>
      </c>
      <c r="R32" s="5">
        <f t="shared" si="8"/>
        <v>-0.30474557620321735</v>
      </c>
      <c r="T32" s="29">
        <f t="shared" si="1"/>
        <v>-0.17065315789905666</v>
      </c>
      <c r="U32" s="29">
        <f t="shared" si="2"/>
        <v>-0.18493804549390985</v>
      </c>
      <c r="V32" s="2"/>
    </row>
    <row r="33" spans="1:22" x14ac:dyDescent="0.3">
      <c r="A33" s="89">
        <f t="shared" si="0"/>
        <v>43922</v>
      </c>
      <c r="B33" s="134">
        <v>2912.43</v>
      </c>
      <c r="C33" s="5">
        <f t="shared" si="3"/>
        <v>0.12684410293315368</v>
      </c>
      <c r="E33" s="134">
        <v>28.18</v>
      </c>
      <c r="F33" s="5">
        <f t="shared" si="4"/>
        <v>0.18702611625947774</v>
      </c>
      <c r="H33" s="134">
        <v>54.943263999999999</v>
      </c>
      <c r="I33" s="5">
        <f t="shared" si="5"/>
        <v>0.14662812021257979</v>
      </c>
      <c r="K33" s="134">
        <v>24.25</v>
      </c>
      <c r="L33" s="5">
        <f t="shared" si="6"/>
        <v>0.42731018246027086</v>
      </c>
      <c r="N33" s="134">
        <v>119.546448</v>
      </c>
      <c r="O33" s="5">
        <f t="shared" si="7"/>
        <v>5.4325462346035178E-2</v>
      </c>
      <c r="Q33" s="134">
        <v>27.78274</v>
      </c>
      <c r="R33" s="5">
        <f t="shared" si="8"/>
        <v>0.19037940951264426</v>
      </c>
      <c r="T33" s="29">
        <f t="shared" si="1"/>
        <v>0.11366044710623058</v>
      </c>
      <c r="U33" s="29">
        <f t="shared" si="2"/>
        <v>0.14767393389788286</v>
      </c>
      <c r="V33" s="2"/>
    </row>
    <row r="34" spans="1:22" x14ac:dyDescent="0.3">
      <c r="A34" s="89">
        <f t="shared" si="0"/>
        <v>43952</v>
      </c>
      <c r="B34" s="134">
        <v>3044.31</v>
      </c>
      <c r="C34" s="5">
        <f t="shared" si="3"/>
        <v>4.5281775012618368E-2</v>
      </c>
      <c r="E34" s="134">
        <v>31.32</v>
      </c>
      <c r="F34" s="5">
        <f t="shared" si="4"/>
        <v>0.11142654364797731</v>
      </c>
      <c r="H34" s="134">
        <v>66.040619000000007</v>
      </c>
      <c r="I34" s="5">
        <f t="shared" si="5"/>
        <v>0.2019784445277952</v>
      </c>
      <c r="K34" s="134">
        <v>28.65</v>
      </c>
      <c r="L34" s="5">
        <f t="shared" si="6"/>
        <v>0.1814432989690721</v>
      </c>
      <c r="N34" s="134">
        <v>121.052177</v>
      </c>
      <c r="O34" s="5">
        <f t="shared" si="7"/>
        <v>1.2595347040340356E-2</v>
      </c>
      <c r="Q34" s="134">
        <v>29.160796999999999</v>
      </c>
      <c r="R34" s="5">
        <f t="shared" si="8"/>
        <v>4.9601191243196251E-2</v>
      </c>
      <c r="T34" s="29">
        <f t="shared" si="1"/>
        <v>7.6284335398343076E-2</v>
      </c>
      <c r="U34" s="29">
        <f t="shared" si="2"/>
        <v>8.5535796449057039E-2</v>
      </c>
      <c r="V34" s="2"/>
    </row>
    <row r="35" spans="1:22" x14ac:dyDescent="0.3">
      <c r="A35" s="89">
        <f t="shared" si="0"/>
        <v>43983</v>
      </c>
      <c r="B35" s="134">
        <v>3100.29</v>
      </c>
      <c r="C35" s="5">
        <f t="shared" si="3"/>
        <v>1.838840328350267E-2</v>
      </c>
      <c r="E35" s="134">
        <v>31.379999000000002</v>
      </c>
      <c r="F35" s="5">
        <f t="shared" si="4"/>
        <v>1.9156768837803719E-3</v>
      </c>
      <c r="H35" s="134">
        <v>66.989281000000005</v>
      </c>
      <c r="I35" s="5">
        <f t="shared" si="5"/>
        <v>1.4364825986867244E-2</v>
      </c>
      <c r="K35" s="134">
        <v>36.82</v>
      </c>
      <c r="L35" s="5">
        <f t="shared" si="6"/>
        <v>0.2851657940663177</v>
      </c>
      <c r="N35" s="134">
        <v>119.640533</v>
      </c>
      <c r="O35" s="5">
        <f t="shared" si="7"/>
        <v>-1.1661450747804357E-2</v>
      </c>
      <c r="Q35" s="134">
        <v>29.613721999999999</v>
      </c>
      <c r="R35" s="5">
        <f t="shared" si="8"/>
        <v>1.5531982887847698E-2</v>
      </c>
      <c r="T35" s="29">
        <f t="shared" si="1"/>
        <v>9.8700454515170573E-3</v>
      </c>
      <c r="U35" s="29">
        <f t="shared" si="2"/>
        <v>1.6668403860430069E-2</v>
      </c>
      <c r="V35" s="2"/>
    </row>
    <row r="36" spans="1:22" x14ac:dyDescent="0.3">
      <c r="A36" s="89">
        <f t="shared" si="0"/>
        <v>44013</v>
      </c>
      <c r="B36" s="134">
        <v>3271.12</v>
      </c>
      <c r="C36" s="5">
        <f t="shared" si="3"/>
        <v>5.5101296975444213E-2</v>
      </c>
      <c r="E36" s="134">
        <v>29.280000999999999</v>
      </c>
      <c r="F36" s="5">
        <f t="shared" si="4"/>
        <v>-6.6921544516301695E-2</v>
      </c>
      <c r="H36" s="134">
        <v>72.701026999999996</v>
      </c>
      <c r="I36" s="5">
        <f t="shared" si="5"/>
        <v>8.5263581198908381E-2</v>
      </c>
      <c r="K36" s="134">
        <v>35.939999</v>
      </c>
      <c r="L36" s="5">
        <f t="shared" si="6"/>
        <v>-2.3900081477457903E-2</v>
      </c>
      <c r="N36" s="134">
        <v>116.415443</v>
      </c>
      <c r="O36" s="5">
        <f t="shared" si="7"/>
        <v>-2.6956499767516153E-2</v>
      </c>
      <c r="Q36" s="134">
        <v>27.079257999999999</v>
      </c>
      <c r="R36" s="5">
        <f t="shared" si="8"/>
        <v>-8.5584108610190904E-2</v>
      </c>
      <c r="T36" s="29">
        <f t="shared" si="1"/>
        <v>4.2127418845570162E-2</v>
      </c>
      <c r="U36" s="29">
        <f t="shared" si="2"/>
        <v>2.7470516634901476E-2</v>
      </c>
      <c r="V36" s="2"/>
    </row>
    <row r="37" spans="1:22" x14ac:dyDescent="0.3">
      <c r="A37" s="89">
        <f t="shared" si="0"/>
        <v>44044</v>
      </c>
      <c r="B37" s="134">
        <v>3500.31</v>
      </c>
      <c r="C37" s="5">
        <f t="shared" si="3"/>
        <v>7.0064687324219249E-2</v>
      </c>
      <c r="E37" s="134">
        <v>29.85</v>
      </c>
      <c r="F37" s="5">
        <f t="shared" si="4"/>
        <v>1.9467178296886083E-2</v>
      </c>
      <c r="H37" s="134">
        <v>73.244506999999999</v>
      </c>
      <c r="I37" s="5">
        <f t="shared" si="5"/>
        <v>7.4755477663335131E-3</v>
      </c>
      <c r="K37" s="134">
        <v>39.909999999999997</v>
      </c>
      <c r="L37" s="5">
        <f t="shared" si="6"/>
        <v>0.11046191181029238</v>
      </c>
      <c r="N37" s="134">
        <v>128.53633099999999</v>
      </c>
      <c r="O37" s="5">
        <f t="shared" si="7"/>
        <v>0.1041175267442825</v>
      </c>
      <c r="Q37" s="134">
        <v>29.497050999999999</v>
      </c>
      <c r="R37" s="5">
        <f t="shared" si="8"/>
        <v>8.9285792099621036E-2</v>
      </c>
      <c r="T37" s="29">
        <f t="shared" si="1"/>
        <v>6.2930612289763627E-2</v>
      </c>
      <c r="U37" s="29">
        <f t="shared" si="2"/>
        <v>5.9222678628598265E-2</v>
      </c>
      <c r="V37" s="2"/>
    </row>
    <row r="38" spans="1:22" x14ac:dyDescent="0.3">
      <c r="A38" s="89">
        <f t="shared" si="0"/>
        <v>44075</v>
      </c>
      <c r="B38" s="134">
        <v>3363</v>
      </c>
      <c r="C38" s="5">
        <f t="shared" si="3"/>
        <v>-3.9227954095494386E-2</v>
      </c>
      <c r="E38" s="134">
        <v>30.219999000000001</v>
      </c>
      <c r="F38" s="5">
        <f t="shared" si="4"/>
        <v>1.2395276381909546E-2</v>
      </c>
      <c r="H38" s="134">
        <v>62.196567999999999</v>
      </c>
      <c r="I38" s="5">
        <f t="shared" si="5"/>
        <v>-0.15083641698892178</v>
      </c>
      <c r="K38" s="134">
        <v>42.73</v>
      </c>
      <c r="L38" s="5">
        <f t="shared" si="6"/>
        <v>7.0658982711099994E-2</v>
      </c>
      <c r="N38" s="134">
        <v>123.279556</v>
      </c>
      <c r="O38" s="5">
        <f t="shared" si="7"/>
        <v>-4.089719193867445E-2</v>
      </c>
      <c r="Q38" s="134">
        <v>28.046375000000001</v>
      </c>
      <c r="R38" s="5">
        <f t="shared" si="8"/>
        <v>-4.9180373997386992E-2</v>
      </c>
      <c r="T38" s="29">
        <f t="shared" si="1"/>
        <v>-6.7547379279646241E-2</v>
      </c>
      <c r="U38" s="29">
        <f t="shared" si="2"/>
        <v>-6.9618174794324389E-2</v>
      </c>
      <c r="V38" s="2"/>
    </row>
    <row r="39" spans="1:22" x14ac:dyDescent="0.3">
      <c r="A39" s="89">
        <f t="shared" si="0"/>
        <v>44105</v>
      </c>
      <c r="B39" s="134">
        <v>3269.96</v>
      </c>
      <c r="C39" s="5">
        <f t="shared" si="3"/>
        <v>-2.766577460600653E-2</v>
      </c>
      <c r="E39" s="134">
        <v>31.709999</v>
      </c>
      <c r="F39" s="5">
        <f t="shared" si="4"/>
        <v>4.9305097594477036E-2</v>
      </c>
      <c r="H39" s="134">
        <v>66.673064999999994</v>
      </c>
      <c r="I39" s="5">
        <f t="shared" si="5"/>
        <v>7.1973376408807549E-2</v>
      </c>
      <c r="K39" s="134">
        <v>52.330002</v>
      </c>
      <c r="L39" s="5">
        <f t="shared" si="6"/>
        <v>0.22466655745377964</v>
      </c>
      <c r="N39" s="134">
        <v>128.75147999999999</v>
      </c>
      <c r="O39" s="5">
        <f t="shared" si="7"/>
        <v>4.4386305219983005E-2</v>
      </c>
      <c r="Q39" s="134">
        <v>29.300304000000001</v>
      </c>
      <c r="R39" s="5">
        <f t="shared" si="8"/>
        <v>4.4709129076395765E-2</v>
      </c>
      <c r="T39" s="29">
        <f t="shared" si="1"/>
        <v>1.5257033104194373E-2</v>
      </c>
      <c r="U39" s="29">
        <f t="shared" si="2"/>
        <v>1.5337739068297563E-2</v>
      </c>
      <c r="V39" s="2"/>
    </row>
    <row r="40" spans="1:22" x14ac:dyDescent="0.3">
      <c r="A40" s="89">
        <f t="shared" si="0"/>
        <v>44136</v>
      </c>
      <c r="B40" s="134">
        <v>3621.63</v>
      </c>
      <c r="C40" s="5">
        <f t="shared" si="3"/>
        <v>0.10754565805086302</v>
      </c>
      <c r="E40" s="134">
        <v>33.470001000000003</v>
      </c>
      <c r="F40" s="5">
        <f>(E40-E39)/E39</f>
        <v>5.5503060722266302E-2</v>
      </c>
      <c r="H40" s="134">
        <v>95.320633000000001</v>
      </c>
      <c r="I40" s="5">
        <f t="shared" si="5"/>
        <v>0.42967228220271575</v>
      </c>
      <c r="K40" s="134">
        <v>58.889999000000003</v>
      </c>
      <c r="L40" s="5">
        <f t="shared" si="6"/>
        <v>0.1253582409570709</v>
      </c>
      <c r="N40" s="134">
        <v>138.07754499999999</v>
      </c>
      <c r="O40" s="5">
        <f t="shared" si="7"/>
        <v>7.2434623664131864E-2</v>
      </c>
      <c r="Q40" s="134">
        <v>38.860030999999999</v>
      </c>
      <c r="R40" s="5">
        <f t="shared" si="8"/>
        <v>0.3262671609140983</v>
      </c>
      <c r="T40" s="29">
        <f t="shared" si="1"/>
        <v>0.17929955549214344</v>
      </c>
      <c r="U40" s="29">
        <f t="shared" si="2"/>
        <v>0.24275768980463502</v>
      </c>
      <c r="V40" s="2"/>
    </row>
    <row r="41" spans="1:22" x14ac:dyDescent="0.3">
      <c r="A41" s="89">
        <f t="shared" si="0"/>
        <v>44166</v>
      </c>
      <c r="B41" s="134">
        <v>3756.07</v>
      </c>
      <c r="C41" s="5">
        <f t="shared" si="3"/>
        <v>3.7121406659432372E-2</v>
      </c>
      <c r="E41" s="134">
        <v>35.939999</v>
      </c>
      <c r="F41" s="5">
        <f>(E41-E40)/E40</f>
        <v>7.3797368574921654E-2</v>
      </c>
      <c r="H41" s="134">
        <v>95.824623000000003</v>
      </c>
      <c r="I41" s="5">
        <f t="shared" si="5"/>
        <v>5.2873127688944505E-3</v>
      </c>
      <c r="K41" s="134">
        <v>62.66</v>
      </c>
      <c r="L41" s="5">
        <f t="shared" si="6"/>
        <v>6.4017678112033821E-2</v>
      </c>
      <c r="N41" s="134">
        <v>147.555634</v>
      </c>
      <c r="O41" s="5">
        <f t="shared" si="7"/>
        <v>6.8643232322822739E-2</v>
      </c>
      <c r="Q41" s="134">
        <v>42.218060000000001</v>
      </c>
      <c r="R41" s="5">
        <f t="shared" si="8"/>
        <v>8.6413441100960567E-2</v>
      </c>
      <c r="T41" s="29">
        <f t="shared" si="1"/>
        <v>3.7043339602645484E-2</v>
      </c>
      <c r="U41" s="29">
        <f t="shared" si="2"/>
        <v>4.1485891797179944E-2</v>
      </c>
      <c r="V41" s="2"/>
    </row>
    <row r="42" spans="1:22" x14ac:dyDescent="0.3">
      <c r="A42" s="89">
        <f t="shared" si="0"/>
        <v>44197</v>
      </c>
      <c r="B42" s="134">
        <v>3714.24</v>
      </c>
      <c r="C42" s="5">
        <f t="shared" si="3"/>
        <v>-1.1136640158463601E-2</v>
      </c>
      <c r="E42" s="134">
        <v>34.479999999999997</v>
      </c>
      <c r="F42" s="5">
        <f t="shared" ref="F42:F71" si="9">(E42-E41)/E41</f>
        <v>-4.0623234296695537E-2</v>
      </c>
      <c r="H42" s="134">
        <v>101.36835499999999</v>
      </c>
      <c r="I42" s="5">
        <f t="shared" si="5"/>
        <v>5.7852896535789046E-2</v>
      </c>
      <c r="K42" s="134">
        <v>70.019997000000004</v>
      </c>
      <c r="L42" s="5">
        <f t="shared" si="6"/>
        <v>0.11745925630386223</v>
      </c>
      <c r="N42" s="134">
        <v>145.523865</v>
      </c>
      <c r="O42" s="5">
        <f t="shared" si="7"/>
        <v>-1.3769511505063893E-2</v>
      </c>
      <c r="Q42" s="134">
        <v>44.363723999999998</v>
      </c>
      <c r="R42" s="5">
        <f t="shared" si="8"/>
        <v>5.0823368008856791E-2</v>
      </c>
      <c r="T42" s="29">
        <f t="shared" si="1"/>
        <v>5.452526178449487E-3</v>
      </c>
      <c r="U42" s="29">
        <f t="shared" si="2"/>
        <v>2.1600746056929659E-2</v>
      </c>
      <c r="V42" s="2"/>
    </row>
    <row r="43" spans="1:22" x14ac:dyDescent="0.3">
      <c r="A43" s="89">
        <f t="shared" si="0"/>
        <v>44228</v>
      </c>
      <c r="B43" s="134">
        <v>3811.15</v>
      </c>
      <c r="C43" s="5">
        <f t="shared" si="3"/>
        <v>2.6091474971999741E-2</v>
      </c>
      <c r="E43" s="134">
        <v>36.599997999999999</v>
      </c>
      <c r="F43" s="5">
        <f t="shared" si="9"/>
        <v>6.1484860788863185E-2</v>
      </c>
      <c r="H43" s="134">
        <v>103.21626999999999</v>
      </c>
      <c r="I43" s="5">
        <f t="shared" si="5"/>
        <v>1.8229702948222851E-2</v>
      </c>
      <c r="K43" s="134">
        <v>76.720000999999996</v>
      </c>
      <c r="L43" s="5">
        <f t="shared" si="6"/>
        <v>9.5687007812925107E-2</v>
      </c>
      <c r="N43" s="134">
        <v>151.33871500000001</v>
      </c>
      <c r="O43" s="5">
        <f t="shared" si="7"/>
        <v>3.9958050866777124E-2</v>
      </c>
      <c r="Q43" s="134">
        <v>59.88129</v>
      </c>
      <c r="R43" s="5">
        <f t="shared" si="8"/>
        <v>0.34978050985981257</v>
      </c>
      <c r="T43" s="29">
        <f t="shared" si="1"/>
        <v>2.7592675939749865E-2</v>
      </c>
      <c r="U43" s="29">
        <f t="shared" si="2"/>
        <v>0.10504829068800872</v>
      </c>
      <c r="V43" s="2"/>
    </row>
    <row r="44" spans="1:22" x14ac:dyDescent="0.3">
      <c r="A44" s="89">
        <f t="shared" si="0"/>
        <v>44256</v>
      </c>
      <c r="B44" s="134">
        <v>3972.89</v>
      </c>
      <c r="C44" s="5">
        <f t="shared" si="3"/>
        <v>4.2438634008107733E-2</v>
      </c>
      <c r="E44" s="134">
        <v>41.709999000000003</v>
      </c>
      <c r="F44" s="5">
        <f t="shared" si="9"/>
        <v>0.13961752129057506</v>
      </c>
      <c r="H44" s="134">
        <v>107.98232299999999</v>
      </c>
      <c r="I44" s="5">
        <f t="shared" si="5"/>
        <v>4.6175404323368786E-2</v>
      </c>
      <c r="K44" s="134">
        <v>80.449996999999996</v>
      </c>
      <c r="L44" s="5">
        <f t="shared" si="6"/>
        <v>4.8618299679114969E-2</v>
      </c>
      <c r="N44" s="134">
        <v>149.68957499999999</v>
      </c>
      <c r="O44" s="5">
        <f t="shared" si="7"/>
        <v>-1.0897013365020424E-2</v>
      </c>
      <c r="Q44" s="134">
        <v>60.679065999999999</v>
      </c>
      <c r="R44" s="5">
        <f t="shared" si="8"/>
        <v>1.3322625481181165E-2</v>
      </c>
      <c r="T44" s="29">
        <f t="shared" si="1"/>
        <v>3.0038914743640954E-2</v>
      </c>
      <c r="U44" s="29">
        <f t="shared" si="2"/>
        <v>3.6093824455191353E-2</v>
      </c>
      <c r="V44" s="2"/>
    </row>
    <row r="45" spans="1:22" x14ac:dyDescent="0.3">
      <c r="A45" s="89">
        <f t="shared" si="0"/>
        <v>44287</v>
      </c>
      <c r="B45" s="134">
        <v>4181.17</v>
      </c>
      <c r="C45" s="5">
        <f t="shared" si="3"/>
        <v>5.2425312555847307E-2</v>
      </c>
      <c r="E45" s="134">
        <v>48.490001999999997</v>
      </c>
      <c r="F45" s="5">
        <f t="shared" si="9"/>
        <v>0.16255102283747341</v>
      </c>
      <c r="H45" s="134">
        <v>109.109909</v>
      </c>
      <c r="I45" s="5">
        <f t="shared" si="5"/>
        <v>1.0442320267549791E-2</v>
      </c>
      <c r="K45" s="134">
        <v>100.120003</v>
      </c>
      <c r="L45" s="5">
        <f t="shared" si="6"/>
        <v>0.24449977294592071</v>
      </c>
      <c r="N45" s="134">
        <v>157.473679</v>
      </c>
      <c r="O45" s="5">
        <f t="shared" si="7"/>
        <v>5.2001644069067696E-2</v>
      </c>
      <c r="Q45" s="134">
        <v>66.155036999999993</v>
      </c>
      <c r="R45" s="5">
        <f t="shared" si="8"/>
        <v>9.0244813590242043E-2</v>
      </c>
      <c r="T45" s="29">
        <f t="shared" si="1"/>
        <v>4.1823647362078026E-2</v>
      </c>
      <c r="U45" s="29">
        <f t="shared" si="2"/>
        <v>5.1384439742371613E-2</v>
      </c>
      <c r="V45" s="2"/>
    </row>
    <row r="46" spans="1:22" x14ac:dyDescent="0.3">
      <c r="A46" s="89">
        <f t="shared" si="0"/>
        <v>44317</v>
      </c>
      <c r="B46" s="134">
        <v>4204.1099999999997</v>
      </c>
      <c r="C46" s="5">
        <f t="shared" si="3"/>
        <v>5.4865025818131288E-3</v>
      </c>
      <c r="E46" s="134">
        <v>47.5</v>
      </c>
      <c r="F46" s="5">
        <f t="shared" si="9"/>
        <v>-2.0416621141817998E-2</v>
      </c>
      <c r="H46" s="134">
        <v>100.900215</v>
      </c>
      <c r="I46" s="5">
        <f t="shared" si="5"/>
        <v>-7.5242423673912137E-2</v>
      </c>
      <c r="K46" s="134">
        <v>101.239998</v>
      </c>
      <c r="L46" s="5">
        <f t="shared" si="6"/>
        <v>1.118652583340417E-2</v>
      </c>
      <c r="N46" s="134">
        <v>167.96807899999999</v>
      </c>
      <c r="O46" s="5">
        <f t="shared" si="7"/>
        <v>6.6642248194379097E-2</v>
      </c>
      <c r="Q46" s="134">
        <v>63.738419</v>
      </c>
      <c r="R46" s="5">
        <f t="shared" si="8"/>
        <v>-3.6529614517485536E-2</v>
      </c>
      <c r="T46" s="29">
        <f t="shared" si="1"/>
        <v>5.9320742102330487E-4</v>
      </c>
      <c r="U46" s="29">
        <f t="shared" si="2"/>
        <v>-2.5199758256942852E-2</v>
      </c>
      <c r="V46" s="2"/>
    </row>
    <row r="47" spans="1:22" x14ac:dyDescent="0.3">
      <c r="A47" s="89">
        <f t="shared" si="0"/>
        <v>44348</v>
      </c>
      <c r="B47" s="134">
        <v>4297.5</v>
      </c>
      <c r="C47" s="5">
        <f t="shared" si="3"/>
        <v>2.221397632316955E-2</v>
      </c>
      <c r="E47" s="134">
        <v>49.830002</v>
      </c>
      <c r="F47" s="5">
        <f t="shared" si="9"/>
        <v>4.9052673684210533E-2</v>
      </c>
      <c r="H47" s="134">
        <v>111.59726000000001</v>
      </c>
      <c r="I47" s="5">
        <f t="shared" si="5"/>
        <v>0.10601607736911167</v>
      </c>
      <c r="K47" s="134">
        <v>116.519997</v>
      </c>
      <c r="L47" s="5">
        <f>(K47-K46)/K46</f>
        <v>0.1509284798682039</v>
      </c>
      <c r="N47" s="134">
        <v>166.84883099999999</v>
      </c>
      <c r="O47" s="5">
        <f t="shared" si="7"/>
        <v>-6.6634565726026969E-3</v>
      </c>
      <c r="Q47" s="134">
        <v>70.695953000000003</v>
      </c>
      <c r="R47" s="5">
        <f t="shared" si="8"/>
        <v>0.10915761810784799</v>
      </c>
      <c r="T47" s="29">
        <f t="shared" si="1"/>
        <v>3.5945143360712015E-2</v>
      </c>
      <c r="U47" s="29">
        <f t="shared" si="2"/>
        <v>6.4900412030824695E-2</v>
      </c>
      <c r="V47" s="2"/>
    </row>
    <row r="48" spans="1:22" x14ac:dyDescent="0.3">
      <c r="A48" s="89">
        <f t="shared" si="0"/>
        <v>44378</v>
      </c>
      <c r="B48" s="134">
        <v>4395.26</v>
      </c>
      <c r="C48" s="5">
        <f t="shared" si="3"/>
        <v>2.2748109365910464E-2</v>
      </c>
      <c r="E48" s="134">
        <v>53.68</v>
      </c>
      <c r="F48" s="5">
        <f t="shared" si="9"/>
        <v>7.7262649919219342E-2</v>
      </c>
      <c r="H48" s="134">
        <v>102.72571600000001</v>
      </c>
      <c r="I48" s="5">
        <f t="shared" si="5"/>
        <v>-7.949607364912005E-2</v>
      </c>
      <c r="K48" s="134">
        <v>135.80999800000001</v>
      </c>
      <c r="L48" s="5">
        <f t="shared" ref="L48:L71" si="10">(K48-K47)/K47</f>
        <v>0.16555099121741312</v>
      </c>
      <c r="N48" s="134">
        <v>157.819962</v>
      </c>
      <c r="O48" s="5">
        <f t="shared" si="7"/>
        <v>-5.4114068081184137E-2</v>
      </c>
      <c r="Q48" s="134">
        <v>66.983315000000005</v>
      </c>
      <c r="R48" s="5">
        <f t="shared" si="8"/>
        <v>-5.2515566202212427E-2</v>
      </c>
      <c r="T48" s="29">
        <f t="shared" si="1"/>
        <v>-2.2028480749620813E-2</v>
      </c>
      <c r="U48" s="29">
        <f t="shared" si="2"/>
        <v>-2.1628855279877887E-2</v>
      </c>
    </row>
    <row r="49" spans="1:21" x14ac:dyDescent="0.3">
      <c r="A49" s="89">
        <f t="shared" si="0"/>
        <v>44409</v>
      </c>
      <c r="B49" s="134">
        <v>4522.68</v>
      </c>
      <c r="C49" s="5">
        <f t="shared" si="3"/>
        <v>2.8990321391681052E-2</v>
      </c>
      <c r="E49" s="134">
        <v>50.43</v>
      </c>
      <c r="F49" s="5">
        <f t="shared" si="9"/>
        <v>-6.0543964232488826E-2</v>
      </c>
      <c r="H49" s="134">
        <v>89.289687999999998</v>
      </c>
      <c r="I49" s="5">
        <f t="shared" si="5"/>
        <v>-0.13079517498812085</v>
      </c>
      <c r="K49" s="134">
        <v>142.820007</v>
      </c>
      <c r="L49" s="5">
        <f t="shared" si="10"/>
        <v>5.161629558377577E-2</v>
      </c>
      <c r="N49" s="134">
        <v>157.224716</v>
      </c>
      <c r="O49" s="5">
        <f t="shared" si="7"/>
        <v>-3.771677501734559E-3</v>
      </c>
      <c r="Q49" s="134">
        <v>68.996414000000001</v>
      </c>
      <c r="R49" s="5">
        <f t="shared" si="8"/>
        <v>3.0053738009234041E-2</v>
      </c>
      <c r="T49" s="29">
        <f t="shared" si="1"/>
        <v>-1.9146552426623324E-2</v>
      </c>
      <c r="U49" s="29">
        <f t="shared" si="2"/>
        <v>-1.0690198548881175E-2</v>
      </c>
    </row>
    <row r="50" spans="1:21" x14ac:dyDescent="0.3">
      <c r="A50" s="89">
        <f t="shared" si="0"/>
        <v>44440</v>
      </c>
      <c r="B50" s="134">
        <v>4307.54</v>
      </c>
      <c r="C50" s="5">
        <f t="shared" si="3"/>
        <v>-4.7569140421166278E-2</v>
      </c>
      <c r="E50" s="134">
        <v>42.119999</v>
      </c>
      <c r="F50" s="5">
        <f t="shared" si="9"/>
        <v>-0.16478288717033512</v>
      </c>
      <c r="H50" s="134">
        <v>86.988274000000004</v>
      </c>
      <c r="I50" s="5">
        <f t="shared" si="5"/>
        <v>-2.5774689681970823E-2</v>
      </c>
      <c r="K50" s="134">
        <v>143.479996</v>
      </c>
      <c r="L50" s="5">
        <f t="shared" si="10"/>
        <v>4.6211242658740093E-3</v>
      </c>
      <c r="N50" s="134">
        <v>146.721329</v>
      </c>
      <c r="O50" s="5">
        <f t="shared" si="7"/>
        <v>-6.6804935427582535E-2</v>
      </c>
      <c r="Q50" s="134">
        <v>70.626411000000004</v>
      </c>
      <c r="R50" s="5">
        <f t="shared" si="8"/>
        <v>2.3624372710152778E-2</v>
      </c>
      <c r="T50" s="29">
        <f t="shared" si="1"/>
        <v>-4.692947648797148E-2</v>
      </c>
      <c r="U50" s="29">
        <f t="shared" si="2"/>
        <v>-2.4322149453537653E-2</v>
      </c>
    </row>
    <row r="51" spans="1:21" x14ac:dyDescent="0.3">
      <c r="A51" s="89">
        <f t="shared" si="0"/>
        <v>44470</v>
      </c>
      <c r="B51" s="134">
        <v>4605.38</v>
      </c>
      <c r="C51" s="5">
        <f t="shared" si="3"/>
        <v>6.9143873301234615E-2</v>
      </c>
      <c r="E51" s="134">
        <v>46.209999000000003</v>
      </c>
      <c r="F51" s="5">
        <f t="shared" si="9"/>
        <v>9.7103516075582139E-2</v>
      </c>
      <c r="H51" s="134">
        <v>91.022934000000006</v>
      </c>
      <c r="I51" s="5">
        <f t="shared" si="5"/>
        <v>4.6381653692772452E-2</v>
      </c>
      <c r="K51" s="134">
        <v>161.449997</v>
      </c>
      <c r="L51" s="5">
        <f t="shared" si="10"/>
        <v>0.12524394689835366</v>
      </c>
      <c r="N51" s="134">
        <v>142.24584999999999</v>
      </c>
      <c r="O51" s="5">
        <f t="shared" si="7"/>
        <v>-3.0503261049387081E-2</v>
      </c>
      <c r="Q51" s="134">
        <v>75.487281999999993</v>
      </c>
      <c r="R51" s="5">
        <f t="shared" si="8"/>
        <v>6.8825116994830571E-2</v>
      </c>
      <c r="T51" s="29">
        <f t="shared" si="1"/>
        <v>3.8541534811463649E-2</v>
      </c>
      <c r="U51" s="29">
        <f t="shared" si="2"/>
        <v>6.3373629322518069E-2</v>
      </c>
    </row>
    <row r="52" spans="1:21" x14ac:dyDescent="0.3">
      <c r="A52" s="89">
        <f t="shared" si="0"/>
        <v>44501</v>
      </c>
      <c r="B52" s="134">
        <v>4567</v>
      </c>
      <c r="C52" s="5">
        <f t="shared" si="3"/>
        <v>-8.3337314184714628E-3</v>
      </c>
      <c r="E52" s="134">
        <v>44.919998</v>
      </c>
      <c r="F52" s="5">
        <f t="shared" si="9"/>
        <v>-2.7916057734604229E-2</v>
      </c>
      <c r="H52" s="134">
        <v>86.928780000000003</v>
      </c>
      <c r="I52" s="5">
        <f t="shared" si="5"/>
        <v>-4.4979367507533903E-2</v>
      </c>
      <c r="K52" s="134">
        <v>164.020004</v>
      </c>
      <c r="L52" s="5">
        <f t="shared" si="10"/>
        <v>1.5918284594331731E-2</v>
      </c>
      <c r="N52" s="134">
        <v>131.670197</v>
      </c>
      <c r="O52" s="5">
        <f t="shared" si="7"/>
        <v>-7.4347708562323533E-2</v>
      </c>
      <c r="Q52" s="134">
        <v>71.117019999999997</v>
      </c>
      <c r="R52" s="5">
        <f t="shared" si="8"/>
        <v>-5.7894017167024206E-2</v>
      </c>
      <c r="T52" s="29">
        <f t="shared" si="1"/>
        <v>-3.3998634726700089E-2</v>
      </c>
      <c r="U52" s="29">
        <f t="shared" si="2"/>
        <v>-2.988521187787526E-2</v>
      </c>
    </row>
    <row r="53" spans="1:21" x14ac:dyDescent="0.3">
      <c r="A53" s="89">
        <f t="shared" si="0"/>
        <v>44531</v>
      </c>
      <c r="B53" s="134">
        <v>4766.18</v>
      </c>
      <c r="C53" s="5">
        <f t="shared" si="3"/>
        <v>4.3612874972629799E-2</v>
      </c>
      <c r="E53" s="134">
        <v>43.400002000000001</v>
      </c>
      <c r="F53" s="5">
        <f t="shared" si="9"/>
        <v>-3.3837846564463314E-2</v>
      </c>
      <c r="H53" s="134">
        <v>90.370834000000002</v>
      </c>
      <c r="I53" s="5">
        <f t="shared" si="5"/>
        <v>3.9596253392719861E-2</v>
      </c>
      <c r="K53" s="134">
        <v>128.220001</v>
      </c>
      <c r="L53" s="5">
        <f t="shared" si="10"/>
        <v>-0.21826607808154916</v>
      </c>
      <c r="N53" s="134">
        <v>152.281631</v>
      </c>
      <c r="O53" s="5">
        <f t="shared" si="7"/>
        <v>0.1565383394998642</v>
      </c>
      <c r="Q53" s="134">
        <v>74.040329</v>
      </c>
      <c r="R53" s="5">
        <f t="shared" si="8"/>
        <v>4.1105617192621451E-2</v>
      </c>
      <c r="T53" s="29">
        <f t="shared" si="1"/>
        <v>7.0840085709460918E-2</v>
      </c>
      <c r="U53" s="29">
        <f t="shared" si="2"/>
        <v>4.1981905132650224E-2</v>
      </c>
    </row>
    <row r="54" spans="1:21" x14ac:dyDescent="0.3">
      <c r="A54" s="89">
        <f t="shared" si="0"/>
        <v>44562</v>
      </c>
      <c r="B54" s="134">
        <v>4515.55</v>
      </c>
      <c r="C54" s="5">
        <f t="shared" si="3"/>
        <v>-5.2585089106999758E-2</v>
      </c>
      <c r="E54" s="134">
        <v>42</v>
      </c>
      <c r="F54" s="5">
        <f t="shared" si="9"/>
        <v>-3.2258109112529548E-2</v>
      </c>
      <c r="H54" s="134">
        <v>85.527755999999997</v>
      </c>
      <c r="I54" s="5">
        <f t="shared" si="5"/>
        <v>-5.3591161945014308E-2</v>
      </c>
      <c r="K54" s="134">
        <v>102.620003</v>
      </c>
      <c r="L54" s="5">
        <f t="shared" si="10"/>
        <v>-0.19965682265124923</v>
      </c>
      <c r="N54" s="134">
        <v>146.84394800000001</v>
      </c>
      <c r="O54" s="5">
        <f t="shared" si="7"/>
        <v>-3.5708069084182531E-2</v>
      </c>
      <c r="Q54" s="134">
        <v>65.005568999999994</v>
      </c>
      <c r="R54" s="5">
        <f t="shared" si="8"/>
        <v>-0.12202484945738161</v>
      </c>
      <c r="T54" s="29">
        <f t="shared" si="1"/>
        <v>-4.861735231079909E-2</v>
      </c>
      <c r="U54" s="29">
        <f t="shared" si="2"/>
        <v>-7.019654740409885E-2</v>
      </c>
    </row>
    <row r="55" spans="1:21" x14ac:dyDescent="0.3">
      <c r="A55" s="89">
        <f t="shared" si="0"/>
        <v>44593</v>
      </c>
      <c r="B55" s="134">
        <v>4373.9399999999996</v>
      </c>
      <c r="C55" s="5">
        <f t="shared" si="3"/>
        <v>-3.136052086678269E-2</v>
      </c>
      <c r="E55" s="134">
        <v>45.98</v>
      </c>
      <c r="F55" s="5">
        <f t="shared" si="9"/>
        <v>9.4761904761904686E-2</v>
      </c>
      <c r="H55" s="134">
        <v>85.200264000000004</v>
      </c>
      <c r="I55" s="5">
        <f t="shared" si="5"/>
        <v>-3.8290727515403579E-3</v>
      </c>
      <c r="K55" s="134">
        <v>83.730002999999996</v>
      </c>
      <c r="L55" s="5">
        <f t="shared" si="10"/>
        <v>-0.18407717255669931</v>
      </c>
      <c r="N55" s="134">
        <v>158.48959400000001</v>
      </c>
      <c r="O55" s="5">
        <f t="shared" si="7"/>
        <v>7.9306271444022997E-2</v>
      </c>
      <c r="Q55" s="134">
        <v>64.888062000000005</v>
      </c>
      <c r="R55" s="5">
        <f t="shared" si="8"/>
        <v>-1.8076451265273774E-3</v>
      </c>
      <c r="T55" s="29">
        <f t="shared" si="1"/>
        <v>3.1890392397293148E-3</v>
      </c>
      <c r="U55" s="29">
        <f t="shared" si="2"/>
        <v>-1.7089439902908281E-2</v>
      </c>
    </row>
    <row r="56" spans="1:21" x14ac:dyDescent="0.3">
      <c r="A56" s="89">
        <f t="shared" si="0"/>
        <v>44621</v>
      </c>
      <c r="B56" s="134">
        <v>4530.41</v>
      </c>
      <c r="C56" s="5">
        <f t="shared" si="3"/>
        <v>3.5773238773279988E-2</v>
      </c>
      <c r="E56" s="134">
        <v>40.759998000000003</v>
      </c>
      <c r="F56" s="5">
        <f t="shared" si="9"/>
        <v>-0.11352766420182675</v>
      </c>
      <c r="H56" s="134">
        <v>85.524497999999994</v>
      </c>
      <c r="I56" s="5">
        <f t="shared" si="5"/>
        <v>3.8055515884315794E-3</v>
      </c>
      <c r="K56" s="134">
        <v>76.400002000000001</v>
      </c>
      <c r="L56" s="5">
        <f t="shared" si="10"/>
        <v>-8.7543302727458347E-2</v>
      </c>
      <c r="N56" s="134">
        <v>150.14498900000001</v>
      </c>
      <c r="O56" s="5">
        <f t="shared" si="7"/>
        <v>-5.2650806840984152E-2</v>
      </c>
      <c r="Q56" s="134">
        <v>63.595387000000002</v>
      </c>
      <c r="R56" s="5">
        <f t="shared" si="8"/>
        <v>-1.9921615165513846E-2</v>
      </c>
      <c r="T56" s="29">
        <f t="shared" si="1"/>
        <v>5.6753055735018505E-3</v>
      </c>
      <c r="U56" s="29">
        <f t="shared" si="2"/>
        <v>1.3857603492369428E-2</v>
      </c>
    </row>
    <row r="57" spans="1:21" x14ac:dyDescent="0.3">
      <c r="A57" s="89">
        <f t="shared" si="0"/>
        <v>44652</v>
      </c>
      <c r="B57" s="134">
        <v>4131.93</v>
      </c>
      <c r="C57" s="5">
        <f t="shared" si="3"/>
        <v>-8.7956719149039395E-2</v>
      </c>
      <c r="E57" s="134">
        <v>38.299999</v>
      </c>
      <c r="F57" s="5">
        <f t="shared" si="9"/>
        <v>-6.0353265964340902E-2</v>
      </c>
      <c r="H57" s="134">
        <v>76.026191999999995</v>
      </c>
      <c r="I57" s="5">
        <f t="shared" si="5"/>
        <v>-0.11105947678289793</v>
      </c>
      <c r="K57" s="134">
        <v>66.430000000000007</v>
      </c>
      <c r="L57" s="5">
        <f t="shared" si="10"/>
        <v>-0.13049740496080084</v>
      </c>
      <c r="N57" s="134">
        <v>145.50929300000001</v>
      </c>
      <c r="O57" s="5">
        <f t="shared" si="7"/>
        <v>-3.0874796627411893E-2</v>
      </c>
      <c r="Q57" s="134">
        <v>60.280670000000001</v>
      </c>
      <c r="R57" s="5">
        <f t="shared" si="8"/>
        <v>-5.2121972305947312E-2</v>
      </c>
      <c r="T57" s="29">
        <f t="shared" si="1"/>
        <v>-7.9461927927097151E-2</v>
      </c>
      <c r="U57" s="29">
        <f t="shared" si="2"/>
        <v>-8.4773721846731015E-2</v>
      </c>
    </row>
    <row r="58" spans="1:21" x14ac:dyDescent="0.3">
      <c r="A58" s="89">
        <f t="shared" si="0"/>
        <v>44682</v>
      </c>
      <c r="B58" s="134">
        <v>4132.1499999999996</v>
      </c>
      <c r="C58" s="5">
        <f t="shared" si="3"/>
        <v>5.3243883608711947E-5</v>
      </c>
      <c r="E58" s="134">
        <v>39.400002000000001</v>
      </c>
      <c r="F58" s="5">
        <f t="shared" si="9"/>
        <v>2.8720705710723413E-2</v>
      </c>
      <c r="H58" s="134">
        <v>80.934303</v>
      </c>
      <c r="I58" s="5">
        <f t="shared" si="5"/>
        <v>6.4558159114427374E-2</v>
      </c>
      <c r="K58" s="134">
        <v>55.759998000000003</v>
      </c>
      <c r="L58" s="5">
        <f t="shared" si="10"/>
        <v>-0.16062023182297158</v>
      </c>
      <c r="N58" s="134">
        <v>124.63061500000001</v>
      </c>
      <c r="O58" s="5">
        <f t="shared" si="7"/>
        <v>-0.14348690430376845</v>
      </c>
      <c r="Q58" s="134">
        <v>60.300293000000003</v>
      </c>
      <c r="R58" s="5">
        <f t="shared" si="8"/>
        <v>3.2552723783599009E-4</v>
      </c>
      <c r="T58" s="29">
        <f t="shared" si="1"/>
        <v>-1.9705564355530916E-2</v>
      </c>
      <c r="U58" s="29">
        <f t="shared" si="2"/>
        <v>1.6247543529870196E-2</v>
      </c>
    </row>
    <row r="59" spans="1:21" x14ac:dyDescent="0.3">
      <c r="A59" s="89">
        <f t="shared" si="0"/>
        <v>44713</v>
      </c>
      <c r="B59" s="134">
        <v>3785.38</v>
      </c>
      <c r="C59" s="5">
        <f t="shared" si="3"/>
        <v>-8.391999322386641E-2</v>
      </c>
      <c r="E59" s="134">
        <v>35.580002</v>
      </c>
      <c r="F59" s="5">
        <f t="shared" si="9"/>
        <v>-9.6954309799273622E-2</v>
      </c>
      <c r="H59" s="134">
        <v>72.603820999999996</v>
      </c>
      <c r="I59" s="5">
        <f t="shared" si="5"/>
        <v>-0.10292893978465477</v>
      </c>
      <c r="K59" s="134">
        <v>48.669998</v>
      </c>
      <c r="L59" s="5">
        <f t="shared" si="10"/>
        <v>-0.12715208490502461</v>
      </c>
      <c r="N59" s="134">
        <v>135.750336</v>
      </c>
      <c r="O59" s="5">
        <f t="shared" si="7"/>
        <v>8.9221424446954689E-2</v>
      </c>
      <c r="Q59" s="134">
        <v>56.925204999999998</v>
      </c>
      <c r="R59" s="5">
        <f t="shared" si="8"/>
        <v>-5.5971336656689297E-2</v>
      </c>
      <c r="T59" s="29">
        <f t="shared" si="1"/>
        <v>-4.5386875446358221E-2</v>
      </c>
      <c r="U59" s="29">
        <f t="shared" si="2"/>
        <v>-8.1685065722269218E-2</v>
      </c>
    </row>
    <row r="60" spans="1:21" x14ac:dyDescent="0.3">
      <c r="A60" s="89">
        <f t="shared" si="0"/>
        <v>44743</v>
      </c>
      <c r="B60" s="134">
        <v>4130.29</v>
      </c>
      <c r="C60" s="5">
        <f t="shared" si="3"/>
        <v>9.1116347632205968E-2</v>
      </c>
      <c r="E60" s="134">
        <v>37.959999000000003</v>
      </c>
      <c r="F60" s="5">
        <f t="shared" si="9"/>
        <v>6.6891424008351741E-2</v>
      </c>
      <c r="H60" s="134">
        <v>89.028717</v>
      </c>
      <c r="I60" s="5">
        <f t="shared" si="5"/>
        <v>0.22622633042963405</v>
      </c>
      <c r="K60" s="134">
        <v>71.639999000000003</v>
      </c>
      <c r="L60" s="5">
        <f t="shared" si="10"/>
        <v>0.47195401569566542</v>
      </c>
      <c r="N60" s="134">
        <v>132.38029499999999</v>
      </c>
      <c r="O60" s="5">
        <f t="shared" si="7"/>
        <v>-2.4825286620285159E-2</v>
      </c>
      <c r="Q60" s="134">
        <v>64.273871999999997</v>
      </c>
      <c r="R60" s="5">
        <f t="shared" si="8"/>
        <v>0.12909337788067693</v>
      </c>
      <c r="T60" s="29">
        <f t="shared" si="1"/>
        <v>9.5908434768440215E-2</v>
      </c>
      <c r="U60" s="29">
        <f t="shared" si="2"/>
        <v>0.13438810089368072</v>
      </c>
    </row>
    <row r="61" spans="1:21" x14ac:dyDescent="0.3">
      <c r="A61" s="89">
        <f t="shared" si="0"/>
        <v>44774</v>
      </c>
      <c r="B61" s="134">
        <v>3955</v>
      </c>
      <c r="C61" s="5">
        <f t="shared" si="3"/>
        <v>-4.2440119216810436E-2</v>
      </c>
      <c r="E61" s="134">
        <v>37.799999</v>
      </c>
      <c r="F61" s="5">
        <f t="shared" si="9"/>
        <v>-4.214963230109771E-3</v>
      </c>
      <c r="H61" s="134">
        <v>89.327163999999996</v>
      </c>
      <c r="I61" s="5">
        <f t="shared" si="5"/>
        <v>3.3522554301214508E-3</v>
      </c>
      <c r="K61" s="134">
        <v>73.699996999999996</v>
      </c>
      <c r="L61" s="5">
        <f t="shared" si="10"/>
        <v>2.8754858022820365E-2</v>
      </c>
      <c r="N61" s="134">
        <v>145.58807400000001</v>
      </c>
      <c r="O61" s="5">
        <f t="shared" si="7"/>
        <v>9.9771487894025443E-2</v>
      </c>
      <c r="Q61" s="134">
        <v>59.924374</v>
      </c>
      <c r="R61" s="5">
        <f t="shared" si="8"/>
        <v>-6.767132373789457E-2</v>
      </c>
      <c r="T61" s="29">
        <f t="shared" si="1"/>
        <v>4.5608762226315054E-3</v>
      </c>
      <c r="U61" s="29">
        <f t="shared" si="2"/>
        <v>-3.7299826685348494E-2</v>
      </c>
    </row>
    <row r="62" spans="1:21" x14ac:dyDescent="0.3">
      <c r="A62" s="89">
        <f t="shared" si="0"/>
        <v>44805</v>
      </c>
      <c r="B62" s="134">
        <v>3585.62</v>
      </c>
      <c r="C62" s="5">
        <f t="shared" si="3"/>
        <v>-9.3395701643489287E-2</v>
      </c>
      <c r="E62" s="134">
        <v>31.719999000000001</v>
      </c>
      <c r="F62" s="5">
        <f t="shared" si="9"/>
        <v>-0.16084656510176093</v>
      </c>
      <c r="H62" s="134">
        <v>77.089637999999994</v>
      </c>
      <c r="I62" s="5">
        <f t="shared" si="5"/>
        <v>-0.13699669229395892</v>
      </c>
      <c r="K62" s="134">
        <v>68.660004000000001</v>
      </c>
      <c r="L62" s="5">
        <f t="shared" si="10"/>
        <v>-6.8385253801299284E-2</v>
      </c>
      <c r="N62" s="134">
        <v>126.47981299999999</v>
      </c>
      <c r="O62" s="5">
        <f t="shared" si="7"/>
        <v>-0.13124880682191051</v>
      </c>
      <c r="Q62" s="134">
        <v>46.182685999999997</v>
      </c>
      <c r="R62" s="5">
        <f t="shared" si="8"/>
        <v>-0.22931717234125806</v>
      </c>
      <c r="T62" s="29">
        <f t="shared" si="1"/>
        <v>-0.113759225600712</v>
      </c>
      <c r="U62" s="29">
        <f t="shared" si="2"/>
        <v>-0.1382763169805489</v>
      </c>
    </row>
    <row r="63" spans="1:21" x14ac:dyDescent="0.3">
      <c r="A63" s="89">
        <f t="shared" si="0"/>
        <v>44835</v>
      </c>
      <c r="B63" s="134">
        <v>3871.98</v>
      </c>
      <c r="C63" s="5">
        <f t="shared" si="3"/>
        <v>7.9863454576893297E-2</v>
      </c>
      <c r="E63" s="134">
        <v>34.43</v>
      </c>
      <c r="F63" s="5">
        <f t="shared" si="9"/>
        <v>8.5435090965797267E-2</v>
      </c>
      <c r="H63" s="134">
        <v>78.324509000000006</v>
      </c>
      <c r="I63" s="5">
        <f t="shared" si="5"/>
        <v>1.6018637939381849E-2</v>
      </c>
      <c r="K63" s="134">
        <v>70.75</v>
      </c>
      <c r="L63" s="5">
        <f t="shared" si="10"/>
        <v>3.0439788497536344E-2</v>
      </c>
      <c r="N63" s="134">
        <v>144.928574</v>
      </c>
      <c r="O63" s="5">
        <f t="shared" si="7"/>
        <v>0.14586328491804462</v>
      </c>
      <c r="Q63" s="134">
        <v>54.848877000000002</v>
      </c>
      <c r="R63" s="5">
        <f t="shared" si="8"/>
        <v>0.18765021592724176</v>
      </c>
      <c r="T63" s="29">
        <f t="shared" si="1"/>
        <v>8.040220800280326E-2</v>
      </c>
      <c r="U63" s="29">
        <f t="shared" si="2"/>
        <v>9.0848940755102553E-2</v>
      </c>
    </row>
    <row r="64" spans="1:21" x14ac:dyDescent="0.3">
      <c r="A64" s="89">
        <f t="shared" si="0"/>
        <v>44866</v>
      </c>
      <c r="B64" s="134">
        <v>4080.11</v>
      </c>
      <c r="C64" s="5">
        <f t="shared" si="3"/>
        <v>5.375286029369989E-2</v>
      </c>
      <c r="E64" s="134">
        <v>42.169998</v>
      </c>
      <c r="F64" s="5">
        <f t="shared" si="9"/>
        <v>0.22480389195469067</v>
      </c>
      <c r="H64" s="134">
        <v>92.256598999999994</v>
      </c>
      <c r="I64" s="5">
        <f t="shared" si="5"/>
        <v>0.17787650606274452</v>
      </c>
      <c r="K64" s="134">
        <v>101</v>
      </c>
      <c r="L64" s="5">
        <f t="shared" si="10"/>
        <v>0.42756183745583037</v>
      </c>
      <c r="N64" s="134">
        <v>161.04046600000001</v>
      </c>
      <c r="O64" s="5">
        <f t="shared" si="7"/>
        <v>0.11117125874708469</v>
      </c>
      <c r="Q64" s="134">
        <v>56.269675999999997</v>
      </c>
      <c r="R64" s="5">
        <f t="shared" si="8"/>
        <v>2.5903884960124073E-2</v>
      </c>
      <c r="T64" s="29">
        <f t="shared" si="1"/>
        <v>9.9138371349307253E-2</v>
      </c>
      <c r="U64" s="29">
        <f t="shared" si="2"/>
        <v>7.7821527902567092E-2</v>
      </c>
    </row>
    <row r="65" spans="1:21" x14ac:dyDescent="0.3">
      <c r="A65" s="89">
        <f t="shared" si="0"/>
        <v>44896</v>
      </c>
      <c r="B65" s="134">
        <v>3839.5</v>
      </c>
      <c r="C65" s="5">
        <f t="shared" si="3"/>
        <v>-5.897144929916108E-2</v>
      </c>
      <c r="E65" s="134">
        <v>41.950001</v>
      </c>
      <c r="F65" s="5">
        <f t="shared" si="9"/>
        <v>-5.2169080017504229E-3</v>
      </c>
      <c r="H65" s="134">
        <v>85.522125000000003</v>
      </c>
      <c r="I65" s="5">
        <f t="shared" si="5"/>
        <v>-7.2997206411218263E-2</v>
      </c>
      <c r="K65" s="134">
        <v>108.43</v>
      </c>
      <c r="L65" s="5">
        <f t="shared" si="10"/>
        <v>7.356435643564363E-2</v>
      </c>
      <c r="N65" s="134">
        <v>146.99041700000001</v>
      </c>
      <c r="O65" s="5">
        <f t="shared" si="7"/>
        <v>-8.7245456679192673E-2</v>
      </c>
      <c r="Q65" s="134">
        <v>49.945132999999998</v>
      </c>
      <c r="R65" s="5">
        <f t="shared" si="8"/>
        <v>-0.11239700402753339</v>
      </c>
      <c r="T65" s="29">
        <f t="shared" si="1"/>
        <v>-6.9546390422183274E-2</v>
      </c>
      <c r="U65" s="29">
        <f t="shared" si="2"/>
        <v>-7.5834277259268446E-2</v>
      </c>
    </row>
    <row r="66" spans="1:21" x14ac:dyDescent="0.3">
      <c r="A66" s="89">
        <f t="shared" si="0"/>
        <v>44927</v>
      </c>
      <c r="B66" s="134">
        <v>4076.6</v>
      </c>
      <c r="C66" s="5">
        <f t="shared" si="3"/>
        <v>6.1752832400052068E-2</v>
      </c>
      <c r="E66" s="134">
        <v>48.150002000000001</v>
      </c>
      <c r="F66" s="5">
        <f t="shared" si="9"/>
        <v>0.14779501435530359</v>
      </c>
      <c r="H66" s="134">
        <v>92.461196999999999</v>
      </c>
      <c r="I66" s="5">
        <f t="shared" si="5"/>
        <v>8.1137740672369812E-2</v>
      </c>
      <c r="K66" s="134">
        <v>121.769997</v>
      </c>
      <c r="L66" s="5">
        <f t="shared" si="10"/>
        <v>0.12302865443143038</v>
      </c>
      <c r="N66" s="134">
        <v>141.34271200000001</v>
      </c>
      <c r="O66" s="5">
        <f t="shared" si="7"/>
        <v>-3.8422266670622492E-2</v>
      </c>
      <c r="Q66" s="134">
        <v>53.431992000000001</v>
      </c>
      <c r="R66" s="5">
        <f t="shared" si="8"/>
        <v>6.981378946373018E-2</v>
      </c>
      <c r="T66" s="29">
        <f t="shared" si="1"/>
        <v>4.1555284700462866E-2</v>
      </c>
      <c r="U66" s="29">
        <f t="shared" si="2"/>
        <v>6.8614298734051032E-2</v>
      </c>
    </row>
    <row r="67" spans="1:21" x14ac:dyDescent="0.3">
      <c r="A67" s="89">
        <f t="shared" si="0"/>
        <v>44958</v>
      </c>
      <c r="B67" s="134">
        <v>3970.15</v>
      </c>
      <c r="C67" s="5">
        <f t="shared" si="3"/>
        <v>-2.6112446646715356E-2</v>
      </c>
      <c r="E67" s="134">
        <v>44.509998000000003</v>
      </c>
      <c r="F67" s="5">
        <f t="shared" si="9"/>
        <v>-7.5597172353180739E-2</v>
      </c>
      <c r="H67" s="134">
        <v>92.800185999999997</v>
      </c>
      <c r="I67" s="5">
        <f t="shared" si="5"/>
        <v>3.6662839223247129E-3</v>
      </c>
      <c r="K67" s="134">
        <v>121.709999</v>
      </c>
      <c r="L67" s="5">
        <f t="shared" si="10"/>
        <v>-4.927157877815117E-4</v>
      </c>
      <c r="N67" s="134">
        <v>139.28126499999999</v>
      </c>
      <c r="O67" s="5">
        <f t="shared" si="7"/>
        <v>-1.4584742084190484E-2</v>
      </c>
      <c r="Q67" s="134">
        <v>55.312354999999997</v>
      </c>
      <c r="R67" s="5">
        <f t="shared" si="8"/>
        <v>3.5191706871044517E-2</v>
      </c>
      <c r="T67" s="29">
        <f t="shared" si="1"/>
        <v>-1.578583786382412E-2</v>
      </c>
      <c r="U67" s="29">
        <f t="shared" si="2"/>
        <v>-3.3417256250153704E-3</v>
      </c>
    </row>
    <row r="68" spans="1:21" x14ac:dyDescent="0.3">
      <c r="A68" s="89">
        <f t="shared" si="0"/>
        <v>44986</v>
      </c>
      <c r="B68" s="134">
        <v>4109.3100000000004</v>
      </c>
      <c r="C68" s="5">
        <f t="shared" si="3"/>
        <v>3.5051572358727079E-2</v>
      </c>
      <c r="E68" s="134">
        <v>47.52</v>
      </c>
      <c r="F68" s="5">
        <f t="shared" si="9"/>
        <v>6.7625300724569792E-2</v>
      </c>
      <c r="H68" s="134">
        <v>97.804801999999995</v>
      </c>
      <c r="I68" s="5">
        <f t="shared" si="5"/>
        <v>5.3928943633798306E-2</v>
      </c>
      <c r="K68" s="134">
        <v>126.44000200000001</v>
      </c>
      <c r="L68" s="5">
        <f t="shared" si="10"/>
        <v>3.8862895726422694E-2</v>
      </c>
      <c r="N68" s="134">
        <v>146.19551100000001</v>
      </c>
      <c r="O68" s="5">
        <f t="shared" si="7"/>
        <v>4.9642326266924844E-2</v>
      </c>
      <c r="Q68" s="134">
        <v>51.205246000000002</v>
      </c>
      <c r="R68" s="5">
        <f t="shared" si="8"/>
        <v>-7.4253012731061524E-2</v>
      </c>
      <c r="T68" s="29">
        <f t="shared" si="1"/>
        <v>4.3418603654544329E-2</v>
      </c>
      <c r="U68" s="29">
        <f t="shared" si="2"/>
        <v>1.2444768905047735E-2</v>
      </c>
    </row>
    <row r="69" spans="1:21" x14ac:dyDescent="0.3">
      <c r="A69" s="89">
        <f t="shared" si="0"/>
        <v>45017</v>
      </c>
      <c r="B69" s="134">
        <v>4169.4799999999996</v>
      </c>
      <c r="C69" s="5">
        <f t="shared" si="3"/>
        <v>1.4642360882970416E-2</v>
      </c>
      <c r="E69" s="134">
        <v>53.189999</v>
      </c>
      <c r="F69" s="5">
        <f t="shared" si="9"/>
        <v>0.11931816077441071</v>
      </c>
      <c r="H69" s="134">
        <v>86.327704999999995</v>
      </c>
      <c r="I69" s="5">
        <f t="shared" si="5"/>
        <v>-0.11734696830120878</v>
      </c>
      <c r="K69" s="134">
        <v>123.66999800000001</v>
      </c>
      <c r="L69" s="5">
        <f t="shared" si="10"/>
        <v>-2.1907655458594504E-2</v>
      </c>
      <c r="N69" s="134">
        <v>151.86244199999999</v>
      </c>
      <c r="O69" s="5">
        <f t="shared" si="7"/>
        <v>3.8762688137530955E-2</v>
      </c>
      <c r="Q69" s="134">
        <v>47.666091999999999</v>
      </c>
      <c r="R69" s="5">
        <f t="shared" si="8"/>
        <v>-6.9117019767857446E-2</v>
      </c>
      <c r="T69" s="29">
        <f t="shared" si="1"/>
        <v>-1.2324889599434247E-2</v>
      </c>
      <c r="U69" s="29">
        <f t="shared" si="2"/>
        <v>-3.9294816575781349E-2</v>
      </c>
    </row>
    <row r="70" spans="1:21" x14ac:dyDescent="0.3">
      <c r="A70" s="89">
        <f t="shared" si="0"/>
        <v>45047</v>
      </c>
      <c r="B70" s="134">
        <v>4179.83</v>
      </c>
      <c r="C70" s="5">
        <f t="shared" si="3"/>
        <v>2.4823239348792572E-3</v>
      </c>
      <c r="E70" s="134">
        <v>51.369999</v>
      </c>
      <c r="F70" s="5">
        <f t="shared" si="9"/>
        <v>-3.4216958718122935E-2</v>
      </c>
      <c r="H70" s="134">
        <v>97.954505999999995</v>
      </c>
      <c r="I70" s="5">
        <f t="shared" si="5"/>
        <v>0.13468215099660069</v>
      </c>
      <c r="K70" s="134">
        <v>112.279999</v>
      </c>
      <c r="L70" s="5">
        <f t="shared" si="10"/>
        <v>-9.2099936801163393E-2</v>
      </c>
      <c r="N70" s="134">
        <v>152.605896</v>
      </c>
      <c r="O70" s="5">
        <f t="shared" si="7"/>
        <v>4.8955751679537335E-3</v>
      </c>
      <c r="Q70" s="134">
        <v>46.65361</v>
      </c>
      <c r="R70" s="5">
        <f t="shared" si="8"/>
        <v>-2.1241137200842867E-2</v>
      </c>
      <c r="T70" s="29">
        <f t="shared" si="1"/>
        <v>3.6135593508578236E-2</v>
      </c>
      <c r="U70" s="29">
        <f t="shared" si="2"/>
        <v>2.9601415416379083E-2</v>
      </c>
    </row>
    <row r="71" spans="1:21" x14ac:dyDescent="0.3">
      <c r="A71" s="89">
        <f t="shared" si="0"/>
        <v>45078</v>
      </c>
      <c r="B71" s="134">
        <v>4450.38</v>
      </c>
      <c r="C71" s="5">
        <f>(B71-B70)/B70</f>
        <v>6.4727512841431398E-2</v>
      </c>
      <c r="E71" s="134">
        <v>52.66</v>
      </c>
      <c r="F71" s="5">
        <f t="shared" si="9"/>
        <v>2.5111952990304644E-2</v>
      </c>
      <c r="H71" s="134">
        <v>111.348564</v>
      </c>
      <c r="I71" s="5">
        <f t="shared" si="5"/>
        <v>0.13673753813836806</v>
      </c>
      <c r="K71" s="134">
        <v>112.44000200000001</v>
      </c>
      <c r="L71" s="5">
        <f t="shared" si="10"/>
        <v>1.4250356379144893E-3</v>
      </c>
      <c r="N71" s="134">
        <v>156.977386</v>
      </c>
      <c r="O71" s="5">
        <f t="shared" si="7"/>
        <v>2.8645616680498337E-2</v>
      </c>
      <c r="Q71" s="134">
        <v>49.174892</v>
      </c>
      <c r="R71" s="5">
        <f t="shared" si="8"/>
        <v>5.4042591773712671E-2</v>
      </c>
      <c r="T71" s="29">
        <f t="shared" si="1"/>
        <v>7.3709545125432291E-2</v>
      </c>
      <c r="U71" s="29">
        <f t="shared" si="2"/>
        <v>8.0058788898735883E-2</v>
      </c>
    </row>
    <row r="72" spans="1:21" x14ac:dyDescent="0.3">
      <c r="A72" s="6"/>
    </row>
    <row r="73" spans="1:21" x14ac:dyDescent="0.3">
      <c r="A73" s="6"/>
    </row>
    <row r="74" spans="1:21" x14ac:dyDescent="0.3">
      <c r="A74" s="6"/>
    </row>
    <row r="75" spans="1:21" x14ac:dyDescent="0.3">
      <c r="A75" s="6"/>
    </row>
    <row r="76" spans="1:21" x14ac:dyDescent="0.3">
      <c r="A76" s="6"/>
    </row>
    <row r="77" spans="1:21" x14ac:dyDescent="0.3">
      <c r="A77" s="6"/>
    </row>
    <row r="78" spans="1:21" x14ac:dyDescent="0.3">
      <c r="A78" s="6"/>
    </row>
    <row r="79" spans="1:21" x14ac:dyDescent="0.3">
      <c r="A79" s="6"/>
    </row>
    <row r="80" spans="1:21" x14ac:dyDescent="0.3">
      <c r="A80" s="6"/>
    </row>
    <row r="81" spans="1:1" x14ac:dyDescent="0.3">
      <c r="A81" s="6"/>
    </row>
    <row r="82" spans="1:1" x14ac:dyDescent="0.3">
      <c r="A82" s="6"/>
    </row>
    <row r="83" spans="1:1" x14ac:dyDescent="0.3">
      <c r="A83" s="6"/>
    </row>
    <row r="84" spans="1:1" x14ac:dyDescent="0.3">
      <c r="A84" s="6"/>
    </row>
    <row r="85" spans="1:1" x14ac:dyDescent="0.3">
      <c r="A85" s="6"/>
    </row>
    <row r="86" spans="1:1" x14ac:dyDescent="0.3">
      <c r="A86" s="6"/>
    </row>
    <row r="87" spans="1:1" x14ac:dyDescent="0.3">
      <c r="A87" s="6"/>
    </row>
    <row r="88" spans="1:1" x14ac:dyDescent="0.3">
      <c r="A88" s="6"/>
    </row>
    <row r="89" spans="1:1" x14ac:dyDescent="0.3">
      <c r="A89" s="6"/>
    </row>
    <row r="90" spans="1:1" x14ac:dyDescent="0.3">
      <c r="A90" s="6"/>
    </row>
    <row r="91" spans="1:1" x14ac:dyDescent="0.3">
      <c r="A91" s="6"/>
    </row>
  </sheetData>
  <mergeCells count="13">
    <mergeCell ref="S3:U3"/>
    <mergeCell ref="B4:C4"/>
    <mergeCell ref="E4:F4"/>
    <mergeCell ref="H4:I4"/>
    <mergeCell ref="K4:L4"/>
    <mergeCell ref="N4:O4"/>
    <mergeCell ref="Q4:R4"/>
    <mergeCell ref="Q3:R3"/>
    <mergeCell ref="B3:C3"/>
    <mergeCell ref="E3:F3"/>
    <mergeCell ref="H3:I3"/>
    <mergeCell ref="K3:L3"/>
    <mergeCell ref="N3:O3"/>
  </mergeCells>
  <pageMargins left="0.7" right="0.7" top="0.75" bottom="0.75" header="0.3" footer="0.3"/>
  <pageSetup orientation="portrait" r:id="rId1"/>
  <ignoredErrors>
    <ignoredError sqref="X8 Z9:Z10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A8D20-BB90-4813-8253-E8440B78D14A}">
  <dimension ref="A1:O64"/>
  <sheetViews>
    <sheetView zoomScale="80" zoomScaleNormal="80" workbookViewId="0">
      <selection activeCell="N8" sqref="N8"/>
    </sheetView>
  </sheetViews>
  <sheetFormatPr defaultRowHeight="14.4" x14ac:dyDescent="0.3"/>
  <cols>
    <col min="1" max="1" width="10.5546875" customWidth="1"/>
    <col min="2" max="2" width="13.33203125" customWidth="1"/>
    <col min="3" max="3" width="12.6640625" customWidth="1"/>
    <col min="4" max="4" width="12.5546875" customWidth="1"/>
    <col min="5" max="5" width="5.44140625" customWidth="1"/>
    <col min="13" max="13" width="3.5546875" customWidth="1"/>
    <col min="14" max="14" width="38.109375" customWidth="1"/>
  </cols>
  <sheetData>
    <row r="1" spans="1:15" x14ac:dyDescent="0.3">
      <c r="A1" s="3" t="s">
        <v>4</v>
      </c>
      <c r="E1" s="168" t="str">
        <f>+SECURITIES!B58</f>
        <v>J &amp; J Snack Foods Corp</v>
      </c>
      <c r="F1" s="169"/>
      <c r="G1" s="169"/>
      <c r="H1" s="170"/>
    </row>
    <row r="3" spans="1:15" x14ac:dyDescent="0.3">
      <c r="B3" s="3"/>
      <c r="C3" s="166" t="s">
        <v>109</v>
      </c>
      <c r="D3" s="166"/>
      <c r="O3" s="94"/>
    </row>
    <row r="4" spans="1:15" x14ac:dyDescent="0.3">
      <c r="A4" s="4" t="s">
        <v>0</v>
      </c>
      <c r="B4" s="4" t="s">
        <v>119</v>
      </c>
      <c r="C4" s="149" t="str">
        <f>+SECURITIES!B10</f>
        <v>^GSPC</v>
      </c>
      <c r="D4" s="93" t="s">
        <v>9</v>
      </c>
      <c r="N4" s="3" t="s">
        <v>3</v>
      </c>
      <c r="O4" s="94">
        <v>0.67510000000000003</v>
      </c>
    </row>
    <row r="5" spans="1:15" x14ac:dyDescent="0.3">
      <c r="A5" s="92">
        <v>43282</v>
      </c>
      <c r="B5" s="90">
        <v>1.9E-2</v>
      </c>
      <c r="C5" s="5">
        <f>'TRADING DATA &amp; STATS'!C12-B5</f>
        <v>1.6999999999999998E-2</v>
      </c>
      <c r="D5" s="5">
        <f>'TRADING DATA &amp; STATS'!O12-B5</f>
        <v>-6.5299999999999997E-2</v>
      </c>
    </row>
    <row r="6" spans="1:15" x14ac:dyDescent="0.3">
      <c r="A6" s="92">
        <f>EDATE(A5,1)</f>
        <v>43313</v>
      </c>
      <c r="B6" s="90">
        <v>1.9299999999999998E-2</v>
      </c>
      <c r="C6" s="5">
        <f>'TRADING DATA &amp; STATS'!C13-B6</f>
        <v>1.0963218631603999E-2</v>
      </c>
      <c r="D6" s="5">
        <f>'TRADING DATA &amp; STATS'!O13-B6</f>
        <v>-1.5575272161974973E-2</v>
      </c>
      <c r="N6" s="3" t="s">
        <v>2</v>
      </c>
    </row>
    <row r="7" spans="1:15" ht="15.6" x14ac:dyDescent="0.35">
      <c r="A7" s="92">
        <f t="shared" ref="A7:A63" si="0">EDATE(A6,1)</f>
        <v>43344</v>
      </c>
      <c r="B7" s="90">
        <v>1.95E-2</v>
      </c>
      <c r="C7" s="5">
        <f>'TRADING DATA &amp; STATS'!C14-B7</f>
        <v>-1.5205699081860528E-2</v>
      </c>
      <c r="D7" s="5">
        <f>'TRADING DATA &amp; STATS'!O14-B7</f>
        <v>1.7544672076808449E-2</v>
      </c>
      <c r="N7" t="s">
        <v>1</v>
      </c>
    </row>
    <row r="8" spans="1:15" ht="30" x14ac:dyDescent="0.3">
      <c r="A8" s="92">
        <f t="shared" si="0"/>
        <v>43374</v>
      </c>
      <c r="B8" s="90">
        <v>2.1299999999999999E-2</v>
      </c>
      <c r="C8" s="5">
        <f>'TRADING DATA &amp; STATS'!C15-B8</f>
        <v>-9.070335897981463E-2</v>
      </c>
      <c r="D8" s="5">
        <f>'TRADING DATA &amp; STATS'!O15-B8</f>
        <v>1.6744067365486538E-2</v>
      </c>
      <c r="N8" s="163" t="s">
        <v>160</v>
      </c>
      <c r="O8" s="157">
        <f>0.0449 + O4*(0.08 - 0.0449)</f>
        <v>6.8596009999999999E-2</v>
      </c>
    </row>
    <row r="9" spans="1:15" x14ac:dyDescent="0.3">
      <c r="A9" s="92">
        <f t="shared" si="0"/>
        <v>43405</v>
      </c>
      <c r="B9" s="90">
        <v>2.2099999999999998E-2</v>
      </c>
      <c r="C9" s="5">
        <f>'TRADING DATA &amp; STATS'!C16-B9</f>
        <v>-4.2406182008598546E-3</v>
      </c>
      <c r="D9" s="5">
        <f>'TRADING DATA &amp; STATS'!O16-B9</f>
        <v>-1.7553384383451956E-2</v>
      </c>
      <c r="O9" s="1"/>
    </row>
    <row r="10" spans="1:15" x14ac:dyDescent="0.3">
      <c r="A10" s="92">
        <f t="shared" si="0"/>
        <v>43435</v>
      </c>
      <c r="B10" s="90">
        <v>2.3E-2</v>
      </c>
      <c r="C10" s="5">
        <f>'TRADING DATA &amp; STATS'!C17-B10</f>
        <v>-0.1147769557672173</v>
      </c>
      <c r="D10" s="5">
        <f>'TRADING DATA &amp; STATS'!O17-B10</f>
        <v>-0.1012814072106849</v>
      </c>
    </row>
    <row r="11" spans="1:15" x14ac:dyDescent="0.3">
      <c r="A11" s="92">
        <f t="shared" si="0"/>
        <v>43466</v>
      </c>
      <c r="B11" s="90">
        <v>2.4E-2</v>
      </c>
      <c r="C11" s="5">
        <f>'TRADING DATA &amp; STATS'!C18-B11</f>
        <v>5.4684404731036966E-2</v>
      </c>
      <c r="D11" s="5">
        <f>'TRADING DATA &amp; STATS'!O18-B11</f>
        <v>4.698442394931953E-2</v>
      </c>
    </row>
    <row r="12" spans="1:15" x14ac:dyDescent="0.3">
      <c r="A12" s="92">
        <f t="shared" si="0"/>
        <v>43497</v>
      </c>
      <c r="B12" s="90">
        <v>2.41E-2</v>
      </c>
      <c r="C12" s="5">
        <f>'TRADING DATA &amp; STATS'!C19-B12</f>
        <v>5.6289301431159643E-3</v>
      </c>
      <c r="D12" s="5">
        <f>'TRADING DATA &amp; STATS'!O19-B12</f>
        <v>-1.8074914768919342E-2</v>
      </c>
    </row>
    <row r="13" spans="1:15" x14ac:dyDescent="0.3">
      <c r="A13" s="92">
        <f t="shared" si="0"/>
        <v>43525</v>
      </c>
      <c r="B13" s="90">
        <v>2.4399999999999998E-2</v>
      </c>
      <c r="C13" s="5">
        <f>'TRADING DATA &amp; STATS'!C20-B13</f>
        <v>-6.4757122489215897E-3</v>
      </c>
      <c r="D13" s="5">
        <f>'TRADING DATA &amp; STATS'!O20-B13</f>
        <v>-1.4735294846996289E-3</v>
      </c>
      <c r="N13" t="s">
        <v>161</v>
      </c>
      <c r="O13" s="90">
        <f>'TRADING DATA &amp; STATS'!O6*12</f>
        <v>5.4688432439850554E-2</v>
      </c>
    </row>
    <row r="14" spans="1:15" x14ac:dyDescent="0.3">
      <c r="A14" s="92">
        <f t="shared" si="0"/>
        <v>43556</v>
      </c>
      <c r="B14" s="90">
        <v>2.4199999999999999E-2</v>
      </c>
      <c r="C14" s="5">
        <f>'TRADING DATA &amp; STATS'!C21-B14</f>
        <v>1.5113434942139368E-2</v>
      </c>
      <c r="D14" s="5">
        <f>'TRADING DATA &amp; STATS'!O21-B14</f>
        <v>-3.1381559661354932E-2</v>
      </c>
    </row>
    <row r="15" spans="1:15" x14ac:dyDescent="0.3">
      <c r="A15" s="92">
        <f t="shared" si="0"/>
        <v>43586</v>
      </c>
      <c r="B15" s="90">
        <v>2.4199999999999999E-2</v>
      </c>
      <c r="C15" s="5">
        <f>'TRADING DATA &amp; STATS'!C22-B15</f>
        <v>-8.9977726481161507E-2</v>
      </c>
      <c r="D15" s="5">
        <f>'TRADING DATA &amp; STATS'!O22-B15</f>
        <v>-8.5082944720088829E-4</v>
      </c>
    </row>
    <row r="16" spans="1:15" x14ac:dyDescent="0.3">
      <c r="A16" s="92">
        <f t="shared" si="0"/>
        <v>43617</v>
      </c>
      <c r="B16" s="90">
        <v>2.3599999999999999E-2</v>
      </c>
      <c r="C16" s="5">
        <f>'TRADING DATA &amp; STATS'!C23-B16</f>
        <v>4.5330183208215039E-2</v>
      </c>
      <c r="D16" s="5">
        <f>'TRADING DATA &amp; STATS'!O23-B16</f>
        <v>-2.2978359385070403E-2</v>
      </c>
    </row>
    <row r="17" spans="1:4" x14ac:dyDescent="0.3">
      <c r="A17" s="92">
        <f t="shared" si="0"/>
        <v>43647</v>
      </c>
      <c r="B17" s="90">
        <v>2.1700000000000001E-2</v>
      </c>
      <c r="C17" s="5">
        <f>'TRADING DATA &amp; STATS'!C24-B17</f>
        <v>-8.5718046339606606E-3</v>
      </c>
      <c r="D17" s="5">
        <f>'TRADING DATA &amp; STATS'!O24-B17</f>
        <v>0.13646534821447262</v>
      </c>
    </row>
    <row r="18" spans="1:4" x14ac:dyDescent="0.3">
      <c r="A18" s="92">
        <f t="shared" si="0"/>
        <v>43678</v>
      </c>
      <c r="B18" s="90">
        <v>2.1099999999999997E-2</v>
      </c>
      <c r="C18" s="5">
        <f>'TRADING DATA &amp; STATS'!C25-B18</f>
        <v>-3.9191652742267782E-2</v>
      </c>
      <c r="D18" s="5">
        <f>'TRADING DATA &amp; STATS'!O25-B18</f>
        <v>1.7750758307027843E-2</v>
      </c>
    </row>
    <row r="19" spans="1:4" x14ac:dyDescent="0.3">
      <c r="A19" s="92">
        <f t="shared" si="0"/>
        <v>43709</v>
      </c>
      <c r="B19" s="90">
        <v>2.1000000000000001E-2</v>
      </c>
      <c r="C19" s="5">
        <f>'TRADING DATA &amp; STATS'!C26-B19</f>
        <v>-3.8188323093431183E-3</v>
      </c>
      <c r="D19" s="5">
        <f>'TRADING DATA &amp; STATS'!O26-B19</f>
        <v>-2.6490636160470114E-2</v>
      </c>
    </row>
    <row r="20" spans="1:4" x14ac:dyDescent="0.3">
      <c r="A20" s="92">
        <f t="shared" si="0"/>
        <v>43739</v>
      </c>
      <c r="B20" s="90">
        <v>1.7899999999999999E-2</v>
      </c>
      <c r="C20" s="5">
        <f>'TRADING DATA &amp; STATS'!C27-B20</f>
        <v>2.5317474821449533E-3</v>
      </c>
      <c r="D20" s="5">
        <f>'TRADING DATA &amp; STATS'!O27-B20</f>
        <v>-2.1777696833670028E-2</v>
      </c>
    </row>
    <row r="21" spans="1:4" x14ac:dyDescent="0.3">
      <c r="A21" s="92">
        <f t="shared" si="0"/>
        <v>43770</v>
      </c>
      <c r="B21" s="90">
        <v>1.5800000000000002E-2</v>
      </c>
      <c r="C21" s="5">
        <f>'TRADING DATA &amp; STATS'!C28-B21</f>
        <v>1.8247064090915102E-2</v>
      </c>
      <c r="D21" s="5">
        <f>'TRADING DATA &amp; STATS'!O28-B21</f>
        <v>-4.5994749474025834E-2</v>
      </c>
    </row>
    <row r="22" spans="1:4" x14ac:dyDescent="0.3">
      <c r="A22" s="92">
        <f t="shared" si="0"/>
        <v>43800</v>
      </c>
      <c r="B22" s="90">
        <v>1.6E-2</v>
      </c>
      <c r="C22" s="5">
        <f>'TRADING DATA &amp; STATS'!C29-B22</f>
        <v>1.2589803182446301E-2</v>
      </c>
      <c r="D22" s="5">
        <f>'TRADING DATA &amp; STATS'!O29-B22</f>
        <v>-1.9946181194584311E-2</v>
      </c>
    </row>
    <row r="23" spans="1:4" x14ac:dyDescent="0.3">
      <c r="A23" s="92">
        <f t="shared" si="0"/>
        <v>43831</v>
      </c>
      <c r="B23" s="90">
        <v>1.5300000000000001E-2</v>
      </c>
      <c r="C23" s="5">
        <f>'TRADING DATA &amp; STATS'!C30-B23</f>
        <v>-1.6928089811129268E-2</v>
      </c>
      <c r="D23" s="5">
        <f>'TRADING DATA &amp; STATS'!O30-B23</f>
        <v>-0.11248118793039594</v>
      </c>
    </row>
    <row r="24" spans="1:4" x14ac:dyDescent="0.3">
      <c r="A24" s="92">
        <f t="shared" si="0"/>
        <v>43862</v>
      </c>
      <c r="B24" s="90">
        <v>1.5600000000000001E-2</v>
      </c>
      <c r="C24" s="5">
        <f>'TRADING DATA &amp; STATS'!C31-B24</f>
        <v>-9.9710469009648112E-2</v>
      </c>
      <c r="D24" s="5">
        <f>'TRADING DATA &amp; STATS'!O31-B24</f>
        <v>-4.5870177212836247E-2</v>
      </c>
    </row>
    <row r="25" spans="1:4" x14ac:dyDescent="0.3">
      <c r="A25" s="92">
        <f t="shared" si="0"/>
        <v>43891</v>
      </c>
      <c r="B25" s="90">
        <v>1.41E-2</v>
      </c>
      <c r="C25" s="5">
        <f>'TRADING DATA &amp; STATS'!C32-B25</f>
        <v>-0.13921932083595659</v>
      </c>
      <c r="D25" s="5">
        <f>'TRADING DATA &amp; STATS'!O32-B25</f>
        <v>-0.26170602582380459</v>
      </c>
    </row>
    <row r="26" spans="1:4" x14ac:dyDescent="0.3">
      <c r="A26" s="92">
        <f t="shared" si="0"/>
        <v>43922</v>
      </c>
      <c r="B26" s="90">
        <v>2.9999999999999997E-4</v>
      </c>
      <c r="C26" s="5">
        <f>'TRADING DATA &amp; STATS'!C33-B26</f>
        <v>0.12654410293315368</v>
      </c>
      <c r="D26" s="5">
        <f>'TRADING DATA &amp; STATS'!O33-B26</f>
        <v>5.4025462346035176E-2</v>
      </c>
    </row>
    <row r="27" spans="1:4" x14ac:dyDescent="0.3">
      <c r="A27" s="92">
        <f t="shared" si="0"/>
        <v>43952</v>
      </c>
      <c r="B27" s="90">
        <v>1E-3</v>
      </c>
      <c r="C27" s="5">
        <f>'TRADING DATA &amp; STATS'!C34-B27</f>
        <v>4.4281775012618367E-2</v>
      </c>
      <c r="D27" s="5">
        <f>'TRADING DATA &amp; STATS'!O34-B27</f>
        <v>1.1595347040340355E-2</v>
      </c>
    </row>
    <row r="28" spans="1:4" x14ac:dyDescent="0.3">
      <c r="A28" s="92">
        <f t="shared" si="0"/>
        <v>43983</v>
      </c>
      <c r="B28" s="90">
        <v>1.1999999999999999E-3</v>
      </c>
      <c r="C28" s="5">
        <f>'TRADING DATA &amp; STATS'!C35-B28</f>
        <v>1.7188403283502671E-2</v>
      </c>
      <c r="D28" s="5">
        <f>'TRADING DATA &amp; STATS'!O35-B28</f>
        <v>-1.2861450747804357E-2</v>
      </c>
    </row>
    <row r="29" spans="1:4" x14ac:dyDescent="0.3">
      <c r="A29" s="92">
        <f t="shared" si="0"/>
        <v>44013</v>
      </c>
      <c r="B29" s="90">
        <v>1.1999999999999999E-3</v>
      </c>
      <c r="C29" s="5">
        <f>'TRADING DATA &amp; STATS'!C36-B29</f>
        <v>5.3901296975444213E-2</v>
      </c>
      <c r="D29" s="5">
        <f>'TRADING DATA &amp; STATS'!O36-B29</f>
        <v>-2.8156499767516153E-2</v>
      </c>
    </row>
    <row r="30" spans="1:4" x14ac:dyDescent="0.3">
      <c r="A30" s="92">
        <f t="shared" si="0"/>
        <v>44044</v>
      </c>
      <c r="B30" s="90">
        <v>8.9999999999999998E-4</v>
      </c>
      <c r="C30" s="5">
        <f>'TRADING DATA &amp; STATS'!C37-B30</f>
        <v>6.9164687324219251E-2</v>
      </c>
      <c r="D30" s="5">
        <f>'TRADING DATA &amp; STATS'!O37-B30</f>
        <v>0.1032175267442825</v>
      </c>
    </row>
    <row r="31" spans="1:4" x14ac:dyDescent="0.3">
      <c r="A31" s="92">
        <f t="shared" si="0"/>
        <v>44075</v>
      </c>
      <c r="B31" s="90">
        <v>8.9999999999999998E-4</v>
      </c>
      <c r="C31" s="5">
        <f>'TRADING DATA &amp; STATS'!C38-B31</f>
        <v>-4.0127954095494384E-2</v>
      </c>
      <c r="D31" s="5">
        <f>'TRADING DATA &amp; STATS'!O38-B31</f>
        <v>-4.1797191938674448E-2</v>
      </c>
    </row>
    <row r="32" spans="1:4" x14ac:dyDescent="0.3">
      <c r="A32" s="92">
        <f t="shared" si="0"/>
        <v>44105</v>
      </c>
      <c r="B32" s="90">
        <v>8.9999999999999998E-4</v>
      </c>
      <c r="C32" s="5">
        <f>'TRADING DATA &amp; STATS'!C39-B32</f>
        <v>-2.8565774606006532E-2</v>
      </c>
      <c r="D32" s="5">
        <f>'TRADING DATA &amp; STATS'!O39-B32</f>
        <v>4.3486305219983007E-2</v>
      </c>
    </row>
    <row r="33" spans="1:4" x14ac:dyDescent="0.3">
      <c r="A33" s="92">
        <f t="shared" si="0"/>
        <v>44136</v>
      </c>
      <c r="B33" s="90">
        <v>8.9999999999999998E-4</v>
      </c>
      <c r="C33" s="5">
        <f>'TRADING DATA &amp; STATS'!C40-B33</f>
        <v>0.10664565805086303</v>
      </c>
      <c r="D33" s="5">
        <f>'TRADING DATA &amp; STATS'!O40-B33</f>
        <v>7.1534623664131866E-2</v>
      </c>
    </row>
    <row r="34" spans="1:4" x14ac:dyDescent="0.3">
      <c r="A34" s="92">
        <f t="shared" si="0"/>
        <v>44166</v>
      </c>
      <c r="B34" s="90">
        <v>7.000000000000001E-4</v>
      </c>
      <c r="C34" s="5">
        <f>'TRADING DATA &amp; STATS'!C41-B34</f>
        <v>3.6421406659432373E-2</v>
      </c>
      <c r="D34" s="5">
        <f>'TRADING DATA &amp; STATS'!O41-B34</f>
        <v>6.7943232322822733E-2</v>
      </c>
    </row>
    <row r="35" spans="1:4" x14ac:dyDescent="0.3">
      <c r="A35" s="92">
        <f t="shared" si="0"/>
        <v>44197</v>
      </c>
      <c r="B35" s="90">
        <v>8.9999999999999998E-4</v>
      </c>
      <c r="C35" s="5">
        <f>'TRADING DATA &amp; STATS'!C42-B35</f>
        <v>-1.2036640158463601E-2</v>
      </c>
      <c r="D35" s="5">
        <f>'TRADING DATA &amp; STATS'!O42-B35</f>
        <v>-1.4669511505063893E-2</v>
      </c>
    </row>
    <row r="36" spans="1:4" x14ac:dyDescent="0.3">
      <c r="A36" s="92">
        <f t="shared" si="0"/>
        <v>44228</v>
      </c>
      <c r="B36" s="90">
        <v>5.9999999999999995E-4</v>
      </c>
      <c r="C36" s="5">
        <f>'TRADING DATA &amp; STATS'!C43-B36</f>
        <v>2.5491474971999741E-2</v>
      </c>
      <c r="D36" s="5">
        <f>'TRADING DATA &amp; STATS'!O43-B36</f>
        <v>3.9358050866777121E-2</v>
      </c>
    </row>
    <row r="37" spans="1:4" x14ac:dyDescent="0.3">
      <c r="A37" s="92">
        <f t="shared" si="0"/>
        <v>44256</v>
      </c>
      <c r="B37" s="90">
        <v>2.9999999999999997E-4</v>
      </c>
      <c r="C37" s="5">
        <f>'TRADING DATA &amp; STATS'!C44-B37</f>
        <v>4.2138634008107731E-2</v>
      </c>
      <c r="D37" s="5">
        <f>'TRADING DATA &amp; STATS'!O44-B37</f>
        <v>-1.1197013365020424E-2</v>
      </c>
    </row>
    <row r="38" spans="1:4" x14ac:dyDescent="0.3">
      <c r="A38" s="92">
        <f t="shared" si="0"/>
        <v>44287</v>
      </c>
      <c r="B38" s="90">
        <v>2.0000000000000001E-4</v>
      </c>
      <c r="C38" s="5">
        <f>'TRADING DATA &amp; STATS'!C45-B38</f>
        <v>5.2225312555847309E-2</v>
      </c>
      <c r="D38" s="5">
        <f>'TRADING DATA &amp; STATS'!O45-B38</f>
        <v>5.1801644069067697E-2</v>
      </c>
    </row>
    <row r="39" spans="1:4" x14ac:dyDescent="0.3">
      <c r="A39" s="92">
        <f t="shared" si="0"/>
        <v>44317</v>
      </c>
      <c r="B39" s="90">
        <v>2.0000000000000001E-4</v>
      </c>
      <c r="C39" s="5">
        <f>'TRADING DATA &amp; STATS'!C46-B39</f>
        <v>5.2865025818131291E-3</v>
      </c>
      <c r="D39" s="5">
        <f>'TRADING DATA &amp; STATS'!O46-B39</f>
        <v>6.6442248194379092E-2</v>
      </c>
    </row>
    <row r="40" spans="1:4" x14ac:dyDescent="0.3">
      <c r="A40" s="92">
        <f t="shared" si="0"/>
        <v>44348</v>
      </c>
      <c r="B40" s="90">
        <v>1E-4</v>
      </c>
      <c r="C40" s="5">
        <f>'TRADING DATA &amp; STATS'!C47-B40</f>
        <v>2.2113976323169551E-2</v>
      </c>
      <c r="D40" s="5">
        <f>'TRADING DATA &amp; STATS'!O47-B40</f>
        <v>-6.7634565726026972E-3</v>
      </c>
    </row>
    <row r="41" spans="1:4" x14ac:dyDescent="0.3">
      <c r="A41" s="92">
        <f t="shared" si="0"/>
        <v>44378</v>
      </c>
      <c r="B41" s="90">
        <v>5.0000000000000001E-4</v>
      </c>
      <c r="C41" s="5">
        <f>'TRADING DATA &amp; STATS'!C48-B41</f>
        <v>2.2248109365910464E-2</v>
      </c>
      <c r="D41" s="5">
        <f>'TRADING DATA &amp; STATS'!O48-B41</f>
        <v>-5.4614068081184138E-2</v>
      </c>
    </row>
    <row r="42" spans="1:4" x14ac:dyDescent="0.3">
      <c r="A42" s="92">
        <f t="shared" si="0"/>
        <v>44409</v>
      </c>
      <c r="B42" s="90">
        <v>5.0000000000000001E-4</v>
      </c>
      <c r="C42" s="5">
        <f>'TRADING DATA &amp; STATS'!C49-B42</f>
        <v>2.8490321391681051E-2</v>
      </c>
      <c r="D42" s="5">
        <f>'TRADING DATA &amp; STATS'!O49-B42</f>
        <v>-4.271677501734559E-3</v>
      </c>
    </row>
    <row r="43" spans="1:4" x14ac:dyDescent="0.3">
      <c r="A43" s="92">
        <f t="shared" si="0"/>
        <v>44440</v>
      </c>
      <c r="B43" s="90">
        <v>4.0000000000000002E-4</v>
      </c>
      <c r="C43" s="5">
        <f>'TRADING DATA &amp; STATS'!C50-B43</f>
        <v>-4.7969140421166276E-2</v>
      </c>
      <c r="D43" s="5">
        <f>'TRADING DATA &amp; STATS'!O50-B43</f>
        <v>-6.7204935427582532E-2</v>
      </c>
    </row>
    <row r="44" spans="1:4" x14ac:dyDescent="0.3">
      <c r="A44" s="92">
        <f t="shared" si="0"/>
        <v>44470</v>
      </c>
      <c r="B44" s="90">
        <v>8.0000000000000004E-4</v>
      </c>
      <c r="C44" s="5">
        <f>'TRADING DATA &amp; STATS'!C51-B44</f>
        <v>6.834387330123462E-2</v>
      </c>
      <c r="D44" s="5">
        <f>'TRADING DATA &amp; STATS'!O51-B44</f>
        <v>-3.1303261049387084E-2</v>
      </c>
    </row>
    <row r="45" spans="1:4" x14ac:dyDescent="0.3">
      <c r="A45" s="92">
        <f t="shared" si="0"/>
        <v>44501</v>
      </c>
      <c r="B45" s="90">
        <v>5.0000000000000001E-4</v>
      </c>
      <c r="C45" s="5">
        <f>'TRADING DATA &amp; STATS'!C52-B45</f>
        <v>-8.8337314184714633E-3</v>
      </c>
      <c r="D45" s="5">
        <f>'TRADING DATA &amp; STATS'!O52-B45</f>
        <v>-7.4847708562323534E-2</v>
      </c>
    </row>
    <row r="46" spans="1:4" x14ac:dyDescent="0.3">
      <c r="A46" s="92">
        <f t="shared" si="0"/>
        <v>44531</v>
      </c>
      <c r="B46" s="90">
        <v>8.9999999999999998E-4</v>
      </c>
      <c r="C46" s="5">
        <f>'TRADING DATA &amp; STATS'!C53-B46</f>
        <v>4.2712874972629801E-2</v>
      </c>
      <c r="D46" s="5">
        <f>'TRADING DATA &amp; STATS'!O53-B46</f>
        <v>0.15563833949986419</v>
      </c>
    </row>
    <row r="47" spans="1:4" x14ac:dyDescent="0.3">
      <c r="A47" s="92">
        <f t="shared" si="0"/>
        <v>44562</v>
      </c>
      <c r="B47" s="90">
        <v>5.0000000000000001E-4</v>
      </c>
      <c r="C47" s="5">
        <f>'TRADING DATA &amp; STATS'!C54-B47</f>
        <v>-5.3085089106999758E-2</v>
      </c>
      <c r="D47" s="5">
        <f>'TRADING DATA &amp; STATS'!O54-B47</f>
        <v>-3.6208069084182531E-2</v>
      </c>
    </row>
    <row r="48" spans="1:4" x14ac:dyDescent="0.3">
      <c r="A48" s="92">
        <f t="shared" si="0"/>
        <v>44593</v>
      </c>
      <c r="B48" s="90">
        <v>4.0000000000000002E-4</v>
      </c>
      <c r="C48" s="5">
        <f>'TRADING DATA &amp; STATS'!C55-B48</f>
        <v>-3.1760520866782688E-2</v>
      </c>
      <c r="D48" s="5">
        <f>'TRADING DATA &amp; STATS'!O55-B48</f>
        <v>7.8906271444022999E-2</v>
      </c>
    </row>
    <row r="49" spans="1:4" x14ac:dyDescent="0.3">
      <c r="A49" s="92">
        <f t="shared" si="0"/>
        <v>44621</v>
      </c>
      <c r="B49" s="90">
        <v>1.1000000000000001E-3</v>
      </c>
      <c r="C49" s="5">
        <f>'TRADING DATA &amp; STATS'!C56-B49</f>
        <v>3.4673238773279991E-2</v>
      </c>
      <c r="D49" s="5">
        <f>'TRADING DATA &amp; STATS'!O56-B49</f>
        <v>-5.3750806840984149E-2</v>
      </c>
    </row>
    <row r="50" spans="1:4" x14ac:dyDescent="0.3">
      <c r="A50" s="92">
        <f t="shared" si="0"/>
        <v>44652</v>
      </c>
      <c r="B50" s="90">
        <v>1.5E-3</v>
      </c>
      <c r="C50" s="5">
        <f>'TRADING DATA &amp; STATS'!C57-B50</f>
        <v>-8.9456719149039396E-2</v>
      </c>
      <c r="D50" s="5">
        <f>'TRADING DATA &amp; STATS'!O57-B50</f>
        <v>-3.2374796627411891E-2</v>
      </c>
    </row>
    <row r="51" spans="1:4" x14ac:dyDescent="0.3">
      <c r="A51" s="92">
        <f t="shared" si="0"/>
        <v>44682</v>
      </c>
      <c r="B51" s="90">
        <v>4.0999999999999995E-3</v>
      </c>
      <c r="C51" s="5">
        <f>'TRADING DATA &amp; STATS'!C58-B51</f>
        <v>-4.0467561163912875E-3</v>
      </c>
      <c r="D51" s="5">
        <f>'TRADING DATA &amp; STATS'!O58-B51</f>
        <v>-0.14758690430376845</v>
      </c>
    </row>
    <row r="52" spans="1:4" x14ac:dyDescent="0.3">
      <c r="A52" s="92">
        <f t="shared" si="0"/>
        <v>44713</v>
      </c>
      <c r="B52" s="90">
        <v>7.7000000000000002E-3</v>
      </c>
      <c r="C52" s="5">
        <f>'TRADING DATA &amp; STATS'!C59-B52</f>
        <v>-9.1619993223866408E-2</v>
      </c>
      <c r="D52" s="5">
        <f>'TRADING DATA &amp; STATS'!O59-B52</f>
        <v>8.1521424446954691E-2</v>
      </c>
    </row>
    <row r="53" spans="1:4" x14ac:dyDescent="0.3">
      <c r="A53" s="92">
        <f t="shared" si="0"/>
        <v>44743</v>
      </c>
      <c r="B53" s="90">
        <v>1.3300000000000001E-2</v>
      </c>
      <c r="C53" s="5">
        <f>'TRADING DATA &amp; STATS'!C60-B53</f>
        <v>7.7816347632205962E-2</v>
      </c>
      <c r="D53" s="5">
        <f>'TRADING DATA &amp; STATS'!O60-B53</f>
        <v>-3.8125286620285158E-2</v>
      </c>
    </row>
    <row r="54" spans="1:4" x14ac:dyDescent="0.3">
      <c r="A54" s="92">
        <f t="shared" si="0"/>
        <v>44774</v>
      </c>
      <c r="B54" s="90">
        <v>2.2200000000000001E-2</v>
      </c>
      <c r="C54" s="5">
        <f>'TRADING DATA &amp; STATS'!C61-B54</f>
        <v>-6.464011921681044E-2</v>
      </c>
      <c r="D54" s="5">
        <f>'TRADING DATA &amp; STATS'!O61-B54</f>
        <v>7.7571487894025445E-2</v>
      </c>
    </row>
    <row r="55" spans="1:4" x14ac:dyDescent="0.3">
      <c r="A55" s="92">
        <f t="shared" si="0"/>
        <v>44805</v>
      </c>
      <c r="B55" s="90">
        <v>2.53E-2</v>
      </c>
      <c r="C55" s="5">
        <f>'TRADING DATA &amp; STATS'!C62-B55</f>
        <v>-0.11869570164348929</v>
      </c>
      <c r="D55" s="5">
        <f>'TRADING DATA &amp; STATS'!O62-B55</f>
        <v>-0.1565488068219105</v>
      </c>
    </row>
    <row r="56" spans="1:4" x14ac:dyDescent="0.3">
      <c r="A56" s="92">
        <f t="shared" si="0"/>
        <v>44835</v>
      </c>
      <c r="B56" s="90">
        <v>2.87E-2</v>
      </c>
      <c r="C56" s="5">
        <f>'TRADING DATA &amp; STATS'!C63-B56</f>
        <v>5.1163454576893294E-2</v>
      </c>
      <c r="D56" s="5">
        <f>'TRADING DATA &amp; STATS'!O63-B56</f>
        <v>0.11716328491804462</v>
      </c>
    </row>
    <row r="57" spans="1:4" x14ac:dyDescent="0.3">
      <c r="A57" s="92">
        <f t="shared" si="0"/>
        <v>44866</v>
      </c>
      <c r="B57" s="90">
        <v>3.7200000000000004E-2</v>
      </c>
      <c r="C57" s="5">
        <f>'TRADING DATA &amp; STATS'!C64-B57</f>
        <v>1.6552860293699886E-2</v>
      </c>
      <c r="D57" s="5">
        <f>'TRADING DATA &amp; STATS'!O64-B57</f>
        <v>7.3971258747084684E-2</v>
      </c>
    </row>
    <row r="58" spans="1:4" x14ac:dyDescent="0.3">
      <c r="A58" s="92">
        <f t="shared" si="0"/>
        <v>44896</v>
      </c>
      <c r="B58" s="90">
        <v>4.0399999999999998E-2</v>
      </c>
      <c r="C58" s="5">
        <f>'TRADING DATA &amp; STATS'!C65-B58</f>
        <v>-9.9371449299161085E-2</v>
      </c>
      <c r="D58" s="5">
        <f>'TRADING DATA &amp; STATS'!O65-B58</f>
        <v>-0.12764545667919266</v>
      </c>
    </row>
    <row r="59" spans="1:4" x14ac:dyDescent="0.3">
      <c r="A59" s="92">
        <f t="shared" si="0"/>
        <v>44927</v>
      </c>
      <c r="B59" s="90">
        <v>4.1700000000000001E-2</v>
      </c>
      <c r="C59" s="5">
        <f>'TRADING DATA &amp; STATS'!C66-B59</f>
        <v>2.0052832400052067E-2</v>
      </c>
      <c r="D59" s="5">
        <f>'TRADING DATA &amp; STATS'!O66-B59</f>
        <v>-8.01222666706225E-2</v>
      </c>
    </row>
    <row r="60" spans="1:4" x14ac:dyDescent="0.3">
      <c r="A60" s="92">
        <f t="shared" si="0"/>
        <v>44958</v>
      </c>
      <c r="B60" s="90">
        <v>4.5899999999999996E-2</v>
      </c>
      <c r="C60" s="5">
        <f>'TRADING DATA &amp; STATS'!C67-B60</f>
        <v>-7.2012446646715356E-2</v>
      </c>
      <c r="D60" s="5">
        <f>'TRADING DATA &amp; STATS'!O67-B60</f>
        <v>-6.0484742084190482E-2</v>
      </c>
    </row>
    <row r="61" spans="1:4" x14ac:dyDescent="0.3">
      <c r="A61" s="92">
        <f t="shared" si="0"/>
        <v>44986</v>
      </c>
      <c r="B61" s="90">
        <v>4.6699999999999998E-2</v>
      </c>
      <c r="C61" s="5">
        <f>'TRADING DATA &amp; STATS'!C68-B61</f>
        <v>-1.164842764127292E-2</v>
      </c>
      <c r="D61" s="5">
        <f>'TRADING DATA &amp; STATS'!O68-B61</f>
        <v>2.9423262669248454E-3</v>
      </c>
    </row>
    <row r="62" spans="1:4" x14ac:dyDescent="0.3">
      <c r="A62" s="92">
        <f t="shared" si="0"/>
        <v>45017</v>
      </c>
      <c r="B62" s="90">
        <v>4.7E-2</v>
      </c>
      <c r="C62" s="5">
        <f>'TRADING DATA &amp; STATS'!C69-B62</f>
        <v>-3.2357639117029588E-2</v>
      </c>
      <c r="D62" s="5">
        <f>'TRADING DATA &amp; STATS'!O69-B62</f>
        <v>-8.2373118624690447E-3</v>
      </c>
    </row>
    <row r="63" spans="1:4" x14ac:dyDescent="0.3">
      <c r="A63" s="92">
        <f t="shared" si="0"/>
        <v>45047</v>
      </c>
      <c r="B63" s="90">
        <v>4.4900000000000002E-2</v>
      </c>
      <c r="C63" s="5">
        <f>'TRADING DATA &amp; STATS'!C70-B63</f>
        <v>-4.2417676065120744E-2</v>
      </c>
      <c r="D63" s="5">
        <f>'TRADING DATA &amp; STATS'!O70-B63</f>
        <v>-4.0004424832046269E-2</v>
      </c>
    </row>
    <row r="64" spans="1:4" x14ac:dyDescent="0.3">
      <c r="A64" s="92">
        <f>EDATE(A63,1)</f>
        <v>45078</v>
      </c>
      <c r="B64">
        <v>5.28E-2</v>
      </c>
      <c r="C64" s="5">
        <f>'TRADING DATA &amp; STATS'!C71-B64</f>
        <v>1.1927512841431398E-2</v>
      </c>
      <c r="D64" s="5">
        <f>'TRADING DATA &amp; STATS'!O71-B64</f>
        <v>-2.4154383319501663E-2</v>
      </c>
    </row>
  </sheetData>
  <mergeCells count="2">
    <mergeCell ref="E1:H1"/>
    <mergeCell ref="C3:D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F9A18-CF2E-41C2-9C19-68E89E559023}">
  <dimension ref="A1:L73"/>
  <sheetViews>
    <sheetView zoomScale="50" zoomScaleNormal="50" workbookViewId="0">
      <selection activeCell="E28" sqref="E28"/>
    </sheetView>
  </sheetViews>
  <sheetFormatPr defaultRowHeight="14.4" x14ac:dyDescent="0.3"/>
  <cols>
    <col min="1" max="1" width="54.44140625" customWidth="1"/>
    <col min="2" max="2" width="14.5546875" style="28" customWidth="1"/>
    <col min="3" max="7" width="14.109375" customWidth="1"/>
    <col min="8" max="8" width="6.88671875" customWidth="1"/>
    <col min="9" max="9" width="14.109375" customWidth="1"/>
    <col min="10" max="10" width="24.33203125" customWidth="1"/>
    <col min="11" max="11" width="13" customWidth="1"/>
  </cols>
  <sheetData>
    <row r="1" spans="1:2" x14ac:dyDescent="0.3">
      <c r="A1" s="3" t="s">
        <v>36</v>
      </c>
    </row>
    <row r="3" spans="1:2" x14ac:dyDescent="0.3">
      <c r="A3" s="31" t="str">
        <f>+SECURITIES!B58</f>
        <v>J &amp; J Snack Foods Corp</v>
      </c>
    </row>
    <row r="5" spans="1:2" ht="15" thickBot="1" x14ac:dyDescent="0.35">
      <c r="A5" s="32" t="s">
        <v>37</v>
      </c>
      <c r="B5" s="33"/>
    </row>
    <row r="6" spans="1:2" x14ac:dyDescent="0.3">
      <c r="A6" t="s">
        <v>14</v>
      </c>
      <c r="B6" s="34">
        <f>+SECURITIES!B61</f>
        <v>167.33</v>
      </c>
    </row>
    <row r="7" spans="1:2" x14ac:dyDescent="0.3">
      <c r="A7" t="s">
        <v>15</v>
      </c>
      <c r="B7" s="104">
        <f>+SECURITIES!B62</f>
        <v>3290</v>
      </c>
    </row>
    <row r="8" spans="1:2" x14ac:dyDescent="0.3">
      <c r="A8" t="s">
        <v>16</v>
      </c>
      <c r="B8" s="104">
        <f>+SECURITIES!B63</f>
        <v>19.29</v>
      </c>
    </row>
    <row r="9" spans="1:2" x14ac:dyDescent="0.3">
      <c r="A9" t="s">
        <v>17</v>
      </c>
      <c r="B9" s="36">
        <f>+'REGRESSION | CAPM'!O4</f>
        <v>0.67510000000000003</v>
      </c>
    </row>
    <row r="10" spans="1:2" x14ac:dyDescent="0.3">
      <c r="A10" t="s">
        <v>127</v>
      </c>
      <c r="B10" s="35">
        <f>+SECURITIES!B65</f>
        <v>4.51</v>
      </c>
    </row>
    <row r="11" spans="1:2" x14ac:dyDescent="0.3">
      <c r="A11" t="s">
        <v>128</v>
      </c>
      <c r="B11" s="36">
        <f>+SECURITIES!B61/SECURITIES!B65</f>
        <v>37.101995565410206</v>
      </c>
    </row>
    <row r="12" spans="1:2" x14ac:dyDescent="0.3">
      <c r="A12" t="s">
        <v>38</v>
      </c>
      <c r="B12" s="150">
        <f>+SECURITIES!B7</f>
        <v>4.3200000000000002E-2</v>
      </c>
    </row>
    <row r="13" spans="1:2" s="1" customFormat="1" x14ac:dyDescent="0.3">
      <c r="A13" s="1" t="s">
        <v>39</v>
      </c>
      <c r="B13" s="8">
        <f>+SECURITIES!B11</f>
        <v>0.08</v>
      </c>
    </row>
    <row r="14" spans="1:2" s="1" customFormat="1" x14ac:dyDescent="0.3">
      <c r="B14" s="37"/>
    </row>
    <row r="15" spans="1:2" s="1" customFormat="1" ht="15" thickBot="1" x14ac:dyDescent="0.35">
      <c r="A15" s="38" t="s">
        <v>125</v>
      </c>
      <c r="B15" s="39"/>
    </row>
    <row r="16" spans="1:2" x14ac:dyDescent="0.3">
      <c r="A16" t="s">
        <v>19</v>
      </c>
      <c r="B16" s="109">
        <f>+SECURITIES!B68</f>
        <v>1520</v>
      </c>
    </row>
    <row r="17" spans="1:12" x14ac:dyDescent="0.3">
      <c r="A17" t="s">
        <v>115</v>
      </c>
      <c r="B17" s="81">
        <f>B16/B8</f>
        <v>78.797304302747534</v>
      </c>
    </row>
    <row r="18" spans="1:12" x14ac:dyDescent="0.3">
      <c r="A18" s="40" t="s">
        <v>123</v>
      </c>
      <c r="B18" s="110">
        <v>0.15110000000000001</v>
      </c>
    </row>
    <row r="19" spans="1:12" x14ac:dyDescent="0.3">
      <c r="A19" t="s">
        <v>114</v>
      </c>
      <c r="B19" s="106">
        <v>112.2</v>
      </c>
    </row>
    <row r="20" spans="1:12" x14ac:dyDescent="0.3">
      <c r="A20" t="s">
        <v>40</v>
      </c>
      <c r="B20" s="106">
        <v>4.7469999999999999</v>
      </c>
      <c r="D20" s="111"/>
    </row>
    <row r="21" spans="1:12" x14ac:dyDescent="0.3">
      <c r="A21" t="s">
        <v>126</v>
      </c>
      <c r="B21" s="106">
        <f>+SECURITIES!B66</f>
        <v>106.23</v>
      </c>
      <c r="D21" s="112"/>
    </row>
    <row r="22" spans="1:12" x14ac:dyDescent="0.3">
      <c r="A22" t="s">
        <v>41</v>
      </c>
      <c r="B22" s="110">
        <v>0.05</v>
      </c>
    </row>
    <row r="23" spans="1:12" x14ac:dyDescent="0.3">
      <c r="A23" t="s">
        <v>137</v>
      </c>
      <c r="B23" s="110">
        <v>0.245</v>
      </c>
    </row>
    <row r="24" spans="1:12" x14ac:dyDescent="0.3">
      <c r="A24" t="s">
        <v>42</v>
      </c>
      <c r="B24" s="106">
        <v>-104.73699999999999</v>
      </c>
    </row>
    <row r="25" spans="1:12" x14ac:dyDescent="0.3">
      <c r="A25" t="s">
        <v>43</v>
      </c>
      <c r="B25" s="106">
        <v>12.395</v>
      </c>
    </row>
    <row r="26" spans="1:12" x14ac:dyDescent="0.3">
      <c r="A26" t="s">
        <v>97</v>
      </c>
      <c r="B26" s="106">
        <v>63.140999999999998</v>
      </c>
    </row>
    <row r="27" spans="1:12" x14ac:dyDescent="0.3">
      <c r="A27" t="s">
        <v>20</v>
      </c>
      <c r="B27" s="106">
        <f>B19+B26</f>
        <v>175.34100000000001</v>
      </c>
    </row>
    <row r="28" spans="1:12" x14ac:dyDescent="0.3">
      <c r="B28" s="113"/>
    </row>
    <row r="29" spans="1:12" s="1" customFormat="1" x14ac:dyDescent="0.3">
      <c r="A29" s="41" t="s">
        <v>44</v>
      </c>
      <c r="B29" s="114">
        <f>+'REGRESSION | CAPM'!O8</f>
        <v>6.8596009999999999E-2</v>
      </c>
      <c r="C29" s="115"/>
      <c r="D29" s="115"/>
      <c r="E29" s="115"/>
      <c r="F29" s="115"/>
      <c r="G29" s="115"/>
      <c r="H29" s="115"/>
      <c r="I29" s="115"/>
      <c r="J29" s="115"/>
      <c r="K29" s="115"/>
      <c r="L29" s="115"/>
    </row>
    <row r="30" spans="1:12" s="1" customFormat="1" x14ac:dyDescent="0.3">
      <c r="B30" s="116"/>
      <c r="C30" s="115"/>
      <c r="D30" s="115"/>
      <c r="E30" s="115"/>
      <c r="F30" s="115"/>
      <c r="G30" s="115"/>
      <c r="H30" s="115"/>
      <c r="I30" s="115"/>
      <c r="J30" s="115"/>
      <c r="K30" s="115"/>
      <c r="L30" s="115"/>
    </row>
    <row r="31" spans="1:12" x14ac:dyDescent="0.3">
      <c r="A31" t="s">
        <v>45</v>
      </c>
      <c r="B31" s="106">
        <f>B7+B21</f>
        <v>3396.23</v>
      </c>
    </row>
    <row r="32" spans="1:12" x14ac:dyDescent="0.3">
      <c r="A32" t="s">
        <v>46</v>
      </c>
      <c r="B32" s="110">
        <f>B21/B31</f>
        <v>3.1278800316821891E-2</v>
      </c>
    </row>
    <row r="33" spans="1:12" x14ac:dyDescent="0.3">
      <c r="A33" t="s">
        <v>47</v>
      </c>
      <c r="B33" s="110">
        <f>B7/B31</f>
        <v>0.96872119968317816</v>
      </c>
    </row>
    <row r="34" spans="1:12" x14ac:dyDescent="0.3">
      <c r="A34" t="s">
        <v>48</v>
      </c>
      <c r="B34" s="110">
        <f>B33*B29+B32*(B22*(1-B23))</f>
        <v>6.7631183812639314E-2</v>
      </c>
    </row>
    <row r="35" spans="1:12" x14ac:dyDescent="0.3">
      <c r="B35" s="53"/>
    </row>
    <row r="36" spans="1:12" x14ac:dyDescent="0.3">
      <c r="A36" t="s">
        <v>98</v>
      </c>
      <c r="B36" s="117">
        <v>2023</v>
      </c>
    </row>
    <row r="37" spans="1:12" x14ac:dyDescent="0.3">
      <c r="A37" s="42" t="s">
        <v>49</v>
      </c>
      <c r="B37" s="106">
        <f>B19*(1-B23)</f>
        <v>84.710999999999999</v>
      </c>
    </row>
    <row r="38" spans="1:12" x14ac:dyDescent="0.3">
      <c r="A38" s="42" t="s">
        <v>50</v>
      </c>
      <c r="B38" s="106">
        <f>B26</f>
        <v>63.140999999999998</v>
      </c>
    </row>
    <row r="39" spans="1:12" x14ac:dyDescent="0.3">
      <c r="A39" s="42" t="s">
        <v>51</v>
      </c>
      <c r="B39" s="164">
        <f>B24</f>
        <v>-104.73699999999999</v>
      </c>
    </row>
    <row r="40" spans="1:12" ht="16.2" x14ac:dyDescent="0.45">
      <c r="A40" s="43" t="s">
        <v>52</v>
      </c>
      <c r="B40" s="118">
        <f>B25</f>
        <v>12.395</v>
      </c>
    </row>
    <row r="41" spans="1:12" x14ac:dyDescent="0.3">
      <c r="A41" t="s">
        <v>163</v>
      </c>
      <c r="B41" s="106">
        <f>SUM(B37:B40)</f>
        <v>55.510000000000005</v>
      </c>
    </row>
    <row r="42" spans="1:12" x14ac:dyDescent="0.3">
      <c r="B42" s="119"/>
    </row>
    <row r="43" spans="1:12" ht="15.6" x14ac:dyDescent="0.35">
      <c r="A43" s="44"/>
      <c r="C43" s="28" t="s">
        <v>53</v>
      </c>
      <c r="D43" s="28" t="s">
        <v>54</v>
      </c>
      <c r="E43" s="28" t="s">
        <v>55</v>
      </c>
      <c r="F43" s="28" t="s">
        <v>56</v>
      </c>
      <c r="G43" s="28" t="s">
        <v>57</v>
      </c>
      <c r="I43" s="3" t="s">
        <v>59</v>
      </c>
    </row>
    <row r="44" spans="1:12" x14ac:dyDescent="0.3">
      <c r="A44" t="s">
        <v>58</v>
      </c>
      <c r="B44" s="110">
        <v>0.05</v>
      </c>
      <c r="C44" s="117">
        <f>+B36+1</f>
        <v>2024</v>
      </c>
      <c r="D44" s="117">
        <f t="shared" ref="D44:G44" si="0">+C44+1</f>
        <v>2025</v>
      </c>
      <c r="E44" s="117">
        <f t="shared" si="0"/>
        <v>2026</v>
      </c>
      <c r="F44" s="117">
        <f t="shared" si="0"/>
        <v>2027</v>
      </c>
      <c r="G44" s="117">
        <f t="shared" si="0"/>
        <v>2028</v>
      </c>
      <c r="I44" s="120" t="s">
        <v>61</v>
      </c>
      <c r="K44" s="112"/>
    </row>
    <row r="45" spans="1:12" x14ac:dyDescent="0.3">
      <c r="A45" s="44" t="s">
        <v>60</v>
      </c>
      <c r="C45" s="121">
        <f>B41*(1+$B44)</f>
        <v>58.285500000000006</v>
      </c>
      <c r="D45" s="121">
        <f>C45*(1+$B44)</f>
        <v>61.19977500000001</v>
      </c>
      <c r="E45" s="121">
        <f t="shared" ref="E45:G45" si="1">D45*(1+$B44)</f>
        <v>64.259763750000019</v>
      </c>
      <c r="F45" s="121">
        <f t="shared" si="1"/>
        <v>67.472751937500021</v>
      </c>
      <c r="G45" s="121">
        <f t="shared" si="1"/>
        <v>70.846389534375021</v>
      </c>
      <c r="I45" s="6" t="s">
        <v>63</v>
      </c>
      <c r="K45" s="122">
        <v>8.8900000000000007E-2</v>
      </c>
    </row>
    <row r="46" spans="1:12" ht="15" customHeight="1" x14ac:dyDescent="0.3">
      <c r="A46" t="s">
        <v>62</v>
      </c>
      <c r="C46" s="121">
        <f>B42*(1+$B45)</f>
        <v>0</v>
      </c>
      <c r="D46" s="123"/>
      <c r="E46" s="123"/>
      <c r="F46" s="123"/>
      <c r="G46" s="124">
        <f>K55</f>
        <v>3035.0289978976107</v>
      </c>
      <c r="I46" t="s">
        <v>65</v>
      </c>
      <c r="K46" s="122">
        <v>0.31509999999999999</v>
      </c>
    </row>
    <row r="47" spans="1:12" ht="15" customHeight="1" x14ac:dyDescent="0.3">
      <c r="A47" s="44" t="s">
        <v>64</v>
      </c>
      <c r="C47" s="137">
        <f>SUM(C45:C46)</f>
        <v>58.285500000000006</v>
      </c>
      <c r="D47" s="137">
        <f t="shared" ref="D47:G47" si="2">SUM(D45:D46)</f>
        <v>61.19977500000001</v>
      </c>
      <c r="E47" s="137">
        <f t="shared" si="2"/>
        <v>64.259763750000019</v>
      </c>
      <c r="F47" s="137">
        <f t="shared" si="2"/>
        <v>67.472751937500021</v>
      </c>
      <c r="G47" s="138">
        <f t="shared" si="2"/>
        <v>3105.8753874319855</v>
      </c>
      <c r="I47" t="s">
        <v>66</v>
      </c>
      <c r="K47" s="125">
        <f>K46*K45</f>
        <v>2.8012390000000002E-2</v>
      </c>
      <c r="L47" s="74"/>
    </row>
    <row r="48" spans="1:12" ht="15" customHeight="1" x14ac:dyDescent="0.35">
      <c r="A48" s="45" t="s">
        <v>99</v>
      </c>
      <c r="C48" s="126">
        <f>C47/(1+$B34)</f>
        <v>54.593291095016049</v>
      </c>
      <c r="D48" s="126">
        <f>D47/(1+$B34)^2</f>
        <v>53.691720997751005</v>
      </c>
      <c r="E48" s="126">
        <f>E47/(1+$B34)^3</f>
        <v>52.805039701362027</v>
      </c>
      <c r="F48" s="126">
        <f>F47/(1+$B34)^4</f>
        <v>51.933001327694761</v>
      </c>
      <c r="G48" s="126">
        <f>G47/(1+$B34)^5</f>
        <v>2239.1220946879735</v>
      </c>
      <c r="I48" t="s">
        <v>101</v>
      </c>
      <c r="K48" s="126">
        <f>G45*(1+K47)</f>
        <v>72.830966228103847</v>
      </c>
    </row>
    <row r="49" spans="1:11" ht="15.75" customHeight="1" x14ac:dyDescent="0.3">
      <c r="A49" t="s">
        <v>100</v>
      </c>
      <c r="B49" s="127">
        <f>SUM(C48:G48)</f>
        <v>2452.1451478097974</v>
      </c>
      <c r="I49" t="s">
        <v>102</v>
      </c>
      <c r="K49" s="128">
        <f>K48/(B34-K47)</f>
        <v>1838.2933759298112</v>
      </c>
    </row>
    <row r="50" spans="1:11" x14ac:dyDescent="0.3">
      <c r="A50" t="s">
        <v>67</v>
      </c>
      <c r="B50" s="127">
        <f>B49-B21</f>
        <v>2345.9151478097974</v>
      </c>
      <c r="H50" s="129"/>
      <c r="I50" s="120" t="s">
        <v>69</v>
      </c>
      <c r="K50" s="130"/>
    </row>
    <row r="51" spans="1:11" x14ac:dyDescent="0.3">
      <c r="A51" s="3" t="s">
        <v>68</v>
      </c>
      <c r="B51" s="131">
        <f>B50/B8</f>
        <v>121.61301958578525</v>
      </c>
      <c r="I51" t="s">
        <v>103</v>
      </c>
      <c r="K51" s="126">
        <f>B27*(1+B44)^5</f>
        <v>223.78448545031253</v>
      </c>
    </row>
    <row r="52" spans="1:11" x14ac:dyDescent="0.3">
      <c r="A52" s="3" t="s">
        <v>70</v>
      </c>
      <c r="B52" s="132">
        <f>(B51-B6)/B6</f>
        <v>-0.27321448881978577</v>
      </c>
      <c r="I52" t="s">
        <v>110</v>
      </c>
      <c r="K52" s="133">
        <v>18.91</v>
      </c>
    </row>
    <row r="53" spans="1:11" x14ac:dyDescent="0.3">
      <c r="I53" t="s">
        <v>102</v>
      </c>
      <c r="K53" s="128">
        <f>K52*K51</f>
        <v>4231.7646198654102</v>
      </c>
    </row>
    <row r="55" spans="1:11" x14ac:dyDescent="0.3">
      <c r="A55" s="46"/>
      <c r="I55" s="3" t="s">
        <v>104</v>
      </c>
      <c r="J55" s="3"/>
      <c r="K55" s="151">
        <f>(K49+K53)/2</f>
        <v>3035.0289978976107</v>
      </c>
    </row>
    <row r="57" spans="1:11" x14ac:dyDescent="0.3">
      <c r="A57" s="46"/>
    </row>
    <row r="65" spans="1:8" x14ac:dyDescent="0.3">
      <c r="A65" s="44"/>
    </row>
    <row r="69" spans="1:8" s="28" customFormat="1" x14ac:dyDescent="0.3">
      <c r="A69" s="46"/>
      <c r="C69"/>
      <c r="D69"/>
      <c r="E69"/>
      <c r="F69"/>
      <c r="G69"/>
      <c r="H69"/>
    </row>
    <row r="71" spans="1:8" s="28" customFormat="1" x14ac:dyDescent="0.3">
      <c r="A71" s="46"/>
      <c r="C71"/>
      <c r="D71"/>
      <c r="E71"/>
      <c r="F71"/>
      <c r="G71"/>
      <c r="H71"/>
    </row>
    <row r="73" spans="1:8" s="28" customFormat="1" x14ac:dyDescent="0.3">
      <c r="A73" s="46"/>
      <c r="C73"/>
      <c r="D73"/>
      <c r="E73"/>
      <c r="F73"/>
      <c r="G73"/>
      <c r="H73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913C0-C728-4241-B485-110CBD67E378}">
  <dimension ref="A1:G27"/>
  <sheetViews>
    <sheetView tabSelected="1" zoomScale="80" zoomScaleNormal="80" workbookViewId="0">
      <selection activeCell="F18" sqref="F18"/>
    </sheetView>
  </sheetViews>
  <sheetFormatPr defaultRowHeight="14.4" x14ac:dyDescent="0.3"/>
  <cols>
    <col min="1" max="1" width="65.33203125" customWidth="1"/>
    <col min="2" max="5" width="19.5546875" customWidth="1"/>
    <col min="6" max="6" width="26.44140625" customWidth="1"/>
    <col min="7" max="7" width="12.5546875" customWidth="1"/>
  </cols>
  <sheetData>
    <row r="1" spans="1:7" ht="22.5" customHeight="1" x14ac:dyDescent="0.3">
      <c r="A1" s="3" t="s">
        <v>71</v>
      </c>
    </row>
    <row r="2" spans="1:7" ht="22.5" customHeight="1" x14ac:dyDescent="0.3">
      <c r="A2" s="97" t="str">
        <f>SECURITIES!B28</f>
        <v xml:space="preserve">Advanced Energy Industries, Inc. </v>
      </c>
    </row>
    <row r="3" spans="1:7" ht="31.5" customHeight="1" thickBot="1" x14ac:dyDescent="0.35">
      <c r="A3" s="32" t="s">
        <v>72</v>
      </c>
      <c r="B3" s="47" t="s">
        <v>116</v>
      </c>
      <c r="C3" s="47" t="s">
        <v>73</v>
      </c>
      <c r="D3" s="47" t="s">
        <v>74</v>
      </c>
      <c r="F3" s="171" t="s">
        <v>111</v>
      </c>
      <c r="G3" s="171"/>
    </row>
    <row r="4" spans="1:7" ht="22.5" customHeight="1" x14ac:dyDescent="0.3">
      <c r="A4" s="48" t="s">
        <v>164</v>
      </c>
      <c r="B4" s="49">
        <v>16.93</v>
      </c>
      <c r="C4" s="49">
        <v>1.1200000000000001</v>
      </c>
      <c r="D4" s="49">
        <v>10.039999999999999</v>
      </c>
      <c r="F4" s="6" t="s">
        <v>76</v>
      </c>
      <c r="G4" s="158">
        <f>+DCF!B6</f>
        <v>167.33</v>
      </c>
    </row>
    <row r="5" spans="1:7" ht="22.5" customHeight="1" x14ac:dyDescent="0.3">
      <c r="A5" s="48" t="s">
        <v>165</v>
      </c>
      <c r="B5" s="36">
        <v>39.159999999999997</v>
      </c>
      <c r="C5" s="36">
        <v>2.4700000000000002</v>
      </c>
      <c r="D5" s="36">
        <v>19.96</v>
      </c>
      <c r="F5" s="6" t="s">
        <v>124</v>
      </c>
      <c r="G5" s="158">
        <f>+DCF!B10</f>
        <v>4.51</v>
      </c>
    </row>
    <row r="6" spans="1:7" ht="22.5" customHeight="1" x14ac:dyDescent="0.45">
      <c r="A6" s="48" t="s">
        <v>166</v>
      </c>
      <c r="B6" s="95">
        <v>14.2</v>
      </c>
      <c r="C6" s="95">
        <v>0.64</v>
      </c>
      <c r="D6" s="95">
        <v>12.69</v>
      </c>
      <c r="F6" s="6" t="s">
        <v>82</v>
      </c>
      <c r="G6" s="158">
        <f>+DCF!B17</f>
        <v>78.797304302747534</v>
      </c>
    </row>
    <row r="7" spans="1:7" ht="22.5" customHeight="1" x14ac:dyDescent="0.3">
      <c r="A7" s="3" t="s">
        <v>75</v>
      </c>
      <c r="B7" s="96">
        <f>SUM(B4:B6)/3</f>
        <v>23.429999999999996</v>
      </c>
      <c r="C7" s="96">
        <f>SUM(C4:C6)/3</f>
        <v>1.4100000000000001</v>
      </c>
      <c r="D7" s="96">
        <f>SUM(D4:D6)/3</f>
        <v>14.229999999999999</v>
      </c>
      <c r="F7" s="6" t="s">
        <v>20</v>
      </c>
      <c r="G7" s="159">
        <f>+DCF!B27</f>
        <v>175.34100000000001</v>
      </c>
    </row>
    <row r="8" spans="1:7" ht="22.5" customHeight="1" x14ac:dyDescent="0.3">
      <c r="A8" s="3" t="s">
        <v>162</v>
      </c>
      <c r="B8" s="49">
        <v>41.06</v>
      </c>
      <c r="C8" s="49">
        <v>2.08</v>
      </c>
      <c r="D8" s="49">
        <v>18.91</v>
      </c>
      <c r="F8" s="6" t="s">
        <v>112</v>
      </c>
      <c r="G8" s="159">
        <f>+DCF!B8</f>
        <v>19.29</v>
      </c>
    </row>
    <row r="9" spans="1:7" ht="22.5" customHeight="1" x14ac:dyDescent="0.3">
      <c r="A9" s="3"/>
      <c r="B9" s="50"/>
      <c r="C9" s="50"/>
      <c r="D9" s="50"/>
      <c r="F9" s="6" t="s">
        <v>113</v>
      </c>
      <c r="G9" s="159">
        <f>+DCF!B21</f>
        <v>106.23</v>
      </c>
    </row>
    <row r="10" spans="1:7" ht="22.5" customHeight="1" thickBot="1" x14ac:dyDescent="0.35">
      <c r="A10" s="32" t="s">
        <v>77</v>
      </c>
      <c r="B10" s="51" t="s">
        <v>78</v>
      </c>
      <c r="C10" s="51" t="s">
        <v>79</v>
      </c>
      <c r="D10" s="51" t="s">
        <v>80</v>
      </c>
    </row>
    <row r="11" spans="1:7" ht="22.5" customHeight="1" x14ac:dyDescent="0.3">
      <c r="A11" s="3" t="s">
        <v>81</v>
      </c>
      <c r="B11" s="81">
        <f>B7*G5</f>
        <v>105.66929999999998</v>
      </c>
      <c r="C11" s="165">
        <f>C7*G6</f>
        <v>111.10419906687403</v>
      </c>
      <c r="D11" s="81">
        <f>(D7*G$7-G$9)/G$8</f>
        <v>123.83993934681182</v>
      </c>
    </row>
    <row r="12" spans="1:7" ht="22.5" customHeight="1" x14ac:dyDescent="0.3">
      <c r="A12" s="3" t="s">
        <v>83</v>
      </c>
      <c r="B12" s="81">
        <f>B5*G5</f>
        <v>176.61159999999998</v>
      </c>
      <c r="C12" s="152">
        <f>C5*G6</f>
        <v>194.62934162778643</v>
      </c>
      <c r="D12" s="81">
        <f>(D5*G$7-G$9)/G$8</f>
        <v>175.9241244167963</v>
      </c>
    </row>
    <row r="13" spans="1:7" ht="22.5" customHeight="1" x14ac:dyDescent="0.3">
      <c r="A13" s="3" t="s">
        <v>84</v>
      </c>
      <c r="B13" s="152">
        <f>B6*G5</f>
        <v>64.041999999999987</v>
      </c>
      <c r="C13" s="82">
        <f>C6*G6</f>
        <v>50.430274753758425</v>
      </c>
      <c r="D13" s="81">
        <f>(D4*G$7-G$9)/G$8</f>
        <v>85.753947122861589</v>
      </c>
    </row>
    <row r="14" spans="1:7" ht="22.5" customHeight="1" x14ac:dyDescent="0.3">
      <c r="A14" s="3"/>
      <c r="B14" s="52"/>
      <c r="C14" s="52"/>
      <c r="D14" s="53"/>
    </row>
    <row r="15" spans="1:7" ht="22.5" customHeight="1" thickBot="1" x14ac:dyDescent="0.35">
      <c r="A15" s="32" t="s">
        <v>85</v>
      </c>
      <c r="B15" s="54" t="s">
        <v>86</v>
      </c>
      <c r="C15" s="54" t="s">
        <v>87</v>
      </c>
      <c r="D15" s="54" t="s">
        <v>88</v>
      </c>
      <c r="E15" s="54" t="s">
        <v>89</v>
      </c>
    </row>
    <row r="16" spans="1:7" ht="22.5" customHeight="1" x14ac:dyDescent="0.3">
      <c r="B16" s="55">
        <f>B11</f>
        <v>105.66929999999998</v>
      </c>
      <c r="C16" s="55">
        <f>C11</f>
        <v>111.10419906687403</v>
      </c>
      <c r="D16" s="56">
        <f>AVERAGE(B11,B12,C11,C13,D11,D12,D13)</f>
        <v>118.47619781530031</v>
      </c>
      <c r="E16" s="57">
        <f>(D16-G4)/G4</f>
        <v>-0.29196080908802785</v>
      </c>
    </row>
    <row r="17" spans="1:4" ht="22.5" customHeight="1" x14ac:dyDescent="0.4">
      <c r="A17" s="58"/>
      <c r="B17" s="59"/>
      <c r="C17" s="59"/>
      <c r="D17" s="59"/>
    </row>
    <row r="18" spans="1:4" ht="22.5" customHeight="1" x14ac:dyDescent="0.4">
      <c r="A18" s="58"/>
      <c r="B18" s="59"/>
      <c r="C18" s="59"/>
      <c r="D18" s="59"/>
    </row>
    <row r="19" spans="1:4" ht="22.5" customHeight="1" x14ac:dyDescent="0.4">
      <c r="A19" s="59"/>
      <c r="B19" s="60"/>
      <c r="C19" s="59"/>
      <c r="D19" s="59"/>
    </row>
    <row r="20" spans="1:4" ht="22.5" customHeight="1" x14ac:dyDescent="0.4">
      <c r="A20" s="59"/>
      <c r="B20" s="60"/>
      <c r="C20" s="59"/>
      <c r="D20" s="59"/>
    </row>
    <row r="21" spans="1:4" ht="22.5" customHeight="1" x14ac:dyDescent="0.4">
      <c r="A21" s="59"/>
      <c r="B21" s="60"/>
      <c r="C21" s="59"/>
      <c r="D21" s="59"/>
    </row>
    <row r="22" spans="1:4" ht="22.5" customHeight="1" x14ac:dyDescent="0.4">
      <c r="A22" s="59"/>
      <c r="B22" s="60"/>
      <c r="C22" s="59"/>
      <c r="D22" s="59"/>
    </row>
    <row r="23" spans="1:4" ht="22.5" customHeight="1" x14ac:dyDescent="0.4">
      <c r="A23" s="59"/>
      <c r="B23" s="60"/>
      <c r="C23" s="59"/>
      <c r="D23" s="59"/>
    </row>
    <row r="24" spans="1:4" ht="22.5" customHeight="1" x14ac:dyDescent="0.4">
      <c r="A24" s="59"/>
      <c r="B24" s="60"/>
      <c r="C24" s="59"/>
      <c r="D24" s="59"/>
    </row>
    <row r="25" spans="1:4" ht="22.5" customHeight="1" x14ac:dyDescent="0.4">
      <c r="A25" s="59"/>
      <c r="B25" s="60"/>
      <c r="C25" s="59"/>
      <c r="D25" s="59"/>
    </row>
    <row r="26" spans="1:4" ht="22.5" customHeight="1" x14ac:dyDescent="0.4">
      <c r="A26" s="59"/>
      <c r="B26" s="59"/>
      <c r="C26" s="59"/>
      <c r="D26" s="59"/>
    </row>
    <row r="27" spans="1:4" ht="22.5" customHeight="1" x14ac:dyDescent="0.3"/>
  </sheetData>
  <mergeCells count="1">
    <mergeCell ref="F3:G3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D6C1E-C0D1-4DFB-B4E1-83206F4E82C4}">
  <dimension ref="A1:Y18"/>
  <sheetViews>
    <sheetView showGridLines="0" zoomScaleNormal="100" workbookViewId="0">
      <selection activeCell="E12" sqref="E12"/>
    </sheetView>
  </sheetViews>
  <sheetFormatPr defaultRowHeight="14.4" x14ac:dyDescent="0.3"/>
  <cols>
    <col min="1" max="1" width="36.5546875" customWidth="1"/>
    <col min="2" max="2" width="14.5546875" customWidth="1"/>
    <col min="3" max="3" width="4.44140625" customWidth="1"/>
    <col min="4" max="24" width="4.88671875" customWidth="1"/>
    <col min="25" max="25" width="8.109375" customWidth="1"/>
  </cols>
  <sheetData>
    <row r="1" spans="1:25" x14ac:dyDescent="0.3">
      <c r="A1" s="3" t="s">
        <v>96</v>
      </c>
    </row>
    <row r="2" spans="1:25" x14ac:dyDescent="0.3">
      <c r="A2" s="97" t="s">
        <v>129</v>
      </c>
    </row>
    <row r="4" spans="1:25" ht="33.6" customHeight="1" thickBot="1" x14ac:dyDescent="0.35">
      <c r="A4" s="61" t="s">
        <v>90</v>
      </c>
      <c r="B4" s="61"/>
      <c r="C4" s="107"/>
      <c r="D4" s="108">
        <v>10</v>
      </c>
      <c r="E4" s="108">
        <f>D4+3.5</f>
        <v>13.5</v>
      </c>
      <c r="F4" s="108">
        <f t="shared" ref="F4:X4" si="0">E4+3.5</f>
        <v>17</v>
      </c>
      <c r="G4" s="108">
        <f t="shared" si="0"/>
        <v>20.5</v>
      </c>
      <c r="H4" s="108">
        <f t="shared" si="0"/>
        <v>24</v>
      </c>
      <c r="I4" s="108">
        <f t="shared" si="0"/>
        <v>27.5</v>
      </c>
      <c r="J4" s="108">
        <f t="shared" si="0"/>
        <v>31</v>
      </c>
      <c r="K4" s="108">
        <f t="shared" si="0"/>
        <v>34.5</v>
      </c>
      <c r="L4" s="108">
        <f t="shared" si="0"/>
        <v>38</v>
      </c>
      <c r="M4" s="108">
        <f t="shared" si="0"/>
        <v>41.5</v>
      </c>
      <c r="N4" s="108">
        <f t="shared" si="0"/>
        <v>45</v>
      </c>
      <c r="O4" s="108">
        <f t="shared" si="0"/>
        <v>48.5</v>
      </c>
      <c r="P4" s="108">
        <f t="shared" si="0"/>
        <v>52</v>
      </c>
      <c r="Q4" s="108">
        <f t="shared" si="0"/>
        <v>55.5</v>
      </c>
      <c r="R4" s="108">
        <f t="shared" si="0"/>
        <v>59</v>
      </c>
      <c r="S4" s="108">
        <f t="shared" si="0"/>
        <v>62.5</v>
      </c>
      <c r="T4" s="108">
        <f t="shared" si="0"/>
        <v>66</v>
      </c>
      <c r="U4" s="108">
        <f t="shared" si="0"/>
        <v>69.5</v>
      </c>
      <c r="V4" s="108">
        <f t="shared" si="0"/>
        <v>73</v>
      </c>
      <c r="W4" s="108">
        <f t="shared" si="0"/>
        <v>76.5</v>
      </c>
      <c r="X4" s="108">
        <f t="shared" si="0"/>
        <v>80</v>
      </c>
      <c r="Y4" s="107"/>
    </row>
    <row r="5" spans="1:25" ht="29.25" customHeight="1" x14ac:dyDescent="0.3">
      <c r="A5" s="62"/>
      <c r="B5" s="63"/>
      <c r="H5" s="64"/>
      <c r="I5" s="64"/>
      <c r="J5" s="139"/>
      <c r="K5" s="64"/>
      <c r="M5" s="64"/>
      <c r="N5" s="64"/>
      <c r="O5" s="64"/>
      <c r="P5" s="64"/>
      <c r="Q5" s="64"/>
      <c r="R5" s="64"/>
      <c r="Y5" s="65"/>
    </row>
    <row r="6" spans="1:25" s="59" customFormat="1" ht="29.25" customHeight="1" thickBot="1" x14ac:dyDescent="0.45">
      <c r="A6" s="66" t="s">
        <v>91</v>
      </c>
      <c r="B6" s="67" t="s">
        <v>92</v>
      </c>
      <c r="C6" s="3" t="s">
        <v>130</v>
      </c>
      <c r="D6"/>
      <c r="E6" s="3"/>
      <c r="F6"/>
      <c r="G6"/>
      <c r="H6"/>
      <c r="I6"/>
      <c r="J6" s="140"/>
      <c r="K6"/>
      <c r="L6"/>
      <c r="M6"/>
      <c r="N6"/>
      <c r="O6"/>
      <c r="P6"/>
      <c r="Q6"/>
      <c r="R6"/>
      <c r="S6"/>
      <c r="T6"/>
      <c r="U6"/>
      <c r="V6"/>
      <c r="W6"/>
      <c r="X6" s="3" t="s">
        <v>131</v>
      </c>
      <c r="Y6" s="65"/>
    </row>
    <row r="7" spans="1:25" s="59" customFormat="1" ht="29.25" customHeight="1" x14ac:dyDescent="0.4">
      <c r="A7" s="68"/>
      <c r="B7" s="69"/>
      <c r="C7" s="3"/>
      <c r="D7"/>
      <c r="E7"/>
      <c r="F7"/>
      <c r="G7"/>
      <c r="H7"/>
      <c r="I7"/>
      <c r="J7" s="140"/>
      <c r="K7"/>
      <c r="L7"/>
      <c r="M7"/>
      <c r="N7"/>
      <c r="O7"/>
      <c r="P7"/>
      <c r="Q7"/>
      <c r="R7"/>
      <c r="S7"/>
      <c r="T7"/>
      <c r="U7"/>
      <c r="V7"/>
      <c r="W7"/>
      <c r="X7"/>
      <c r="Y7" s="65"/>
    </row>
    <row r="8" spans="1:25" s="59" customFormat="1" ht="29.25" customHeight="1" x14ac:dyDescent="0.4">
      <c r="A8" s="70" t="s">
        <v>93</v>
      </c>
      <c r="B8" s="71" t="s">
        <v>134</v>
      </c>
      <c r="C8"/>
      <c r="D8"/>
      <c r="E8"/>
      <c r="F8"/>
      <c r="G8"/>
      <c r="H8"/>
      <c r="I8"/>
      <c r="J8" s="140"/>
      <c r="K8"/>
      <c r="L8"/>
      <c r="M8"/>
      <c r="N8"/>
      <c r="O8"/>
      <c r="P8"/>
      <c r="Q8"/>
      <c r="R8"/>
      <c r="S8" s="72"/>
      <c r="T8" s="72"/>
      <c r="U8" s="72"/>
      <c r="V8" s="72"/>
      <c r="W8" s="72"/>
      <c r="X8" s="72"/>
      <c r="Y8" s="65"/>
    </row>
    <row r="9" spans="1:25" s="59" customFormat="1" ht="29.25" customHeight="1" x14ac:dyDescent="0.4">
      <c r="A9" s="62"/>
      <c r="B9" s="73"/>
      <c r="C9"/>
      <c r="D9"/>
      <c r="E9"/>
      <c r="F9"/>
      <c r="G9"/>
      <c r="H9"/>
      <c r="I9"/>
      <c r="J9" s="140"/>
      <c r="K9"/>
      <c r="L9"/>
      <c r="M9"/>
      <c r="N9"/>
      <c r="O9"/>
      <c r="P9"/>
      <c r="Q9"/>
      <c r="R9"/>
      <c r="S9"/>
      <c r="T9"/>
      <c r="U9"/>
      <c r="V9"/>
      <c r="W9"/>
      <c r="X9"/>
      <c r="Y9" s="65"/>
    </row>
    <row r="10" spans="1:25" s="59" customFormat="1" ht="29.25" customHeight="1" x14ac:dyDescent="0.4">
      <c r="A10" s="70" t="s">
        <v>94</v>
      </c>
      <c r="B10" s="71" t="s">
        <v>134</v>
      </c>
      <c r="C10"/>
      <c r="D10" s="72"/>
      <c r="E10" s="72"/>
      <c r="F10" s="72"/>
      <c r="G10"/>
      <c r="H10"/>
      <c r="I10"/>
      <c r="J10" s="140"/>
      <c r="K10"/>
      <c r="L10" s="72"/>
      <c r="M10" s="72"/>
      <c r="N10" s="72"/>
      <c r="O10" s="72"/>
      <c r="P10"/>
      <c r="Q10"/>
      <c r="R10"/>
      <c r="S10"/>
      <c r="T10"/>
      <c r="U10" s="72"/>
      <c r="V10" s="72"/>
      <c r="W10" s="72"/>
      <c r="X10"/>
      <c r="Y10" s="65"/>
    </row>
    <row r="11" spans="1:25" s="59" customFormat="1" ht="29.25" customHeight="1" x14ac:dyDescent="0.4">
      <c r="A11" s="62"/>
      <c r="B11" s="73"/>
      <c r="C11" s="74" t="s">
        <v>132</v>
      </c>
      <c r="D11"/>
      <c r="E11"/>
      <c r="F11"/>
      <c r="G11"/>
      <c r="I11"/>
      <c r="J11" s="140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 s="65"/>
    </row>
    <row r="12" spans="1:25" s="59" customFormat="1" ht="29.25" customHeight="1" thickBot="1" x14ac:dyDescent="0.45">
      <c r="A12" s="75" t="s">
        <v>95</v>
      </c>
      <c r="B12" s="76" t="s">
        <v>134</v>
      </c>
      <c r="C12" s="61"/>
      <c r="D12" s="61"/>
      <c r="E12" s="61"/>
      <c r="F12" s="61"/>
      <c r="G12" s="61"/>
      <c r="H12" s="61"/>
      <c r="I12" s="61"/>
      <c r="J12" s="14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77"/>
    </row>
    <row r="13" spans="1:25" s="59" customFormat="1" ht="24.6" customHeight="1" x14ac:dyDescent="0.4">
      <c r="A13" s="78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</row>
    <row r="14" spans="1:25" s="59" customFormat="1" ht="18.899999999999999" customHeight="1" x14ac:dyDescent="0.55000000000000004">
      <c r="A14" s="79"/>
      <c r="B14" s="79"/>
      <c r="C14" s="79"/>
      <c r="D14" s="79"/>
      <c r="E14" s="79"/>
      <c r="F14" s="79"/>
      <c r="G14" s="79"/>
      <c r="H14" s="79"/>
      <c r="I14" s="79"/>
      <c r="J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</row>
    <row r="15" spans="1:25" ht="29.4" customHeight="1" x14ac:dyDescent="0.45">
      <c r="H15" s="80" t="s">
        <v>133</v>
      </c>
    </row>
    <row r="16" spans="1:25" ht="35.1" customHeight="1" x14ac:dyDescent="0.3"/>
    <row r="17" ht="35.1" customHeight="1" x14ac:dyDescent="0.3"/>
    <row r="18" ht="35.1" customHeight="1" x14ac:dyDescent="0.3"/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SECURITIES</vt:lpstr>
      <vt:lpstr>TRADING DATA &amp; STATS</vt:lpstr>
      <vt:lpstr>REGRESSION | CAPM</vt:lpstr>
      <vt:lpstr>DCF</vt:lpstr>
      <vt:lpstr>COMPS</vt:lpstr>
      <vt:lpstr>FOOTBALL FIELD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pfsta</dc:creator>
  <cp:lastModifiedBy>Hiner, Rowan</cp:lastModifiedBy>
  <dcterms:created xsi:type="dcterms:W3CDTF">2022-05-05T12:34:44Z</dcterms:created>
  <dcterms:modified xsi:type="dcterms:W3CDTF">2024-03-01T19:44:19Z</dcterms:modified>
</cp:coreProperties>
</file>